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S" sheetId="1" r:id="rId4"/>
    <sheet state="visible" name="MASTER_LIST" sheetId="2" r:id="rId5"/>
    <sheet state="visible" name="index_ventures" sheetId="3" r:id="rId6"/>
    <sheet state="visible" name="sequioa_preseed_and_early" sheetId="4" r:id="rId7"/>
    <sheet state="visible" name="a16z" sheetId="5" r:id="rId8"/>
    <sheet state="visible" name="kholsa" sheetId="6" r:id="rId9"/>
    <sheet state="visible" name="yc" sheetId="7" r:id="rId10"/>
    <sheet state="visible" name="accel_companies" sheetId="8" r:id="rId11"/>
    <sheet state="visible" name="lightspeed_companies" sheetId="9" r:id="rId12"/>
    <sheet state="visible" name="nea_companies" sheetId="10" r:id="rId13"/>
    <sheet state="visible" name="Sheet8" sheetId="11" r:id="rId14"/>
  </sheets>
  <definedNames>
    <definedName hidden="1" localSheetId="2" name="_xlnm._FilterDatabase">index_ventures!$A$1:$O$1334</definedName>
    <definedName hidden="1" localSheetId="9" name="_xlnm._FilterDatabase">nea_companies!$A$1:$I$622</definedName>
  </definedNames>
  <calcPr/>
</workbook>
</file>

<file path=xl/sharedStrings.xml><?xml version="1.0" encoding="utf-8"?>
<sst xmlns="http://schemas.openxmlformats.org/spreadsheetml/2006/main" count="26230" uniqueCount="15557">
  <si>
    <t>email</t>
  </si>
  <si>
    <t>reach_out</t>
  </si>
  <si>
    <t>replied?</t>
  </si>
  <si>
    <t>larrypea3@gmail.com</t>
  </si>
  <si>
    <t>boringbuildscompany@gmail.com</t>
  </si>
  <si>
    <t>rl3431@columbia.edu</t>
  </si>
  <si>
    <t>rhitsingh22@gmail.com</t>
  </si>
  <si>
    <t>rishi27@stanford.edu</t>
  </si>
  <si>
    <t>rohan@hirefly.ai</t>
  </si>
  <si>
    <t>teddyoweh@gmail.com</t>
  </si>
  <si>
    <t>kyler.y.wang@gmail.com</t>
  </si>
  <si>
    <t>areebkhan280@gmail.com</t>
  </si>
  <si>
    <t>akennedy1929@gmail.com</t>
  </si>
  <si>
    <t>raymond.cr.wang@gmail.com</t>
  </si>
  <si>
    <t>jbguo@umich.edu</t>
  </si>
  <si>
    <t>shaunak1206@gmail.com</t>
  </si>
  <si>
    <t>ananyakgarg25@gmail.com</t>
  </si>
  <si>
    <t>vedantkhanna@gmail.com</t>
  </si>
  <si>
    <t>clr461@nyu.edu</t>
  </si>
  <si>
    <t>aaron.ross1206@gmail.com</t>
  </si>
  <si>
    <t>sdw4@rice.edu</t>
  </si>
  <si>
    <t>vvictor.llin@gmail.com</t>
  </si>
  <si>
    <t>jack.morton@kkminsurance.com</t>
  </si>
  <si>
    <t>cgorey@usc.edu</t>
  </si>
  <si>
    <t>rishab_bhatia248@berkeley.edu</t>
  </si>
  <si>
    <t>founders@tallyhq.com</t>
  </si>
  <si>
    <t>yousefahmed0066@gmail.com</t>
  </si>
  <si>
    <t>visualstudiosam7@gmail.com</t>
  </si>
  <si>
    <t>Sambhav</t>
  </si>
  <si>
    <t>bprithvi2003@gmail.com</t>
  </si>
  <si>
    <t>Prithvi</t>
  </si>
  <si>
    <t>cierredeux@gmail.com</t>
  </si>
  <si>
    <t>Cierra</t>
  </si>
  <si>
    <t>noah23olsen@gmail.com</t>
  </si>
  <si>
    <t>anand.agrawal2005@gmail.com</t>
  </si>
  <si>
    <t>Anand</t>
  </si>
  <si>
    <t>beckett.devoe@gmail.com</t>
  </si>
  <si>
    <t>jmesser@ramp.com</t>
  </si>
  <si>
    <t>Kishan has this one</t>
  </si>
  <si>
    <t>julius.thimm@slush.org</t>
  </si>
  <si>
    <t xml:space="preserve">False </t>
  </si>
  <si>
    <t>astauf2@gmail.com</t>
  </si>
  <si>
    <t>austin_f_liu@brown.edu</t>
  </si>
  <si>
    <t>Austin</t>
  </si>
  <si>
    <t>bobsm979@gmail.com</t>
  </si>
  <si>
    <t>steffyfifahd@gmail.com</t>
  </si>
  <si>
    <t>Stefan</t>
  </si>
  <si>
    <t>alphzben103010@gmail.com</t>
  </si>
  <si>
    <t xml:space="preserve">false </t>
  </si>
  <si>
    <t>rudhikshah50@gmail.com</t>
  </si>
  <si>
    <t>website</t>
  </si>
  <si>
    <t>UNIQUE_WEBSITE</t>
  </si>
  <si>
    <t>url cleaner</t>
  </si>
  <si>
    <t>IFERROR(REGEXEXTRACT(REGEXREPLACE(A1,"^(https?:\/\/)?(www\.)?",""),"([a-zA-Z0-9.-]+\.[a-zA-Z]{2,})"),"")</t>
  </si>
  <si>
    <t>https://www.100ms.live/</t>
  </si>
  <si>
    <t>http://www.1balance.com/</t>
  </si>
  <si>
    <t>http://www.1password.com/</t>
  </si>
  <si>
    <t>http://www.99designs.com/</t>
  </si>
  <si>
    <t>http://www.aavenir.com/</t>
  </si>
  <si>
    <t>http://www.acalvio.com/</t>
  </si>
  <si>
    <t>http://www.acko.com/</t>
  </si>
  <si>
    <t>https://www.ada.cx/</t>
  </si>
  <si>
    <t>http://www.adroll.com/</t>
  </si>
  <si>
    <t>https://www.agaveapi.com/</t>
  </si>
  <si>
    <t>http://corporate.agrostar.in/</t>
  </si>
  <si>
    <t>https://airbyte.io/</t>
  </si>
  <si>
    <t>http://www.airkit.com/</t>
  </si>
  <si>
    <t>http://www.airmeet.com/</t>
  </si>
  <si>
    <t>https://www.accel.com/relationships/airwatch#</t>
  </si>
  <si>
    <t>https://www.akridata.com/</t>
  </si>
  <si>
    <t>https://www.akto.io/</t>
  </si>
  <si>
    <t>http://www.algolia.com/</t>
  </si>
  <si>
    <t>http://www.ally.io/</t>
  </si>
  <si>
    <t>https://altinity.com/</t>
  </si>
  <si>
    <t>https://www.amagi.com/</t>
  </si>
  <si>
    <t>http://www.ampool-inc.com/</t>
  </si>
  <si>
    <t>https://anar.biz/</t>
  </si>
  <si>
    <t>http://www.anchor.fm/</t>
  </si>
  <si>
    <t>http://www.ansr.com/</t>
  </si>
  <si>
    <t>http://www.anyfin.com/</t>
  </si>
  <si>
    <t>http://www.microsoft.com/</t>
  </si>
  <si>
    <t>https://apnamart.in/</t>
  </si>
  <si>
    <t>https://appbrew.tech/</t>
  </si>
  <si>
    <t>https://www.appsmith.com/</t>
  </si>
  <si>
    <t>http://getaptly.com/</t>
  </si>
  <si>
    <t>http://www.arista.com/</t>
  </si>
  <si>
    <t>http://www.ascend.io/</t>
  </si>
  <si>
    <t>https://www.assemblyai.com/</t>
  </si>
  <si>
    <t>https://astral.sh/</t>
  </si>
  <si>
    <t>https://www.astronauts.id/</t>
  </si>
  <si>
    <t>http://www.atlassian.com/</t>
  </si>
  <si>
    <t>https://www.atratopago.com/</t>
  </si>
  <si>
    <t>https://www.atspoke.com/</t>
  </si>
  <si>
    <t>https://aura.com/</t>
  </si>
  <si>
    <t>http://www.useavenue.com/</t>
  </si>
  <si>
    <t>http://www.avito.ru/</t>
  </si>
  <si>
    <t>http://www.awaytravel.com/</t>
  </si>
  <si>
    <t>http://www.axiobio.com/</t>
  </si>
  <si>
    <t>https://www.axle.energy/</t>
  </si>
  <si>
    <t>https://www.axonius.com/</t>
  </si>
  <si>
    <t>http://www.baublebar.com/</t>
  </si>
  <si>
    <t>https://bayestree.com/</t>
  </si>
  <si>
    <t>https://www.usebeam.co/</t>
  </si>
  <si>
    <t>https://beek.io/</t>
  </si>
  <si>
    <t>https://bere.al/en</t>
  </si>
  <si>
    <t>https://www.bestdocapp.com/</t>
  </si>
  <si>
    <t>http://www.bettercloud.com/</t>
  </si>
  <si>
    <t>https://www.bevy.com/</t>
  </si>
  <si>
    <t>https://binocs.co/</t>
  </si>
  <si>
    <t>https://bird.com/en-us/</t>
  </si>
  <si>
    <t>http://www.bird.co/</t>
  </si>
  <si>
    <t>http://www.bizongo.com/</t>
  </si>
  <si>
    <t>http://www.blablacar.com/</t>
  </si>
  <si>
    <t>http://www.blackbuck.com/</t>
  </si>
  <si>
    <t>https://blackpointcyber.com/</t>
  </si>
  <si>
    <t>http://www.blameless.com/</t>
  </si>
  <si>
    <t>http://www.bluejeans.com/</t>
  </si>
  <si>
    <t>http://www.bluestone.com/</t>
  </si>
  <si>
    <t>http://www.bonobos.com/</t>
  </si>
  <si>
    <t>http://www.bookmyshow.com/</t>
  </si>
  <si>
    <t>http://www.borqs.com/</t>
  </si>
  <si>
    <t>https://bounceinfinity.com/</t>
  </si>
  <si>
    <t>http://www.braintreepayments.com/</t>
  </si>
  <si>
    <t>https://www.breathewellbeing.in/</t>
  </si>
  <si>
    <t>https://www.bricknbolt.com/</t>
  </si>
  <si>
    <t>https://brik.id/</t>
  </si>
  <si>
    <t>http://www.browserstack.com/</t>
  </si>
  <si>
    <t>http://www.brumbrum.it/</t>
  </si>
  <si>
    <t>http://www.bryter.io/</t>
  </si>
  <si>
    <t>http://www.bumble.com/</t>
  </si>
  <si>
    <t>http://www.calastone.com/</t>
  </si>
  <si>
    <t>http://www.callsign.com/</t>
  </si>
  <si>
    <t>http://www.campaignmonitor.com/</t>
  </si>
  <si>
    <t>http://www.cancapital.com/</t>
  </si>
  <si>
    <t>http://www.linkedin.com/company/capricoast-home-solutions-pvt-ltd/about/</t>
  </si>
  <si>
    <t>https://www.captainfresh.in/</t>
  </si>
  <si>
    <t>http://www.captivateiq.com/</t>
  </si>
  <si>
    <t>http://cardspring.com/</t>
  </si>
  <si>
    <t>http://www.carestack.com/</t>
  </si>
  <si>
    <t>http://www.carto.com/</t>
  </si>
  <si>
    <t>https://getcartwheel.com/home</t>
  </si>
  <si>
    <t>http://www.carwow.co.uk/</t>
  </si>
  <si>
    <t>http://www.casaone.com/</t>
  </si>
  <si>
    <t>http://www.getcatalyst.io/</t>
  </si>
  <si>
    <t>http://www.catawiki.com/</t>
  </si>
  <si>
    <t>https://www.catchandrelease.com/</t>
  </si>
  <si>
    <t>https://www.causal.app/</t>
  </si>
  <si>
    <t>https://www.cdata.com/</t>
  </si>
  <si>
    <t>http://www.celonis.com/de</t>
  </si>
  <si>
    <t>https://www.centaurlabs.com/</t>
  </si>
  <si>
    <t>http://www.chainalysis.com/</t>
  </si>
  <si>
    <t>https://chaosinc.com/</t>
  </si>
  <si>
    <t>http://www.chargebee.com/</t>
  </si>
  <si>
    <t>http://www.hello-charles.com/</t>
  </si>
  <si>
    <t>http://www.check24.de/</t>
  </si>
  <si>
    <t>https://www.checklyhq.com/</t>
  </si>
  <si>
    <t>http://www.checkr.com/</t>
  </si>
  <si>
    <t>https://chroniclehq.com/</t>
  </si>
  <si>
    <t>https://cinder.co/</t>
  </si>
  <si>
    <t>https://citymall.live/</t>
  </si>
  <si>
    <t>http://www.clevertap.com/</t>
  </si>
  <si>
    <t>http://www.getclockwise.com/</t>
  </si>
  <si>
    <t>http://www.cloudera.com/</t>
  </si>
  <si>
    <t>https://coastpay.com/</t>
  </si>
  <si>
    <t>http://www.code42.com/</t>
  </si>
  <si>
    <t>https://about.codecov.io/</t>
  </si>
  <si>
    <t>https://www.cognite.com/en/</t>
  </si>
  <si>
    <t>http://www.cogoport.com/</t>
  </si>
  <si>
    <t>http://www.cohesity.com/</t>
  </si>
  <si>
    <t>https://www.cointracker.io/</t>
  </si>
  <si>
    <t>https://commercetools.com/</t>
  </si>
  <si>
    <t>https://www.complete.so/</t>
  </si>
  <si>
    <t>https://www.conductorone.com/</t>
  </si>
  <si>
    <t>https://www.conduktor.io/</t>
  </si>
  <si>
    <t>http://www.consuremedical.com/</t>
  </si>
  <si>
    <t>http://www.corelight.com/</t>
  </si>
  <si>
    <t>http://www.cornershopapp.com/</t>
  </si>
  <si>
    <t>http://www.couchbase.com/</t>
  </si>
  <si>
    <t>http://www.coverfox.com/</t>
  </si>
  <si>
    <t>https://www.creatorstack.com/</t>
  </si>
  <si>
    <t>https://www.credgenics.com/</t>
  </si>
  <si>
    <t>http://www.crowdanalytix.com/</t>
  </si>
  <si>
    <t>http://www.crowdstrike.com/</t>
  </si>
  <si>
    <t>https://crownit.in/</t>
  </si>
  <si>
    <t>http://www.cure.fit/</t>
  </si>
  <si>
    <t>https://curefoods.in/</t>
  </si>
  <si>
    <t>http://www.curejoy.com/</t>
  </si>
  <si>
    <t>http://www.cycognito.com/</t>
  </si>
  <si>
    <t>https://www.cyera.io/</t>
  </si>
  <si>
    <t>https://www.dash0.com/</t>
  </si>
  <si>
    <t>https://databand.ai/</t>
  </si>
  <si>
    <t>http://www.dealer.com/</t>
  </si>
  <si>
    <t>https://decagon.ai/</t>
  </si>
  <si>
    <t>https://www.decisionlink.com/</t>
  </si>
  <si>
    <t>http://www.clover.ag/</t>
  </si>
  <si>
    <t>http://www.deepmap.ai/</t>
  </si>
  <si>
    <t>http://www.deepnote.com/</t>
  </si>
  <si>
    <t>https://www.delightree.com/</t>
  </si>
  <si>
    <t>http://www.deliveroo.co.uk/</t>
  </si>
  <si>
    <t>http://www.demisto.com/</t>
  </si>
  <si>
    <t>http://www.deserve.com/</t>
  </si>
  <si>
    <t>http://www.despegar.com/</t>
  </si>
  <si>
    <t>https://detecttechnologies.com/</t>
  </si>
  <si>
    <t>https://www.dezerv.in/</t>
  </si>
  <si>
    <t>http://www.diapers.com/</t>
  </si>
  <si>
    <t>https://digbihealth.com/</t>
  </si>
  <si>
    <t>https://discord.com/</t>
  </si>
  <si>
    <t>http://www.dji.com/</t>
  </si>
  <si>
    <t>http://www.doctolib.fr/</t>
  </si>
  <si>
    <t>https://drdroid.io/</t>
  </si>
  <si>
    <t>http://www.docusign.com/</t>
  </si>
  <si>
    <t>https://www.donut.com/remote-connections/</t>
  </si>
  <si>
    <t>https://dovetailapp.com/</t>
  </si>
  <si>
    <t>http://www.dripcapital.com/</t>
  </si>
  <si>
    <t>https://drivewealth.com/</t>
  </si>
  <si>
    <t>http://www.dropbox.com/</t>
  </si>
  <si>
    <t>http://www.dropcam.com/</t>
  </si>
  <si>
    <t>http://www.duettocloud.com/</t>
  </si>
  <si>
    <t>https://www.e6data.com/</t>
  </si>
  <si>
    <t>https://www.accel.com/relationships/e8-storage-systems#</t>
  </si>
  <si>
    <t>http://www.een.com/</t>
  </si>
  <si>
    <t>https://www.ecosoulhome.com/</t>
  </si>
  <si>
    <t>https://www.eder.io/</t>
  </si>
  <si>
    <t>https://www.edgedb.com/</t>
  </si>
  <si>
    <t>http://www.edupristine.com/</t>
  </si>
  <si>
    <t>https://effectiv.ai/</t>
  </si>
  <si>
    <t>http://www.elements.io/</t>
  </si>
  <si>
    <t>https://ema.co/</t>
  </si>
  <si>
    <t>https://emeritus.org/</t>
  </si>
  <si>
    <t>http://www.entytle.com/</t>
  </si>
  <si>
    <t>https://ermetic.com/</t>
  </si>
  <si>
    <t>http://www.getethos.com/</t>
  </si>
  <si>
    <t>http://www.etsy.com/</t>
  </si>
  <si>
    <t>http://www.fabhotels.com/</t>
  </si>
  <si>
    <t>http://www.facebook.com/</t>
  </si>
  <si>
    <t>http://www.facet.ai/</t>
  </si>
  <si>
    <t>http://www.facilio.com/</t>
  </si>
  <si>
    <t>http://www.falconx.io/</t>
  </si>
  <si>
    <t>http://www.fashinza.com/</t>
  </si>
  <si>
    <t>http://www.feverup.com/</t>
  </si>
  <si>
    <t>http://www.fibmold.com/</t>
  </si>
  <si>
    <t>https://fibr.ai/</t>
  </si>
  <si>
    <t>http://www.fictiv.com/</t>
  </si>
  <si>
    <t>https://filigran.io/</t>
  </si>
  <si>
    <t>http://www.fin.com/</t>
  </si>
  <si>
    <t>https://www.finaloop.com/</t>
  </si>
  <si>
    <t>https://finbots.ai/</t>
  </si>
  <si>
    <t>https://fitonapp.com/</t>
  </si>
  <si>
    <t>http://www.fiverr.com/</t>
  </si>
  <si>
    <t>https://miflink.com/</t>
  </si>
  <si>
    <t>http://www.flipkart.com/</t>
  </si>
  <si>
    <t>http://www.getflipturn.com/</t>
  </si>
  <si>
    <t>https://flyfin.tax/</t>
  </si>
  <si>
    <t>https://www.flywire.com/</t>
  </si>
  <si>
    <t>https://www.folk.app/</t>
  </si>
  <si>
    <t>http://www.forgerock.com/</t>
  </si>
  <si>
    <t>http://www.3dfortify.com/</t>
  </si>
  <si>
    <t>http://www.4tigo.com/</t>
  </si>
  <si>
    <t>http://www.forushealth.com/</t>
  </si>
  <si>
    <t>http://www.frame.io/</t>
  </si>
  <si>
    <t>http://www.framer.com/</t>
  </si>
  <si>
    <t>http://www.freshworks.com/</t>
  </si>
  <si>
    <t>https://frvr.com/</t>
  </si>
  <si>
    <t>http://www.fundingcircle.com/</t>
  </si>
  <si>
    <t>http://fundly.ai/</t>
  </si>
  <si>
    <t>https://www.fuseenergy.com/</t>
  </si>
  <si>
    <t>https://www.accel.com/relationships/fusion-io#</t>
  </si>
  <si>
    <t>http://www.g2crowd.com/</t>
  </si>
  <si>
    <t>http://www.galileo-ft.com/</t>
  </si>
  <si>
    <t>https://gameforge.com/en-US/</t>
  </si>
  <si>
    <t>http://www.gametime.co/</t>
  </si>
  <si>
    <t>https://gamma.app/</t>
  </si>
  <si>
    <t>http://www.gem.com/</t>
  </si>
  <si>
    <t>https://genesis.global/</t>
  </si>
  <si>
    <t>https://www.gently.co.id/</t>
  </si>
  <si>
    <t>https://www.gloat.com/</t>
  </si>
  <si>
    <t>http://www.glowroad.com/</t>
  </si>
  <si>
    <t>http://www.goat.com/</t>
  </si>
  <si>
    <t>http://www.gocardless.com/</t>
  </si>
  <si>
    <t>http://www.gofundme.com/</t>
  </si>
  <si>
    <t>https://gopuff.com/</t>
  </si>
  <si>
    <t>http://www.govini.com/</t>
  </si>
  <si>
    <t>https://www.gravitysketch.com/</t>
  </si>
  <si>
    <t>http://www.groupon.com/</t>
  </si>
  <si>
    <t>http://www.getguru.com/</t>
  </si>
  <si>
    <t>https://www.gutwellnessclub.in/</t>
  </si>
  <si>
    <t>https://www.hcompany.ai/</t>
  </si>
  <si>
    <t>http://www.haberwater.com/</t>
  </si>
  <si>
    <t>https://hashnode.com/</t>
  </si>
  <si>
    <t>http://www.helpling.com/</t>
  </si>
  <si>
    <t>https://headway.co/</t>
  </si>
  <si>
    <t>https://helsing.ai/</t>
  </si>
  <si>
    <t>http://www.heptio.com/</t>
  </si>
  <si>
    <t>https://higo.io/</t>
  </si>
  <si>
    <t>http://www.homelane.com/</t>
  </si>
  <si>
    <t>http://www.hootsuite.com/</t>
  </si>
  <si>
    <t>https://hopin.to/</t>
  </si>
  <si>
    <t>http://www.hoteltonight.com/</t>
  </si>
  <si>
    <t>http://www.hotelogix.com/</t>
  </si>
  <si>
    <t>http://www.housetrip.com/</t>
  </si>
  <si>
    <t>https://www.hubble.net/</t>
  </si>
  <si>
    <t>http://www.hudl.com/</t>
  </si>
  <si>
    <t>http://www.humio.com/</t>
  </si>
  <si>
    <t>http://hush.company/</t>
  </si>
  <si>
    <t>http://www.illumio.com/</t>
  </si>
  <si>
    <t>http://www.indifi.com/</t>
  </si>
  <si>
    <t>http://www.infra.market/</t>
  </si>
  <si>
    <t>https://innovist.com/</t>
  </si>
  <si>
    <t>https://insify.com/</t>
  </si>
  <si>
    <t>http://www.instabug.com/</t>
  </si>
  <si>
    <t>http://www.instana.com/</t>
  </si>
  <si>
    <t>http://www.invoca.com/</t>
  </si>
  <si>
    <t>http://www.invoice2go.com/</t>
  </si>
  <si>
    <t>http://www.ironcladapp.com/</t>
  </si>
  <si>
    <t>https://jellyfish.co/</t>
  </si>
  <si>
    <t>http://www.jet.com/</t>
  </si>
  <si>
    <t>https://www.jetapult.me/</t>
  </si>
  <si>
    <t>http://www.jifflenow.com/</t>
  </si>
  <si>
    <t>https://www.jify.co/</t>
  </si>
  <si>
    <t>https://www.jiraaf.com/</t>
  </si>
  <si>
    <t>http://www.jobtoday.com/</t>
  </si>
  <si>
    <t>http://www.juspay.in/</t>
  </si>
  <si>
    <t>http://www.kayak.com/</t>
  </si>
  <si>
    <t>https://www.kevin.eu/</t>
  </si>
  <si>
    <t>https://www.kgen.io/</t>
  </si>
  <si>
    <t>http://www.kirusa.com/</t>
  </si>
  <si>
    <t>https://www.klaviyo.com/</t>
  </si>
  <si>
    <t>https://www.knightfintech.com/</t>
  </si>
  <si>
    <t>http://knoetic.com/</t>
  </si>
  <si>
    <t>https://komodor.com/</t>
  </si>
  <si>
    <t>https://www.kooapp.com/</t>
  </si>
  <si>
    <t>https://www.salesforce.com/resources/articles/channel-sales-guide/</t>
  </si>
  <si>
    <t>http://www.kry.se/</t>
  </si>
  <si>
    <t>http://www.kupivip.ru/</t>
  </si>
  <si>
    <t>https://laravel.com/</t>
  </si>
  <si>
    <t>https://www.leapwallet.io/</t>
  </si>
  <si>
    <t>http://www.learnvest.com/</t>
  </si>
  <si>
    <t>https://www.ledgerinvesting.com/</t>
  </si>
  <si>
    <t>http://www.legendary.com/</t>
  </si>
  <si>
    <t>http://www.letsventure.com/</t>
  </si>
  <si>
    <t>https://www.lica.world/</t>
  </si>
  <si>
    <t>https://www.lightdash.com/</t>
  </si>
  <si>
    <t>https://www.lighthouselabs.xyz/</t>
  </si>
  <si>
    <t>http://www.lightspeedhq.com/</t>
  </si>
  <si>
    <t>http://www.linear.app/</t>
  </si>
  <si>
    <t>https://www.locofy.ai/</t>
  </si>
  <si>
    <t>https://www.logicloop.com/</t>
  </si>
  <si>
    <t>http://www.lola.com/</t>
  </si>
  <si>
    <t>http://www.lookout.com/</t>
  </si>
  <si>
    <t>https://lottie.org/</t>
  </si>
  <si>
    <t>https://www.lower.com/</t>
  </si>
  <si>
    <t>https://www.lucidlane.com/</t>
  </si>
  <si>
    <t>http://www.luko.eu/</t>
  </si>
  <si>
    <t>https://lydia-app.com/</t>
  </si>
  <si>
    <t>http://www.lynda.com/</t>
  </si>
  <si>
    <t>http://www.lyst.com/</t>
  </si>
  <si>
    <t>https://www.makelog.com/</t>
  </si>
  <si>
    <t>https://getmason.io/</t>
  </si>
  <si>
    <t>https://maverix.in/</t>
  </si>
  <si>
    <t>http://www.mayhem.gg/</t>
  </si>
  <si>
    <t>http://www.mechmocha.com/</t>
  </si>
  <si>
    <t>http://www.medigo.com/</t>
  </si>
  <si>
    <t>https://www.meliopayments.com/about-us</t>
  </si>
  <si>
    <t>https://mensabrands.com/#home</t>
  </si>
  <si>
    <t>https://www.meragi.com/</t>
  </si>
  <si>
    <t>https://merge.dev/</t>
  </si>
  <si>
    <t>https://merxu.com/en/about/</t>
  </si>
  <si>
    <t>http://www.middesk.com/</t>
  </si>
  <si>
    <t>http://mihup.com/</t>
  </si>
  <si>
    <t>https://www.moshikids.com/</t>
  </si>
  <si>
    <t>http://www.mindtickle.com/</t>
  </si>
  <si>
    <t>https://www.minoanexperience.com/</t>
  </si>
  <si>
    <t>https://miranatoys.com/</t>
  </si>
  <si>
    <t>http://www.miro.com/</t>
  </si>
  <si>
    <t>https://www.misfitsmarket.com/</t>
  </si>
  <si>
    <t>http://www.modernloop.io/</t>
  </si>
  <si>
    <t>http://www.moglix.com/</t>
  </si>
  <si>
    <t>https://www.monarchmoney.com/</t>
  </si>
  <si>
    <t>http://www.moneyview.in/</t>
  </si>
  <si>
    <t>https://www.montecarlodata.com/</t>
  </si>
  <si>
    <t>http://www.monzo.com/</t>
  </si>
  <si>
    <t>https://moonfish.com/</t>
  </si>
  <si>
    <t>http://www.mopub.com/</t>
  </si>
  <si>
    <t>http://www.myfitnesspal.com/</t>
  </si>
  <si>
    <t>https://www.myglamm.com/</t>
  </si>
  <si>
    <t>http://www.myntra.com/</t>
  </si>
  <si>
    <t>https://www.accel.com/relationships/mynvax#</t>
  </si>
  <si>
    <t>http://www.mywearstore.com/</t>
  </si>
  <si>
    <t>https://myxt.com/</t>
  </si>
  <si>
    <t>https://www.nakad.co/</t>
  </si>
  <si>
    <t>https://nanonets.com/</t>
  </si>
  <si>
    <t>https://www.nansen.ai/</t>
  </si>
  <si>
    <t>https://www.napkin.ai/</t>
  </si>
  <si>
    <t>http://www.narvar.com/</t>
  </si>
  <si>
    <t>https://nebius.com/</t>
  </si>
  <si>
    <t>http://www.netskope.com/</t>
  </si>
  <si>
    <t>http://www.newrelic.com/</t>
  </si>
  <si>
    <t>https://newme.asia/</t>
  </si>
  <si>
    <t>http://www.nextbit.com/</t>
  </si>
  <si>
    <t>http://www.nextgnetworks.net/</t>
  </si>
  <si>
    <t>https://nimble.ai/#home</t>
  </si>
  <si>
    <t>http://www.nimblestorage.com/</t>
  </si>
  <si>
    <t>http://www.nines.com/</t>
  </si>
  <si>
    <t>https://ninjacart.com/</t>
  </si>
  <si>
    <t>https://www.goniyo.com/</t>
  </si>
  <si>
    <t>https://nory.ai/</t>
  </si>
  <si>
    <t>https://www.nuitee.com/</t>
  </si>
  <si>
    <t>https://www.nuvemshop.com.br/</t>
  </si>
  <si>
    <t>https://www.eatwithnymble.com/</t>
  </si>
  <si>
    <t>https://www.oasis.security/</t>
  </si>
  <si>
    <t>http://www.octarinesec.com/</t>
  </si>
  <si>
    <t>http://www.olacabs.com/</t>
  </si>
  <si>
    <t>https://www.omnea.co/</t>
  </si>
  <si>
    <t>http://www.onco.com/</t>
  </si>
  <si>
    <t>http://www.onsitego.com/</t>
  </si>
  <si>
    <t>http://www.workwithopal.com/</t>
  </si>
  <si>
    <t>http://www.opengamma.com/</t>
  </si>
  <si>
    <t>http://www.openhouse.study/</t>
  </si>
  <si>
    <t>http://www.opower.com/</t>
  </si>
  <si>
    <t>https://www.orangehealth.in/</t>
  </si>
  <si>
    <t>http://www.origamilogic.com/</t>
  </si>
  <si>
    <t>https://orum.io/</t>
  </si>
  <si>
    <t>https://www.oslash.com/</t>
  </si>
  <si>
    <t>http://www.playosmo.com/</t>
  </si>
  <si>
    <t>https://ottertune.com/</t>
  </si>
  <si>
    <t>http://www.ozforex.com.au/</t>
  </si>
  <si>
    <t>http://www.packlink.com/</t>
  </si>
  <si>
    <t>http://www.pagerduty.com/</t>
  </si>
  <si>
    <t>http://www.parature.com/</t>
  </si>
  <si>
    <t>https://payfit.com/</t>
  </si>
  <si>
    <t>http://www.people-doc.com/</t>
  </si>
  <si>
    <t>http://www.personio.com/</t>
  </si>
  <si>
    <t>http://www.pharmaccx.com/</t>
  </si>
  <si>
    <t>http://www.pillpack.com/</t>
  </si>
  <si>
    <t>https://pismo.io/</t>
  </si>
  <si>
    <t>http://www.plex.com/</t>
  </si>
  <si>
    <t>https://pluang.com/</t>
  </si>
  <si>
    <t>http://www.podium.com/</t>
  </si>
  <si>
    <t>https://poggiolabs.com/</t>
  </si>
  <si>
    <t>http://www.pond5.com/</t>
  </si>
  <si>
    <t>https://www.getport.io/</t>
  </si>
  <si>
    <t>http://www.portea.com/</t>
  </si>
  <si>
    <t>http://www.power2sme.com/</t>
  </si>
  <si>
    <t>https://www.getpowerplay.in/</t>
  </si>
  <si>
    <t>http://www.prezi.com/</t>
  </si>
  <si>
    <t>http://www.primaryio.com/</t>
  </si>
  <si>
    <t>https://primer.io/</t>
  </si>
  <si>
    <t>http://www.privacera.com/</t>
  </si>
  <si>
    <t>http://www.privitar.com/</t>
  </si>
  <si>
    <t>http://www.probeinformation.com/</t>
  </si>
  <si>
    <t>http://www.process.st/</t>
  </si>
  <si>
    <t>https://www.prodigaltech.com/</t>
  </si>
  <si>
    <t>http://www.productiv.com/</t>
  </si>
  <si>
    <t>https://produze.com/</t>
  </si>
  <si>
    <t>https://protect-eu.mimecast.com/s/z880CpYolS9jQgjHPbKvp?domain=projectdiscovery.io</t>
  </si>
  <si>
    <t>http://www.propelleraero.com/</t>
  </si>
  <si>
    <t>http://www.proptiger.com/</t>
  </si>
  <si>
    <t>https://www.pynhq.com/</t>
  </si>
  <si>
    <t>http://www.qikpod.com/</t>
  </si>
  <si>
    <t>http://www.qmctelecom.com.br/</t>
  </si>
  <si>
    <t>https://www.qogita.com/</t>
  </si>
  <si>
    <t>http://www.brandwatch.com/</t>
  </si>
  <si>
    <t>http://www.quiph.com/</t>
  </si>
  <si>
    <t>http://www.qualtrics.com/</t>
  </si>
  <si>
    <t>http://www.qubit.com/</t>
  </si>
  <si>
    <t>http://www.quokkadev.com/</t>
  </si>
  <si>
    <t>http://www.qwikcilver.com/</t>
  </si>
  <si>
    <t>http://www.qwilt.com/</t>
  </si>
  <si>
    <t>http://www.radar.io/</t>
  </si>
  <si>
    <t>https://www.rainforestpay.com/</t>
  </si>
  <si>
    <t>http://www.raise.com/</t>
  </si>
  <si>
    <t>https://rallyrd.com/</t>
  </si>
  <si>
    <t>https://www.rapidcanvas.ai/</t>
  </si>
  <si>
    <t>http://rasa.com/</t>
  </si>
  <si>
    <t>https://raycast.com/</t>
  </si>
  <si>
    <t>http://www.readme.io/</t>
  </si>
  <si>
    <t>https://recommercex.com/</t>
  </si>
  <si>
    <t>http://www.relateiq.com/</t>
  </si>
  <si>
    <t>https://remote.com/</t>
  </si>
  <si>
    <t>http://www.rentomojo.com/</t>
  </si>
  <si>
    <t>https://retainiq.io/?</t>
  </si>
  <si>
    <t>https://getrex.app/</t>
  </si>
  <si>
    <t>https://www.getrhythms.ai/</t>
  </si>
  <si>
    <t>https://app.rigi.club/</t>
  </si>
  <si>
    <t>http://www.riskrecon.com/</t>
  </si>
  <si>
    <t>http://www.rovio.com/</t>
  </si>
  <si>
    <t>http://www.rows.com/</t>
  </si>
  <si>
    <t>http://www.rupeek.com/</t>
  </si>
  <si>
    <t>http://www.rylo.com/</t>
  </si>
  <si>
    <t>https://s4stechnologies.com/</t>
  </si>
  <si>
    <t>https://sahi.com/</t>
  </si>
  <si>
    <t>https://www.salto.io/</t>
  </si>
  <si>
    <t>http://www.samunnati.com/</t>
  </si>
  <si>
    <t>https://www.sarla-aviation.com/</t>
  </si>
  <si>
    <t>http://www.sayretherapeutics.com/</t>
  </si>
  <si>
    <t>http://www.scale.com/</t>
  </si>
  <si>
    <t>http://scratchpad.com/</t>
  </si>
  <si>
    <t>http://www.scripbox.com/</t>
  </si>
  <si>
    <t>http://www.searchlight.ai/</t>
  </si>
  <si>
    <t>http://www.seatgeek.com/</t>
  </si>
  <si>
    <t>https://www.securden.com/</t>
  </si>
  <si>
    <t>http://www.segment.com/</t>
  </si>
  <si>
    <t>http://www.selency.fr/</t>
  </si>
  <si>
    <t>http://www.semmle.com/</t>
  </si>
  <si>
    <t>https://www.sennder.com/</t>
  </si>
  <si>
    <t>http://www.sensehq.com/</t>
  </si>
  <si>
    <t>http://www.sentry.io/</t>
  </si>
  <si>
    <t>http://www.servicechannel.com/</t>
  </si>
  <si>
    <t>http://www.shift-technology.com/</t>
  </si>
  <si>
    <t>https://shivalikbank.com/</t>
  </si>
  <si>
    <t>http://www.showroomprive.com/</t>
  </si>
  <si>
    <t>http://www.sigtuple.com/</t>
  </si>
  <si>
    <t>http://www.silverrailtech.com/</t>
  </si>
  <si>
    <t>https://www.simplismart.ai/</t>
  </si>
  <si>
    <t>https://simsim.in/</t>
  </si>
  <si>
    <t>https://www.skeps.com/</t>
  </si>
  <si>
    <t>http://www.skyscanner.com/</t>
  </si>
  <si>
    <t>https://skymavis.com/</t>
  </si>
  <si>
    <t>http://www.skydio.com/</t>
  </si>
  <si>
    <t>http://www.slack.com/</t>
  </si>
  <si>
    <t>https://www.slay.cool/</t>
  </si>
  <si>
    <t>http://www.smallstep.com/</t>
  </si>
  <si>
    <t>https://www.snaptrude.com/</t>
  </si>
  <si>
    <t>http://www.snyk.io/</t>
  </si>
  <si>
    <t>http://www.soldo.com/</t>
  </si>
  <si>
    <t>http://www.sonatype.com/</t>
  </si>
  <si>
    <t>http://www.spaceapegames.com/</t>
  </si>
  <si>
    <t>https://spacerunners.com/</t>
  </si>
  <si>
    <t>http://www.spacejoy.com/</t>
  </si>
  <si>
    <t>https://www.speak.com/</t>
  </si>
  <si>
    <t>http://www.spinny.com/</t>
  </si>
  <si>
    <t>http://www.splashlearn.com/</t>
  </si>
  <si>
    <t>http://www.spotify.com/</t>
  </si>
  <si>
    <t>http://userleap.com/</t>
  </si>
  <si>
    <t>https://www.sprinterhealth.com/</t>
  </si>
  <si>
    <t>https://sprinto.com/</t>
  </si>
  <si>
    <t>http://www.squarespace.com/</t>
  </si>
  <si>
    <t>https://www.stacklok.com/</t>
  </si>
  <si>
    <t>https://staderlabs.com/</t>
  </si>
  <si>
    <t>https://www.stairwell.com/</t>
  </si>
  <si>
    <t>http://www.stonly.com/</t>
  </si>
  <si>
    <t>https://www.strattic.com/</t>
  </si>
  <si>
    <t>http://www.styra.com/</t>
  </si>
  <si>
    <t>http://www.sunrun.com/</t>
  </si>
  <si>
    <t>https://www.superpayments.com/for-shoppers</t>
  </si>
  <si>
    <t>http://www.supercell.com/</t>
  </si>
  <si>
    <t>http://www.surewaves.com/</t>
  </si>
  <si>
    <t>http://www.swiftkey.com/</t>
  </si>
  <si>
    <t>https://www.swypex.com/</t>
  </si>
  <si>
    <t>https://syrup.tech/</t>
  </si>
  <si>
    <t>http://www.sysdig.com/</t>
  </si>
  <si>
    <t>http://www.tact.ai/</t>
  </si>
  <si>
    <t>https://tailscale.com/</t>
  </si>
  <si>
    <t>https://www.taxdoo.com/</t>
  </si>
  <si>
    <t>http://www.stanzaliving.com/</t>
  </si>
  <si>
    <t>https://strapi.io/</t>
  </si>
  <si>
    <t>http://www.sumologic.com/</t>
  </si>
  <si>
    <t>https://www.swan.io/press</t>
  </si>
  <si>
    <t>http://www.swiggy.com/</t>
  </si>
  <si>
    <t>https://www.synthesia.io/</t>
  </si>
  <si>
    <t>http://www.taascom.com/</t>
  </si>
  <si>
    <t>https://taito.ai/</t>
  </si>
  <si>
    <t>http://www.teabox.com/</t>
  </si>
  <si>
    <t>https://www.temaetfs.com/</t>
  </si>
  <si>
    <t>https://tenderly.co/</t>
  </si>
  <si>
    <t>http://www.tessian.com/</t>
  </si>
  <si>
    <t>https://www.tessl.io/</t>
  </si>
  <si>
    <t>https://testsigma.com/</t>
  </si>
  <si>
    <t>http://www.thezebra.com/</t>
  </si>
  <si>
    <t>http://www.timeisltd.com/</t>
  </si>
  <si>
    <t>http://www.tines.io/</t>
  </si>
  <si>
    <t>https://www.titan.com/</t>
  </si>
  <si>
    <t>http://www.tracedata.io/</t>
  </si>
  <si>
    <t>http://www.traxcn.com/</t>
  </si>
  <si>
    <t>https://traderepublic.com/</t>
  </si>
  <si>
    <t>http://www.transcend.io/</t>
  </si>
  <si>
    <t>http://www.transitapp.com/</t>
  </si>
  <si>
    <t>http://www.travelstop.com/</t>
  </si>
  <si>
    <t>http://www.trinkerr.com/</t>
  </si>
  <si>
    <t>https://www.truebill.com/</t>
  </si>
  <si>
    <t>https://www.truora.com/</t>
  </si>
  <si>
    <t>http://www.trustarc.com/</t>
  </si>
  <si>
    <t>https://turbine.ai/</t>
  </si>
  <si>
    <t>https://www.paytweed.com/</t>
  </si>
  <si>
    <t>http://www.uipath.com/</t>
  </si>
  <si>
    <t>https://www.uni.cards/</t>
  </si>
  <si>
    <t>http://www.mobstac.com/</t>
  </si>
  <si>
    <t>https://www.unitq.com/</t>
  </si>
  <si>
    <t>https://uppercase.co.in/</t>
  </si>
  <si>
    <t>http://www.usertesting.com/</t>
  </si>
  <si>
    <t>https://www.usplworld.com/</t>
  </si>
  <si>
    <t>http://www.v-comply.com/</t>
  </si>
  <si>
    <t>http://www.vedantu.com/</t>
  </si>
  <si>
    <t>http://www.venmo.com/</t>
  </si>
  <si>
    <t>https://www.venwiz.com/</t>
  </si>
  <si>
    <t>https://vercel.com/</t>
  </si>
  <si>
    <t>https://www.veriff.com/</t>
  </si>
  <si>
    <t>https://www.veza.com/</t>
  </si>
  <si>
    <t>http://www.vinted.fr/</t>
  </si>
  <si>
    <t>http://virgio.com/</t>
  </si>
  <si>
    <t>https://viso.ai/</t>
  </si>
  <si>
    <t>https://www.vlt.sh/</t>
  </si>
  <si>
    <t>https://voidzero.dev/</t>
  </si>
  <si>
    <t>http://www.voxmedia.com/</t>
  </si>
  <si>
    <t>http://www.vsco.co/</t>
  </si>
  <si>
    <t>http://www.wallapop.com/</t>
  </si>
  <si>
    <t>http://www.weave.works/</t>
  </si>
  <si>
    <t>http://www.webflow.com/</t>
  </si>
  <si>
    <t>https://www.welltheory.com/</t>
  </si>
  <si>
    <t>http://www.wibmo.co/</t>
  </si>
  <si>
    <t>https://wizard.com/</t>
  </si>
  <si>
    <t>https://www.wonder.com/</t>
  </si>
  <si>
    <t>http://www.wyzant.com/</t>
  </si>
  <si>
    <t>https://xalts.io/</t>
  </si>
  <si>
    <t>http://www.xendit.co/en</t>
  </si>
  <si>
    <t>https://www.xero.com/</t>
  </si>
  <si>
    <t>https://www.23andme.com/</t>
  </si>
  <si>
    <t>https://m.51offer.com/</t>
  </si>
  <si>
    <t>https://8five8tx.com/</t>
  </si>
  <si>
    <t>https://abcuro.com/</t>
  </si>
  <si>
    <t>https://www.aeratechnology.com/</t>
  </si>
  <si>
    <t>https://aerospike.com/</t>
  </si>
  <si>
    <t>https://aetion.com/</t>
  </si>
  <si>
    <t>https://www.affiniatx.com/</t>
  </si>
  <si>
    <t>https://airworks.aero/</t>
  </si>
  <si>
    <t>https://www.helloalfred.com/</t>
  </si>
  <si>
    <t>https://www.allaytx.com/</t>
  </si>
  <si>
    <t>https://www.amber-tx.com/</t>
  </si>
  <si>
    <t>https://www.anterior.com/</t>
  </si>
  <si>
    <t>https://www.antimatter.io/</t>
  </si>
  <si>
    <t>https://www.anyscale.com/</t>
  </si>
  <si>
    <t>https://arkestro.com/</t>
  </si>
  <si>
    <t>https://arriscomposites.com/</t>
  </si>
  <si>
    <t>https://www.assembled.com/</t>
  </si>
  <si>
    <t>https://www.askattest.com/</t>
  </si>
  <si>
    <t>https://www.automationanywhere.com/</t>
  </si>
  <si>
    <t>http://www.availink.com/#gsc.tab=0</t>
  </si>
  <si>
    <t>https://aviadobio.com/</t>
  </si>
  <si>
    <t>https://www.backflip.ai/</t>
  </si>
  <si>
    <t>https://sportsrocket.com/</t>
  </si>
  <si>
    <t>https://www.beehiiv.com/</t>
  </si>
  <si>
    <t>https://belong-health.com/</t>
  </si>
  <si>
    <t>https://www.benchprep.com/</t>
  </si>
  <si>
    <t>https://www.beyondidentity.com/</t>
  </si>
  <si>
    <t>https://www.bliq.app/</t>
  </si>
  <si>
    <t>https://www.bloomreach.com/en</t>
  </si>
  <si>
    <t>https://www.bcanalog.com/</t>
  </si>
  <si>
    <t>None</t>
  </si>
  <si>
    <t>https://www.branch.io/</t>
  </si>
  <si>
    <t>https://broadly.com/</t>
  </si>
  <si>
    <t>https://www.builtrobotics.com/</t>
  </si>
  <si>
    <t>https://burrow.com/</t>
  </si>
  <si>
    <t>https://www.bytedance.com/</t>
  </si>
  <si>
    <t>https://www.candy.com/</t>
  </si>
  <si>
    <t>https://www.getcanopy.com/</t>
  </si>
  <si>
    <t>https://www.cardionomicinc.com/</t>
  </si>
  <si>
    <t>https://cardurion.com/</t>
  </si>
  <si>
    <t>https://catalogdna.com/</t>
  </si>
  <si>
    <t>https://centrexion.com/</t>
  </si>
  <si>
    <t>http://www.chelsio.com/</t>
  </si>
  <si>
    <t>https://www.chromacode.com/</t>
  </si>
  <si>
    <t>http://www.cistadesign.com/</t>
  </si>
  <si>
    <t>https://www.clearmotion.com/</t>
  </si>
  <si>
    <t>https://cleavetherapeutics.com/</t>
  </si>
  <si>
    <t>https://hicleo.com/</t>
  </si>
  <si>
    <t>https://www.clockwork.io/</t>
  </si>
  <si>
    <t>https://coda.io/</t>
  </si>
  <si>
    <t>https://www.codebiotx.com/</t>
  </si>
  <si>
    <t>https://www.cohere-tech.com/</t>
  </si>
  <si>
    <t>https://collectivehealth.com/</t>
  </si>
  <si>
    <t>https://contra.com/</t>
  </si>
  <si>
    <t>https://www.conviva.com/</t>
  </si>
  <si>
    <t>https://www.crowdbotics.com/</t>
  </si>
  <si>
    <t>https://www.global-savings-group.com/</t>
  </si>
  <si>
    <t>https://www.databricks.com/</t>
  </si>
  <si>
    <t>https://www.datarobot.com/</t>
  </si>
  <si>
    <t>https://www.didiglobal.com/news/newsCenter</t>
  </si>
  <si>
    <t>https://www.djust.io/</t>
  </si>
  <si>
    <t>http://www.dotscorp.com/</t>
  </si>
  <si>
    <t>https://www.joindrop.com/</t>
  </si>
  <si>
    <t>https://earlens.com/</t>
  </si>
  <si>
    <t>https://elevenlabs.io/</t>
  </si>
  <si>
    <t>https://embrace.io/</t>
  </si>
  <si>
    <t>https://enigma.com/</t>
  </si>
  <si>
    <t>https://www.evenly.com/</t>
  </si>
  <si>
    <t>https://everactive.com/</t>
  </si>
  <si>
    <t>https://www.evidentid.com/</t>
  </si>
  <si>
    <t>http://www.exent.com/</t>
  </si>
  <si>
    <t>https://expel.com/</t>
  </si>
  <si>
    <t>https://fabric8labs.com/</t>
  </si>
  <si>
    <t>https://thefoundry.com/home.html</t>
  </si>
  <si>
    <t>https://fizzsocial.app/</t>
  </si>
  <si>
    <t>https://floxdev.com/</t>
  </si>
  <si>
    <t>https://www.folloze.com/</t>
  </si>
  <si>
    <t>https://www.mayhem.security/</t>
  </si>
  <si>
    <t>https://www.forethought.ai/</t>
  </si>
  <si>
    <t>https://formlabs.com/</t>
  </si>
  <si>
    <t>https://www.forter.com/</t>
  </si>
  <si>
    <t>https://thefoundry.com/</t>
  </si>
  <si>
    <t>https://www.galeratx.com/</t>
  </si>
  <si>
    <t>https://geng.gg/</t>
  </si>
  <si>
    <t>https://genies.com/</t>
  </si>
  <si>
    <t>https://www.genmo.ai/</t>
  </si>
  <si>
    <t>https://endwaste.io/</t>
  </si>
  <si>
    <t>https://www.gladly.com/</t>
  </si>
  <si>
    <t>https://www.glamsquad.com/</t>
  </si>
  <si>
    <t>https://www.ongoody.com/</t>
  </si>
  <si>
    <t>https://goop.com/</t>
  </si>
  <si>
    <t>https://goqii.com/in-en</t>
  </si>
  <si>
    <t>https://gravel.co.id/</t>
  </si>
  <si>
    <t>https://www.greythr.com/</t>
  </si>
  <si>
    <t>https://grid.is/</t>
  </si>
  <si>
    <t>https://affirm.com/</t>
  </si>
  <si>
    <t>https://alloy.com/</t>
  </si>
  <si>
    <t>https://appdynamics.com/</t>
  </si>
  <si>
    <t>https://aquasec.com/</t>
  </si>
  <si>
    <t>https://arcticwolf.com/</t>
  </si>
  <si>
    <t>https://axonius.com/</t>
  </si>
  <si>
    <t>https://believer.gg/</t>
  </si>
  <si>
    <t>https://betterup.co/</t>
  </si>
  <si>
    <t>https://carta.com/</t>
  </si>
  <si>
    <t>https://catonetworks.com/</t>
  </si>
  <si>
    <t>https://clickup.com/</t>
  </si>
  <si>
    <t>https://www.daily-harvest.com/</t>
  </si>
  <si>
    <t>https://dexterity.ai/</t>
  </si>
  <si>
    <t>https://eightfold.ai/</t>
  </si>
  <si>
    <t>https://epicgames.com/</t>
  </si>
  <si>
    <t>https://faire.com/</t>
  </si>
  <si>
    <t>https://fortyseveninc.com/</t>
  </si>
  <si>
    <t>https://found.com/</t>
  </si>
  <si>
    <t>https://glean.com/</t>
  </si>
  <si>
    <t>https://grafana.com/</t>
  </si>
  <si>
    <t>https://guardanthealth.com/</t>
  </si>
  <si>
    <t>https://hauslabs.com/</t>
  </si>
  <si>
    <t>https://inworld.ai/</t>
  </si>
  <si>
    <t>https://magiceden.io/</t>
  </si>
  <si>
    <t>https://matillion.com/</t>
  </si>
  <si>
    <t>https://methodical.com/</t>
  </si>
  <si>
    <t>https://mistral.ai/</t>
  </si>
  <si>
    <t>https://moveworks.ai/</t>
  </si>
  <si>
    <t>https://multiverse.io/</t>
  </si>
  <si>
    <t>https://navan.com/</t>
  </si>
  <si>
    <t>https://nest.com/</t>
  </si>
  <si>
    <t>https://netskope.com/</t>
  </si>
  <si>
    <t>https://nonamesecurity.com/</t>
  </si>
  <si>
    <t>https://nutanix.com/</t>
  </si>
  <si>
    <t>https://offchainlabs.com/</t>
  </si>
  <si>
    <t>https://orcabio.com/</t>
  </si>
  <si>
    <t>https://payhawk.com/</t>
  </si>
  <si>
    <t>https://personio.de/</t>
  </si>
  <si>
    <t>https://pika.art/</t>
  </si>
  <si>
    <t>https://resilienceinsurance.com/</t>
  </si>
  <si>
    <t>https://rubrik.com/</t>
  </si>
  <si>
    <t>https://skild.ai/</t>
  </si>
  <si>
    <t>https://snapchat.com/</t>
  </si>
  <si>
    <t>https://snorkel.ai/company/</t>
  </si>
  <si>
    <t>https://stripe.com/</t>
  </si>
  <si>
    <t>https://teneobio.com/</t>
  </si>
  <si>
    <t>https://thoughtspot.com/</t>
  </si>
  <si>
    <t>https://typeface.ai/</t>
  </si>
  <si>
    <t>https://ultimagenomics.com/</t>
  </si>
  <si>
    <t>https://vinted.com/</t>
  </si>
  <si>
    <t>https://wheel.com/</t>
  </si>
  <si>
    <t>https://wiz.io/</t>
  </si>
  <si>
    <t>https://yugabyte.com/</t>
  </si>
  <si>
    <t>https://zola.com/</t>
  </si>
  <si>
    <t>https://1047games.com/</t>
  </si>
  <si>
    <t>https://1password.com/</t>
  </si>
  <si>
    <t>https://51hitech.com/</t>
  </si>
  <si>
    <t>https://abatatx.com/</t>
  </si>
  <si>
    <t>https://abridge.com/</t>
  </si>
  <si>
    <t>https://abstract.com/</t>
  </si>
  <si>
    <t>https://acceldata.io/</t>
  </si>
  <si>
    <t>https://acko.com/</t>
  </si>
  <si>
    <t>https://aerohive.com/</t>
  </si>
  <si>
    <t>https://affirmednetworks.com/</t>
  </si>
  <si>
    <t>https://air-dr.com/</t>
  </si>
  <si>
    <t>https://airbound.co/</t>
  </si>
  <si>
    <t>https://www.alchemy.com/</t>
  </si>
  <si>
    <t>https://aledade.com/</t>
  </si>
  <si>
    <t>https://alldaykitchens.com/</t>
  </si>
  <si>
    <t>https://alooma.com/</t>
  </si>
  <si>
    <t>https://a9oncology.com/</t>
  </si>
  <si>
    <t>https://ancorabiotech.com/</t>
  </si>
  <si>
    <t>https://www.anduril.com/</t>
  </si>
  <si>
    <t>https://apex.ai/</t>
  </si>
  <si>
    <t>https://apna.co/</t>
  </si>
  <si>
    <t>https://appzen.com/</t>
  </si>
  <si>
    <t>https://www.aquant.ai/</t>
  </si>
  <si>
    <t>https://aquantia.com/</t>
  </si>
  <si>
    <t>https://arbornetworks.com/</t>
  </si>
  <si>
    <t>https://archiveresale.co/</t>
  </si>
  <si>
    <t>https://arilinc.com/</t>
  </si>
  <si>
    <t>https://arrcus.com/</t>
  </si>
  <si>
    <t>https://artofsport.com/</t>
  </si>
  <si>
    <t>https://aspireapp.com/</t>
  </si>
  <si>
    <t>https://astro.build/</t>
  </si>
  <si>
    <t>https://at-bay.com/</t>
  </si>
  <si>
    <t>https://liveathos.com/</t>
  </si>
  <si>
    <t>https://audiomob.com/</t>
  </si>
  <si>
    <t>https://audius.co/</t>
  </si>
  <si>
    <t>https://augmentcode.com/</t>
  </si>
  <si>
    <t>https://aurora.tech/</t>
  </si>
  <si>
    <t>https://autograph.io/</t>
  </si>
  <si>
    <t>https://avarra.ai/</t>
  </si>
  <si>
    <t>https://averesystems.com/</t>
  </si>
  <si>
    <t>https://avinetworks.com/</t>
  </si>
  <si>
    <t>https://awastudios.net/</t>
  </si>
  <si>
    <t>https://getbalance.com/</t>
  </si>
  <si>
    <t>https://barefootnetworks.com/</t>
  </si>
  <si>
    <t>https://beehiiv.com/</t>
  </si>
  <si>
    <t>https://beek.io/en</t>
  </si>
  <si>
    <t>https://beme.com/</t>
  </si>
  <si>
    <t>https://ourberry.io/</t>
  </si>
  <si>
    <t>https://betawm.com/</t>
  </si>
  <si>
    <t>https://betdex.com/</t>
  </si>
  <si>
    <t>https://bettylabs.io/</t>
  </si>
  <si>
    <t>https://emversity.com/</t>
  </si>
  <si>
    <t>https://bhanzu.com/</t>
  </si>
  <si>
    <t>https://bigsur.ai/</t>
  </si>
  <si>
    <t>https://binaris.com/</t>
  </si>
  <si>
    <t>https://bitmain.com/</t>
  </si>
  <si>
    <t>https://blacklake.cn/</t>
  </si>
  <si>
    <t>https://blameless.com/</t>
  </si>
  <si>
    <t>https://blend.com/</t>
  </si>
  <si>
    <t>https://blinkops.com/</t>
  </si>
  <si>
    <t>https://blockchain.com/</t>
  </si>
  <si>
    <t>https://bloomreach.com/</t>
  </si>
  <si>
    <t>https://bluenile.com/</t>
  </si>
  <si>
    <t>https://bluebirds.com/</t>
  </si>
  <si>
    <t>https://bluepha.com/</t>
  </si>
  <si>
    <t>https://bluevine.com/</t>
  </si>
  <si>
    <t>https://bmser.com/</t>
  </si>
  <si>
    <t>https://joinbonnet.com/</t>
  </si>
  <si>
    <t>https://bonobos.com/</t>
  </si>
  <si>
    <t>https://brigit.com/</t>
  </si>
  <si>
    <t>https://brocade.com/</t>
  </si>
  <si>
    <t>https://bromium.com/</t>
  </si>
  <si>
    <t>https://btcchina.com/</t>
  </si>
  <si>
    <t>https://buildingconnected.com/</t>
  </si>
  <si>
    <t>https://buildots.com/</t>
  </si>
  <si>
    <t>https://byjus.com/</t>
  </si>
  <si>
    <t>https://calistatechnologies.com/</t>
  </si>
  <si>
    <t>https://calm.com/</t>
  </si>
  <si>
    <t>https://cameo.com/</t>
  </si>
  <si>
    <t>https://candis.io/</t>
  </si>
  <si>
    <t>https://cartesia.ai/</t>
  </si>
  <si>
    <t>https://celequest.com/</t>
  </si>
  <si>
    <t>https://celona.io/</t>
  </si>
  <si>
    <t>https://centricity.co.in/</t>
  </si>
  <si>
    <t>https://certik.com/</t>
  </si>
  <si>
    <t>https://chainguard.dev/</t>
  </si>
  <si>
    <t>https://chaoslabs.xyz/</t>
  </si>
  <si>
    <t>https://ciena.com/</t>
  </si>
  <si>
    <t>https://dronecitadel.com/</t>
  </si>
  <si>
    <t>https://pota.hiclark.com/</t>
  </si>
  <si>
    <t>https://www.cleanliquor.com/</t>
  </si>
  <si>
    <t>https://clickhouse.com/</t>
  </si>
  <si>
    <t>https://cloudbees.com/</t>
  </si>
  <si>
    <t>https://clutch.security/</t>
  </si>
  <si>
    <t>https://cohere-technologies.com/</t>
  </si>
  <si>
    <t>https://commando.dev/</t>
  </si>
  <si>
    <t>https://communitylabs.com/</t>
  </si>
  <si>
    <t>https://comprehend.com/</t>
  </si>
  <si>
    <t>https://www.confluera.com/</t>
  </si>
  <si>
    <t>https://cosmart.id/</t>
  </si>
  <si>
    <t>https://craftsvilla.com/</t>
  </si>
  <si>
    <t>https://superfanapp.com/</t>
  </si>
  <si>
    <t>https://cuein.ai/</t>
  </si>
  <si>
    <t>https://curvehealth.com/</t>
  </si>
  <si>
    <t>https://cycognito.com/</t>
  </si>
  <si>
    <t>https://d2g-oncology.com/</t>
  </si>
  <si>
    <t>https://darwinbox.com/</t>
  </si>
  <si>
    <t>https://databricks.com/</t>
  </si>
  <si>
    <t>https://datafleets.com/</t>
  </si>
  <si>
    <t>https://datastax.com/</t>
  </si>
  <si>
    <t>https://datorama.com/</t>
  </si>
  <si>
    <t>https://datos.io/</t>
  </si>
  <si>
    <t>https://www.datrium.com/</t>
  </si>
  <si>
    <t>https://daybreakhealth.com/</t>
  </si>
  <si>
    <t>https://delphix.com/</t>
  </si>
  <si>
    <t>https://descope.com/</t>
  </si>
  <si>
    <t>https://distyl.ai/</t>
  </si>
  <si>
    <t>https://docker.com/</t>
  </si>
  <si>
    <t>https://doubleclick.com/</t>
  </si>
  <si>
    <t>https://www.dpanda.in/</t>
  </si>
  <si>
    <t>https://dremio.com/</t>
  </si>
  <si>
    <t>https://eco.com/</t>
  </si>
  <si>
    <t>https://edgespring.com/</t>
  </si>
  <si>
    <t>https://ehealthinsurance.com/</t>
  </si>
  <si>
    <t>https://elastifile.com/</t>
  </si>
  <si>
    <t>https://elementor.com/</t>
  </si>
  <si>
    <t>https://elementum.com/</t>
  </si>
  <si>
    <t>https://enable.com/</t>
  </si>
  <si>
    <t>https://endowus.com/</t>
  </si>
  <si>
    <t>https://enlazatx.com/</t>
  </si>
  <si>
    <t>https://ensilo.com/</t>
  </si>
  <si>
    <t>https://eon.io/</t>
  </si>
  <si>
    <t>https://epropulsion.cn/</t>
  </si>
  <si>
    <t>https://epsagon.com/</t>
  </si>
  <si>
    <t>https://eve.legal/</t>
  </si>
  <si>
    <t>https://eve.com/</t>
  </si>
  <si>
    <t>https://evenuplaw.com/</t>
  </si>
  <si>
    <t>https://everstring.com/</t>
  </si>
  <si>
    <t>https://everyrealm.com/</t>
  </si>
  <si>
    <t>https://exa.ai/</t>
  </si>
  <si>
    <t>https://exabeam.com/</t>
  </si>
  <si>
    <t>https://exponent.energy/</t>
  </si>
  <si>
    <t>https://eyeviewdigital.com/</t>
  </si>
  <si>
    <t>https://ezcater.com/</t>
  </si>
  <si>
    <t>https://faceu.net/</t>
  </si>
  <si>
    <t>https://falconx.io/</t>
  </si>
  <si>
    <t>https://fcf.io/home</t>
  </si>
  <si>
    <t>https://faraway.gg/</t>
  </si>
  <si>
    <t>https://farther.com/</t>
  </si>
  <si>
    <t>https://fashionara.com/</t>
  </si>
  <si>
    <t>https://fathomhealth.com/</t>
  </si>
  <si>
    <t>https://fiddler.ai/</t>
  </si>
  <si>
    <t>https://fidu.la/</t>
  </si>
  <si>
    <t>https://finaloop.com/</t>
  </si>
  <si>
    <t>https://finixpayments.com/</t>
  </si>
  <si>
    <t>https://finvgroup.com/</t>
  </si>
  <si>
    <t>https://fire.glass/</t>
  </si>
  <si>
    <t>https://fivestars.com/</t>
  </si>
  <si>
    <t>https://flickplay.co/</t>
  </si>
  <si>
    <t>https://justflip.com/</t>
  </si>
  <si>
    <t>https://flixster.com/</t>
  </si>
  <si>
    <t>https://flockjay.com/</t>
  </si>
  <si>
    <t>https://flowspecialty.com/</t>
  </si>
  <si>
    <t>https://theforage.com/</t>
  </si>
  <si>
    <t>https://fordefi.com/</t>
  </si>
  <si>
    <t>https://mlfoundry.com/</t>
  </si>
  <si>
    <t>https://foxy.in/</t>
  </si>
  <si>
    <t>https://freespira.com/</t>
  </si>
  <si>
    <t>https://freighttiger.com/</t>
  </si>
  <si>
    <t>https://freshmenu.com/</t>
  </si>
  <si>
    <t>https://fronterahealth.com/</t>
  </si>
  <si>
    <t>https://frubana.com/</t>
  </si>
  <si>
    <t>https://www.fullview.io/</t>
  </si>
  <si>
    <t>https://fuisionio.com/</t>
  </si>
  <si>
    <t>https://gainsight.com/</t>
  </si>
  <si>
    <t>https://gardens.dev/</t>
  </si>
  <si>
    <t>https://geniebook.com/</t>
  </si>
  <si>
    <t>https://giphy.com/</t>
  </si>
  <si>
    <t>https://girlboss.com/</t>
  </si>
  <si>
    <t>https://globalbees.com/</t>
  </si>
  <si>
    <t>https://myglobalfair.com/</t>
  </si>
  <si>
    <t>https://goodfire.ai/</t>
  </si>
  <si>
    <t>https://grab.com/</t>
  </si>
  <si>
    <t>https://granola.so/</t>
  </si>
  <si>
    <t>https://cisco.com/</t>
  </si>
  <si>
    <t>https://grubhub.com/</t>
  </si>
  <si>
    <t>https://www.gushwork.ai/</t>
  </si>
  <si>
    <t>https://joinhandshake.com/</t>
  </si>
  <si>
    <t>https://hasura.io/</t>
  </si>
  <si>
    <t>https://healthplix.pro/</t>
  </si>
  <si>
    <t>https://helionenergy.com/</t>
  </si>
  <si>
    <t>https://heptio.com/</t>
  </si>
  <si>
    <t>https://heraldapi.com/</t>
  </si>
  <si>
    <t>https://herbeast.cn/</t>
  </si>
  <si>
    <t>https://heygo.com/</t>
  </si>
  <si>
    <t>https://hiddenleafgames.com/</t>
  </si>
  <si>
    <t>https://highfive.com/</t>
  </si>
  <si>
    <t>https://hillevax.com/</t>
  </si>
  <si>
    <t>https://holoam.com/</t>
  </si>
  <si>
    <t>https://homary.com/</t>
  </si>
  <si>
    <t>https://honeylove.co/</t>
  </si>
  <si>
    <t>https://houseofx.in/</t>
  </si>
  <si>
    <t>https://hubilo.com/</t>
  </si>
  <si>
    <t>https://hungryroot.com/</t>
  </si>
  <si>
    <t>https://hyperguest.com/</t>
  </si>
  <si>
    <t>https://ihaveu.com/</t>
  </si>
  <si>
    <t>https://illumix.com/</t>
  </si>
  <si>
    <t>https://immunostherapeutics.com/</t>
  </si>
  <si>
    <t>https://impira.com/</t>
  </si>
  <si>
    <t>https://iexindia.com/</t>
  </si>
  <si>
    <t>https://infiot.com/</t>
  </si>
  <si>
    <t>https://influitive.com/</t>
  </si>
  <si>
    <t>https://informatica.com/</t>
  </si>
  <si>
    <t>https://innovaccer.com/</t>
  </si>
  <si>
    <t>https://intenseye.com/</t>
  </si>
  <si>
    <t>https://ioturbine.com/</t>
  </si>
  <si>
    <t>https://itsgood.life/</t>
  </si>
  <si>
    <t>https://joopiter.com/</t>
  </si>
  <si>
    <t>https://jumprope.com/</t>
  </si>
  <si>
    <t>https://k-id.com/</t>
  </si>
  <si>
    <t>https://k2space.com/</t>
  </si>
  <si>
    <t>https://kalamlabs.in/</t>
  </si>
  <si>
    <t>https://kariusdx.com/</t>
  </si>
  <si>
    <t>https://kespry.com/</t>
  </si>
  <si>
    <t>https://keychain.com/</t>
  </si>
  <si>
    <t>https://kikoff.com/</t>
  </si>
  <si>
    <t>https://kirilys.com/</t>
  </si>
  <si>
    <t>https://kodiak.ai/</t>
  </si>
  <si>
    <t>https://kongregate.com/</t>
  </si>
  <si>
    <t>https://kosmix.com/</t>
  </si>
  <si>
    <t>https://kumospace.com/</t>
  </si>
  <si>
    <t>https://ladderlife.com/</t>
  </si>
  <si>
    <t>https://langfuse.com/</t>
  </si>
  <si>
    <t>https://ledgerx.com/</t>
  </si>
  <si>
    <t>https://leetcode-cn.com/</t>
  </si>
  <si>
    <t>https://lemon.markets/</t>
  </si>
  <si>
    <t>https://level.com/</t>
  </si>
  <si>
    <t>https://intel.com/</t>
  </si>
  <si>
    <t>https://golightyear.com/</t>
  </si>
  <si>
    <t>https://linkedcare.cn/</t>
  </si>
  <si>
    <t>https://lio.io/</t>
  </si>
  <si>
    <t>https://litatom.com/</t>
  </si>
  <si>
    <t>https://liveu.tv/</t>
  </si>
  <si>
    <t>https://51lepai.com/</t>
  </si>
  <si>
    <t>https://lunchclub.ai/</t>
  </si>
  <si>
    <t>https://magicspoon.com/</t>
  </si>
  <si>
    <t>https://magicpin.in/</t>
  </si>
  <si>
    <t>https://conexant.com/</t>
  </si>
  <si>
    <t>https://www.markato.com/</t>
  </si>
  <si>
    <t>https://www.marqo.ai/</t>
  </si>
  <si>
    <t>https://masergy.com/</t>
  </si>
  <si>
    <t>https://materialize.com/</t>
  </si>
  <si>
    <t>https://getmayd.com/</t>
  </si>
  <si>
    <t>https://mdclone.com/</t>
  </si>
  <si>
    <t>https://medikine.com/</t>
  </si>
  <si>
    <t>https://memoir-systems.com/</t>
  </si>
  <si>
    <t>https://memverge.com/</t>
  </si>
  <si>
    <t>https://letsmend.com/</t>
  </si>
  <si>
    <t>https://oracle.com/metasolv</t>
  </si>
  <si>
    <t>https://metispharmaceuticals.cn/</t>
  </si>
  <si>
    <t>https://millennialfox.com/</t>
  </si>
  <si>
    <t>https://ming-med.com/</t>
  </si>
  <si>
    <t>https://mist.com/</t>
  </si>
  <si>
    <t>https://www.mittilabs.earth/</t>
  </si>
  <si>
    <t>https://www.mstack.in/</t>
  </si>
  <si>
    <t>https://mulesoft.com/</t>
  </si>
  <si>
    <t>https://munitienda.com/</t>
  </si>
  <si>
    <t>https://mybuys.com/</t>
  </si>
  <si>
    <t>https://mystenlabs.com/</t>
  </si>
  <si>
    <t>https://nas.io/</t>
  </si>
  <si>
    <t>https://natera.com/</t>
  </si>
  <si>
    <t>https://nekohealth.com/</t>
  </si>
  <si>
    <t>https://zaijia.com/</t>
  </si>
  <si>
    <t>https://neuralgalaxy.com/</t>
  </si>
  <si>
    <t>https://newrizon.com/</t>
  </si>
  <si>
    <t>https://nexprt.com/</t>
  </si>
  <si>
    <t>https://nextbillion.ai/</t>
  </si>
  <si>
    <t>https://nexus.xyz/</t>
  </si>
  <si>
    <t>https://ngrok.com/</t>
  </si>
  <si>
    <t>https://nicira.com/</t>
  </si>
  <si>
    <t>https://nimblestorage.com/</t>
  </si>
  <si>
    <t>https://nirvanatech.com/</t>
  </si>
  <si>
    <t>https://noetica.ai/</t>
  </si>
  <si>
    <t>https://normalyze.ai/</t>
  </si>
  <si>
    <t>https://numerify.com/</t>
  </si>
  <si>
    <t>https://nym.health/</t>
  </si>
  <si>
    <t>https://observo.ai/</t>
  </si>
  <si>
    <t>https://officebanao.com/</t>
  </si>
  <si>
    <t>https://okcredit.in/</t>
  </si>
  <si>
    <t>https://olema.com/</t>
  </si>
  <si>
    <t>https://oligo.security/</t>
  </si>
  <si>
    <t>https://oneassist.in/</t>
  </si>
  <si>
    <t>https://onemoregame.com/</t>
  </si>
  <si>
    <t>https://orbiseducation.com/</t>
  </si>
  <si>
    <t>https://origamilogic.com/</t>
  </si>
  <si>
    <t>https://orqafpv.com/</t>
  </si>
  <si>
    <t>https://osmos.io/</t>
  </si>
  <si>
    <t>https://outbrain.com/</t>
  </si>
  <si>
    <t>https://outschool.com/</t>
  </si>
  <si>
    <t>https://overops.com/</t>
  </si>
  <si>
    <t>https://oyorooms.com/</t>
  </si>
  <si>
    <t>https://p0.inc/</t>
  </si>
  <si>
    <t>https://p0.dev/</t>
  </si>
  <si>
    <t>https://pacificfusion.com/</t>
  </si>
  <si>
    <t>https://runpanther.io/</t>
  </si>
  <si>
    <t>https://parallel.fi/</t>
  </si>
  <si>
    <t>https://parsable.com/</t>
  </si>
  <si>
    <t>https://particle.news/</t>
  </si>
  <si>
    <t>https://patronus.ai/</t>
  </si>
  <si>
    <t>https://payitoff.io/</t>
  </si>
  <si>
    <t>https://pebblelife.com/</t>
  </si>
  <si>
    <t>https://pensando.io/</t>
  </si>
  <si>
    <t>https://people.ai/</t>
  </si>
  <si>
    <t>https://peppercontent.in/</t>
  </si>
  <si>
    <t>https://percolate.com/</t>
  </si>
  <si>
    <t>https://pernixdata.com/</t>
  </si>
  <si>
    <t>https://personalis.com/</t>
  </si>
  <si>
    <t>https://personetics.com/</t>
  </si>
  <si>
    <t>https://pheontx.com/</t>
  </si>
  <si>
    <t>https://openwave.com/</t>
  </si>
  <si>
    <t>https://www.pw.live/</t>
  </si>
  <si>
    <t>https://pintu.co.id/</t>
  </si>
  <si>
    <t>https://pixxel.space/</t>
  </si>
  <si>
    <t>https://plana.earth/</t>
  </si>
  <si>
    <t>https://playdom.com/</t>
  </si>
  <si>
    <t>https://plexistor.com/</t>
  </si>
  <si>
    <t>https://plexxi.com/</t>
  </si>
  <si>
    <t>https://plianttechnology.com/</t>
  </si>
  <si>
    <t>https://plus.ai/</t>
  </si>
  <si>
    <t>https://plushcare.com/</t>
  </si>
  <si>
    <t>https://pocketfm.com/</t>
  </si>
  <si>
    <t>https://polarsignals.com/</t>
  </si>
  <si>
    <t>https://polygon.technology/</t>
  </si>
  <si>
    <t>https://poncho.is/</t>
  </si>
  <si>
    <t>https://ponder.io/</t>
  </si>
  <si>
    <t>https://pontera.com/</t>
  </si>
  <si>
    <t>https://portkey.ai/</t>
  </si>
  <si>
    <t>https://predicthq.com/</t>
  </si>
  <si>
    <t>https://projectdiscovery.io/</t>
  </si>
  <si>
    <t>https://propertyshare.in/</t>
  </si>
  <si>
    <t>https://workboard.com/okrs/</t>
  </si>
  <si>
    <t>https://alphonsolabs.com/</t>
  </si>
  <si>
    <t>https://pushpinsapp.com/</t>
  </si>
  <si>
    <t>https://pmc-sierra.com/</t>
  </si>
  <si>
    <t>https://quantumscape.com/</t>
  </si>
  <si>
    <t>https://qubole.com/</t>
  </si>
  <si>
    <t>https://www.qure.ai/</t>
  </si>
  <si>
    <t>https://radiantsecurity.ai/</t>
  </si>
  <si>
    <t>https://rapsphere.com/</t>
  </si>
  <si>
    <t>https://gorattle.com/</t>
  </si>
  <si>
    <t>https://razorpay.com/</t>
  </si>
  <si>
    <t>https://join-real.com/</t>
  </si>
  <si>
    <t>https://recordgram.com/</t>
  </si>
  <si>
    <t>https://redpanda.com/</t>
  </si>
  <si>
    <t>https://reflektive.com/</t>
  </si>
  <si>
    <t>https://reliable.co/</t>
  </si>
  <si>
    <t>https://rephrase.ai/</t>
  </si>
  <si>
    <t>https://ripple.com/</t>
  </si>
  <si>
    <t>https://rippling.com/</t>
  </si>
  <si>
    <t>https://riverbed.com/</t>
  </si>
  <si>
    <t>https://robco.de/</t>
  </si>
  <si>
    <t>https://roofstock.com/</t>
  </si>
  <si>
    <t>https://rothys.com/</t>
  </si>
  <si>
    <t>https://runway.com/</t>
  </si>
  <si>
    <t>https://sailpoint.com/</t>
  </si>
  <si>
    <t>https://salto.io/</t>
  </si>
  <si>
    <t>https://saronic.com/</t>
  </si>
  <si>
    <t>https://www.sarvam.ai/</t>
  </si>
  <si>
    <t>https://satellite.bio/</t>
  </si>
  <si>
    <t>https://scaleops.com/</t>
  </si>
  <si>
    <t>https://scodix.com/</t>
  </si>
  <si>
    <t>https://scorpiontx.vom/</t>
  </si>
  <si>
    <t>https://scrut.io/</t>
  </si>
  <si>
    <t>https://seel.com/</t>
  </si>
  <si>
    <t>https://seismictx.com/</t>
  </si>
  <si>
    <t>https://selectstar.com/</t>
  </si>
  <si>
    <t>https://semgrep.dev/</t>
  </si>
  <si>
    <t>https://sentio.xyz/</t>
  </si>
  <si>
    <t>https://serverless.com/</t>
  </si>
  <si>
    <t>https://setu.co/</t>
  </si>
  <si>
    <t>https://seventhspark.com/</t>
  </si>
  <si>
    <t>https://platform.shapes.inc/</t>
  </si>
  <si>
    <t>https://sharechat.com/</t>
  </si>
  <si>
    <t>https://shipper.id/</t>
  </si>
  <si>
    <t>https://shoedazzle.com/</t>
  </si>
  <si>
    <t>https://shortwave.com/</t>
  </si>
  <si>
    <t>https://sycamorenet.com/</t>
  </si>
  <si>
    <t>https://skild.com/</t>
  </si>
  <si>
    <t>https://skyfire.com/</t>
  </si>
  <si>
    <t>https://slice.com/</t>
  </si>
  <si>
    <t>https://smartex.ai/</t>
  </si>
  <si>
    <t>https://snaproute.com/</t>
  </si>
  <si>
    <t>https://soba.xyz/</t>
  </si>
  <si>
    <t>https://sodahealth.com/</t>
  </si>
  <si>
    <t>https://solana.com/</t>
  </si>
  <si>
    <t>https://solaredge.com/</t>
  </si>
  <si>
    <t>https://www.solarsquare.in/</t>
  </si>
  <si>
    <t>https://spiff.com/</t>
  </si>
  <si>
    <t>https://split.io/</t>
  </si>
  <si>
    <t>https://stability.ai/</t>
  </si>
  <si>
    <t>https://stablemoney.in/</t>
  </si>
  <si>
    <t>https://standard-robots.com/</t>
  </si>
  <si>
    <t>https://staranalytics.com/</t>
  </si>
  <si>
    <t>https://starfieldcn.com/</t>
  </si>
  <si>
    <t>https://stickies.wtf/</t>
  </si>
  <si>
    <t>https://storicard.com/</t>
  </si>
  <si>
    <t>https://streaml.io/</t>
  </si>
  <si>
    <t>https://streamonce.com/</t>
  </si>
  <si>
    <t>https://styleseat.com/</t>
  </si>
  <si>
    <t>https://substrate.run/</t>
  </si>
  <si>
    <t>https://gosummer.com/</t>
  </si>
  <si>
    <t>https://sunmi.com/</t>
  </si>
  <si>
    <t>https://suno.com/</t>
  </si>
  <si>
    <t>https://supabase.com/</t>
  </si>
  <si>
    <t>https://gosupercritical.com/</t>
  </si>
  <si>
    <t>https://synctera.com/</t>
  </si>
  <si>
    <t>https://table22.com/</t>
  </si>
  <si>
    <t>https://tabs.inc/</t>
  </si>
  <si>
    <t>https://talon-sec.com/</t>
  </si>
  <si>
    <t>https://tana.inc/</t>
  </si>
  <si>
    <t>https://taskrabbit.com/</t>
  </si>
  <si>
    <t>https://teachmint.com/</t>
  </si>
  <si>
    <t>https://teads.tv/</t>
  </si>
  <si>
    <t>https://telegram.org/</t>
  </si>
  <si>
    <t>https://ti.com/</t>
  </si>
  <si>
    <t>https://tennr.com/</t>
  </si>
  <si>
    <t>https://terminal.io/</t>
  </si>
  <si>
    <t>https://tessell.com/</t>
  </si>
  <si>
    <t>https://testim.io/</t>
  </si>
  <si>
    <t>https://honest.com/</t>
  </si>
  <si>
    <t>https://thehouseoflrc.com/</t>
  </si>
  <si>
    <t>https://nudgetext.com/</t>
  </si>
  <si>
    <t>https://www.thena.ai/</t>
  </si>
  <si>
    <t>https://theranica.com/</t>
  </si>
  <si>
    <t>https://thetalake.com/</t>
  </si>
  <si>
    <t>https://thunkable.com/</t>
  </si>
  <si>
    <t>https://tollbit.com/</t>
  </si>
  <si>
    <t>https://beta.tome.app/</t>
  </si>
  <si>
    <t>https://tonkean.com/</t>
  </si>
  <si>
    <t>https://toonimo.com/</t>
  </si>
  <si>
    <t>https://tourhero.com/</t>
  </si>
  <si>
    <t>https://trendsi.com/</t>
  </si>
  <si>
    <t>https://trianabio.com/</t>
  </si>
  <si>
    <t>https://www.triomics.com/</t>
  </si>
  <si>
    <t>https://tripledotstudios.com/</t>
  </si>
  <si>
    <t>https://trust.co/</t>
  </si>
  <si>
    <t>https://tutorvista.com/</t>
  </si>
  <si>
    <t>https://udaan.com/</t>
  </si>
  <si>
    <t>https://landing.ula.app/en/</t>
  </si>
  <si>
    <t>https://uni.club/</t>
  </si>
  <si>
    <t>https://uniteddwelling.com/</t>
  </si>
  <si>
    <t>https://unstract.com/</t>
  </si>
  <si>
    <t>https://varada.io/</t>
  </si>
  <si>
    <t>https://varagesale.com/</t>
  </si>
  <si>
    <t>https://vegrow.in/</t>
  </si>
  <si>
    <t>https://verkada.com/</t>
  </si>
  <si>
    <t>https://vestwell.com/</t>
  </si>
  <si>
    <t>https://vexata.com/</t>
  </si>
  <si>
    <t>https://sap.com/</t>
  </si>
  <si>
    <t>https://virtualinstruments.com/</t>
  </si>
  <si>
    <t>https://www.volleythat.com/</t>
  </si>
  <si>
    <t>https://voltrondata.com/</t>
  </si>
  <si>
    <t>https://www.wayz.ai/</t>
  </si>
  <si>
    <t>https://webull.com/</t>
  </si>
  <si>
    <t>https://sayweee.com/</t>
  </si>
  <si>
    <t>https://whatnot.com/</t>
  </si>
  <si>
    <t>https://wheelocity.com/</t>
  </si>
  <si>
    <t>https://wi-charge.com/</t>
  </si>
  <si>
    <t>https://wintermute.com/</t>
  </si>
  <si>
    <t>https://witag.co/</t>
  </si>
  <si>
    <t>https://workos.com/</t>
  </si>
  <si>
    <t>https://xaira.com/</t>
  </si>
  <si>
    <t>https://xembly.com/</t>
  </si>
  <si>
    <t>https://xentral.com/</t>
  </si>
  <si>
    <t>https://xflowpay.com/</t>
  </si>
  <si>
    <t>https://shopyaysay.com/</t>
  </si>
  <si>
    <t>https://yellowmessenger.com/</t>
  </si>
  <si>
    <t>https://www.you.co/sg/</t>
  </si>
  <si>
    <t>https://www.go-yubi.com/</t>
  </si>
  <si>
    <t>https://yuga.com/</t>
  </si>
  <si>
    <t>https://tryzapp.com/</t>
  </si>
  <si>
    <t>https://zebec.io/</t>
  </si>
  <si>
    <t>https://www.zeptonow.com/</t>
  </si>
  <si>
    <t>https://zerion.io/</t>
  </si>
  <si>
    <t>https://zest.ai/</t>
  </si>
  <si>
    <t>https://zetwerk.com/</t>
  </si>
  <si>
    <t>https://zipstack.com/</t>
  </si>
  <si>
    <t>https://www.zluri.com/</t>
  </si>
  <si>
    <t>https://zolve.com/</t>
  </si>
  <si>
    <t>https://zscaler.com/</t>
  </si>
  <si>
    <t>https://zyod.com/</t>
  </si>
  <si>
    <t>£</t>
  </si>
  <si>
    <t>sellability_score</t>
  </si>
  <si>
    <t>things_theyd_personalize</t>
  </si>
  <si>
    <t>informal_company_name</t>
  </si>
  <si>
    <t>uploaded_to_instantly</t>
  </si>
  <si>
    <t>name</t>
  </si>
  <si>
    <t>Ticker Symbol</t>
  </si>
  <si>
    <t>Regions</t>
  </si>
  <si>
    <t>Sectors</t>
  </si>
  <si>
    <t>Investment Stage</t>
  </si>
  <si>
    <t>URL</t>
  </si>
  <si>
    <t>Description</t>
  </si>
  <si>
    <t>Founders</t>
  </si>
  <si>
    <t>Index Team</t>
  </si>
  <si>
    <t>offers_demo</t>
  </si>
  <si>
    <t>commonroom.io</t>
  </si>
  <si>
    <t>[{"value":"jake@commonroom.io","type":"personal","confidence":99,"sources":[{"domain":"linkedin.com","uri":"https://www.google.com/search?q=site:linkedin.com%20jacob%20colter%20commonroom","extracted_on":"2025-01-07","last_seen_on":"2025-01-07","still_on_page":true}],"first_name":"Jacob","last_name":"Colter","position":"Account Executive","position_raw":"Enterprise Account Executive","seniority":"executive","department":"sales","linkedin":"https://www.linkedin.com/in/colterjake","twitter":null,"phone_number":null,"verification":{"date":"2025-02-16","status":"valid"}},{"value":"racheleldracher@commonroom.io","type":"personal","confidence":98,"sources":[{"domain":"linkedin.com","uri":"https://www.google.com/search?q=site:linkedin.com%20rachel%20eldracher%20commonroom","extracted_on":"2025-01-07","last_seen_on":"2025-01-07","still_on_page":true}],"first_name":"Rachel","last_name":"Eldracher","position":"Account Executive","position_raw":"Enterprise Account Executive","seniority":"executive","department":"sales","linkedin":"https://www.linkedin.com/in/rachel-eldracher-19612939","twitter":null,"phone_number":null,"verification":{"date":"2025-01-01","status":"valid"}},{"value":"collin@commonroom.io","type":"personal","confidence":98,"sources":[{"domain":"linkedin.com","uri":"https://www.google.com/search?q=site:linkedin.com%20collin%20knee%20commonroom","extracted_on":"2025-01-07","last_seen_on":"2025-01-07","still_on_page":true}],"first_name":"Collin","last_name":"Knee","position":"Account Executive","position_raw":"Account Executive","seniority":"executive","department":"sales","linkedin":"https://www.linkedin.com/in/collin-knee-b546b9b0","twitter":null,"phone_number":null,"verification":{"date":"2025-01-07","status":"valid"}},{"value":"zahra@commonroom.io","type":"personal","confidence":96,"sources":[{"domain":"linkedin.com","uri":"https://www.google.com/search?q=site:linkedin.com%20zahra%20dossa%20commonroom","extracted_on":"2025-01-03","last_seen_on":"2025-01-03","still_on_page":true}],"first_name":"Zahra","last_name":"Dossa","position":"Business Operations Manager","position_raw":"Business Operations","seniority":"senior","department":"sales","linkedin":"https://www.linkedin.com/in/zahra-dossa-66356533","twitter":null,"phone_number":null,"verification":{"date":null,"status":null}},{"value":"sales@commonroom.io","type":"generic","confidence":78,"sources":[{"domain":"commonroom.io","uri":"http://commonroom.io/blog/put-your-gtm-plays-on-autopilot-with-intelligent-automations","extracted_on":"2024-06-25","last_seen_on":"2025-01-09","still_on_page":true},{"domain":"commonroom.io","uri":"http://commonroom.io/blog/winter-2024-product-roundup","extracted_on":"2024-06-25","last_seen_on":"2025-01-09","still_on_page":true}],"first_name":null,"last_name":null,"position":null,"position_raw":null,"seniority":null,"department":"sales","linkedin":null,"twitter":null,"phone_number":null,"verification":{"date":null,"status":null}}]</t>
  </si>
  <si>
    <t>For you guys that might mean personalized signals... or AI automations.</t>
  </si>
  <si>
    <t>Common Room</t>
  </si>
  <si>
    <t>business-applications</t>
  </si>
  <si>
    <t>seed; all-seed</t>
  </si>
  <si>
    <t>/companies/common-room/</t>
  </si>
  <si>
    <t>Common Room is the leading Customer Intelligence Platform. With Common Room, GTM teams a single place to capture every buying signal, uncover the person &amp;amp; account behind the signal, and run high-converting plays at scale.</t>
  </si>
  <si>
    <t>Linda Lian; Francis Luu; Tom Kleinpeter; Viraj Mody</t>
  </si>
  <si>
    <t>Team; Team; Danny Rimer; Team</t>
  </si>
  <si>
    <t>true</t>
  </si>
  <si>
    <t>wiz.io</t>
  </si>
  <si>
    <t>[{"value":"terry.baldwin@wiz.io","type":"personal","confidence":99,"sources":[{"domain":"linkedin.com","uri":"https://www.google.com/search?q=site:linkedin.com%20terry%20baldwin%20wiz","extracted_on":"2025-01-12","last_seen_on":"2025-01-12","still_on_page":true}],"first_name":"Terry","last_name":"Baldwin","position":"Regional Sales Director","position_raw":"Regional Director, Sales","seniority":null,"department":"sales","linkedin":"https://www.linkedin.com/in/terrybaldwin","twitter":null,"phone_number":null,"verification":{"date":"2025-01-30","status":"valid"}},{"value":"harrison.chase@wiz.io","type":"personal","confidence":99,"sources":[{"domain":"linkedin.com","uri":"https://www.google.com/search?q=site:linkedin.com%20harrison%20chase%20wiz","extracted_on":"2025-01-09","last_seen_on":"2025-01-09","still_on_page":true}],"first_name":"Harrison","last_name":"Chase","position":"Director of Sales","position_raw":"Director of Sales, Mid-Enterprise","seniority":null,"department":"sales","linkedin":"https://www.linkedin.com/in/harrison-chase","twitter":null,"phone_number":null,"verification":{"date":"2025-01-09","status":"valid"}},{"value":"ryan.axt@wiz.io","type":"personal","confidence":99,"sources":[{"domain":"linkedin.com","uri":"https://www.google.com/search?q=site:linkedin.com%20ryan%20axt%20wiz","extracted_on":"2025-01-12","last_seen_on":"2025-01-12","still_on_page":true}],"first_name":"Ryan","last_name":"Axt","position":"Account Executive","position_raw":"Account Executive","seniority":"executive","department":"sales","linkedin":"https://www.linkedin.com/in/ryan-axt-90675a32","twitter":null,"phone_number":null,"verification":{"date":null,"status":null}},{"value":"fanny.storm@wiz.io","type":"personal","confidence":99,"sources":[{"domain":"linkedin.com","uri":"https://www.google.com/search?q=site:linkedin.com%20fanny%20storm%20wiz","extracted_on":"2025-01-12","last_seen_on":"2025-01-12","still_on_page":true}],"first_name":"Fanny","last_name":"Storm","position":"Enterprise Account Executive","position_raw":"Enterprise Account Executive - Nordics","seniority":"executive","department":"sales","linkedin":"https://www.linkedin.com/in/fanny-storm-644a6a105","twitter":null,"phone_number":null,"verification":{"date":"2025-01-12","status":"valid"}},{"value":"nate.walker@wiz.io","type":"personal","confidence":99,"sources":[{"domain":"linkedin.com","uri":"https://www.google.com/search?q=site:linkedin.com%20nate%20walker%20wiz","extracted_on":"2025-01-11","last_seen_on":"2025-01-11","still_on_page":true}],"first_name":"Nate","last_name":"Walker","position":"Account Executive","position_raw":"Mid-Enterprise Account Executive","seniority":"executive","department":"sales","linkedin":"https://www.linkedin.com/in/nathaniel-walker","twitter":null,"phone_number":null,"verification":{"date":"2025-01-11","status":"valid"}},{"value":"charles.howell@wiz.io","type":"personal","confidence":99,"sources":[{"domain":"linkedin.com","uri":"https://www.google.com/search?q=site:linkedin.com%20charles%20howell%20wiz","extracted_on":"2025-01-11","last_seen_on":"2025-01-11","still_on_page":true}],"first_name":"Charles","last_name":"Howell","position":"Account Executive","position_raw":"Enterprise Account Executive","seniority":"executive","department":"sales","linkedin":"https://www.linkedin.com/in/charles-howell-a449385","twitter":null,"phone_number":null,"verification":{"date":"2025-01-11","status":"valid"}},{"value":"tony.shoyat@wiz.io","type":"personal","confidence":99,"sources":[{"domain":"linkedin.com","uri":"https://www.google.com/search?q=site:linkedin.com%20tony%20shoyat%20wiz","extracted_on":"2025-01-11","last_seen_on":"2025-01-11","still_on_page":true}],"first_name":"Tony","last_name":"Shoyat","position":"Account Executive","position_raw":"Enterprise Account Executive","seniority":"executive","department":"sales","linkedin":"https://www.linkedin.com/in/tony-shoyat-9a4a506","twitter":null,"phone_number":null,"verification":{"date":"2025-01-11","status":"valid"}},{"value":"todd.merriman@wiz.io","type":"personal","confidence":99,"sources":[{"domain":"linkedin.com","uri":"https://www.google.com/search?q=site:linkedin.com%20todd%20merriman%20wiz","extracted_on":"2025-01-11","last_seen_on":"2025-01-11","still_on_page":true}],"first_name":"Todd","last_name":"Merriman","position":"Account Executive","position_raw":"Account Executive","seniority":"executive","department":"sales","linkedin":"https://www.linkedin.com/in/todd-merriman-84b4182b","twitter":null,"phone_number":null,"verification":{"date":"2025-01-11","status":"valid"}},{"value":"kingston.lockwood@wiz.io","type":"personal","confidence":99,"sources":[{"domain":"linkedin.com","uri":"https://www.google.com/search?q=site:linkedin.com%20kingston%20lockwood%20wiz","extracted_on":"2025-01-11","last_seen_on":"2025-01-11","still_on_page":true}],"first_name":"Kingston","last_name":"Lockwood","position":"Account Executive","position_raw":"Account Executive","seniority":"executive","department":"sales","linkedin":"https://www.linkedin.com/in/kingston-lockwood-746146b8","twitter":null,"phone_number":null,"verification":{"date":"2025-01-11","status":"valid"}},{"value":"jeffrey.mallon@wiz.io","type":"personal","confidence":99,"sources":[{"domain":"linkedin.com","uri":"https://www.google.com/search?q=site:linkedin.com%20jeffrey%20mallon%20wiz","extracted_on":"2025-01-11","last_seen_on":"2025-01-11","still_on_page":true}],"first_name":"Jeffrey","last_name":"Mallon","position":"Account Executive","position_raw":"Account Executive, Mid/Enterprise","seniority":"executive","department":"sales","linkedin":"https://www.linkedin.com/in/jeffrey-mallon-35079980","twitter":null,"phone_number":null,"verification":{"date":"2025-01-11","status":"valid"}}]</t>
  </si>
  <si>
    <t>For you guys that might mean personalized cloud integrations... or alert configurations.</t>
  </si>
  <si>
    <t>Wiz</t>
  </si>
  <si>
    <t>asia</t>
  </si>
  <si>
    <t>security</t>
  </si>
  <si>
    <t>select</t>
  </si>
  <si>
    <t>/companies/wizio/</t>
  </si>
  <si>
    <t>Wiz is a new approach to cloud security that finds the most critical risks and infiltration vectors with complete coverage across the full stack of multi-cloud environments.</t>
  </si>
  <si>
    <t>Assaf Rappaport; Ami Luttwak; Roy Reznik; Yinon Costica</t>
  </si>
  <si>
    <t>Team; Team; Shardul Shah; Team</t>
  </si>
  <si>
    <t>tofuhq.com</t>
  </si>
  <si>
    <t>[]</t>
  </si>
  <si>
    <t>For you guys that might mean personalized target accounts... or personalized marketing workflows.</t>
  </si>
  <si>
    <t>Tofu</t>
  </si>
  <si>
    <t>aiml</t>
  </si>
  <si>
    <t>/companies/tofu/</t>
  </si>
  <si>
    <t>Tofu scales B2B marketing campaigns with AI by personalizing omni-channel content across customer segments and repurposing existing content.</t>
  </si>
  <si>
    <t>EJ Cho; Elaine Zelby; Honglei Liu</t>
  </si>
  <si>
    <t>Team; Team; Nina Achadjian; Team</t>
  </si>
  <si>
    <t>augmentcode.com</t>
  </si>
  <si>
    <t>For you guys that might mean personalized code completions... or personalized code suggestions.</t>
  </si>
  <si>
    <t>Augment</t>
  </si>
  <si>
    <t>/companies/augment/</t>
  </si>
  <si>
    <t>The AI-powered coding assistant.</t>
  </si>
  <si>
    <t>Scott Dietzen; Guy Gur-Ari; Igor Ostrovsky</t>
  </si>
  <si>
    <t>linear.app</t>
  </si>
  <si>
    <t>[{"value":"casey@linear.app","type":"personal","confidence":99,"sources":[{"domain":"linkedin.com","uri":"https://www.google.com/search?q=site:linkedin.com%20casey%20bertenthal%20linear","extracted_on":"2025-01-07","last_seen_on":"2025-01-07","still_on_page":true},{"domain":"linear.app","uri":"http://linear.app/about","extracted_on":"2024-09-27","last_seen_on":"2024-09-27","still_on_page":true}],"first_name":"Casey","last_name":"Bertenthal","position":"Sales Director","position_raw":"Head of Sales","seniority":"executive","department":"sales","linkedin":"https://www.linkedin.com/in/casey-bertenthal","twitter":null,"phone_number":null,"verification":{"date":null,"status":null}},{"value":"jack@linear.app","type":"personal","confidence":98,"sources":[{"domain":"linear.app","uri":"http://linear.app/about","extracted_on":"2024-09-27","last_seen_on":"2024-09-27","still_on_page":true}],"first_name":"Jack","last_name":"Mangan","position":"Sales Representative","position_raw":"Sales","seniority":null,"department":"sales","linkedin":"https://www.linkedin.com/in/jack-mangan","twitter":null,"phone_number":null,"verification":{"date":"2025-01-10","status":"valid"}},{"value":"alexandra@linear.app","type":"personal","confidence":98,"sources":[{"domain":"linkedin.com","uri":"https://www.google.com/search?q=site:linkedin.com%20alexandra%20hughes%20linear","extracted_on":"2025-01-03","last_seen_on":"2025-01-03","still_on_page":true}],"first_name":"Alexandra","last_name":"Hughes","position":"Account Executive","position_raw":"Account Executive","seniority":"executive","department":"sales","linkedin":"https://www.linkedin.com/in/ahughes14","twitter":null,"phone_number":null,"verification":{"date":"2025-01-07","status":"valid"}},{"value":"tyler@linear.app","type":"personal","confidence":97,"sources":[{"domain":"linkedin.com","uri":"https://www.google.com/search?q=site:linkedin.com%20tyler%20black%20linear","extracted_on":"2025-01-07","last_seen_on":"2025-01-07","still_on_page":true},{"domain":"linear.app","uri":"http://linear.app/about","extracted_on":"2024-09-27","last_seen_on":"2024-09-27","still_on_page":true}],"first_name":"Tyler","last_name":"Black","position":"Account Executive","position_raw":"Account Executive","seniority":"executive","department":"sales","linkedin":"https://www.linkedin.com/in/tylerblacksales","twitter":null,"phone_number":null,"verification":{"date":"2025-02-17","status":"valid"}},{"value":"sales@linear.app","type":"generic","confidence":78,"sources":[{"domain":"linear.app","uri":"http://linear.app/docs/security","extracted_on":"2024-08-18","last_seen_on":"2024-12-31","still_on_page":true}],"first_name":null,"last_name":null,"position":null,"position_raw":null,"seniority":null,"department":"sales","linkedin":null,"twitter":null,"phone_number":null,"verification":{"date":null,"status":null}}]</t>
  </si>
  <si>
    <t>For you guys that might mean personalized issue statuses... or personalized project labels.</t>
  </si>
  <si>
    <t>Linear</t>
  </si>
  <si>
    <t>all-seed</t>
  </si>
  <si>
    <t>/companies/linear/</t>
  </si>
  <si>
    <t>The issue tracking tool you&amp;#x27;ll enjoy using.</t>
  </si>
  <si>
    <t>Jori Lallo; Karri Saarinen; Tuomas Artman</t>
  </si>
  <si>
    <t>Team; Team; Vlad Loktev; Team</t>
  </si>
  <si>
    <t>false</t>
  </si>
  <si>
    <t>otterize.com</t>
  </si>
  <si>
    <t>For you guys that might mean personalized ClientIntents... or automated policies.</t>
  </si>
  <si>
    <t>Otterize</t>
  </si>
  <si>
    <t>business-applications; open-source</t>
  </si>
  <si>
    <t>/companies/otterize/</t>
  </si>
  <si>
    <t>Otterize provides an open source intent-based access control (IBAC) solution for DevOps and platform engineers to automate the secure connection of services to each other and to infrastructure.</t>
  </si>
  <si>
    <t>Tomer Greenwald; Ori Shoshan; Uri Sarid</t>
  </si>
  <si>
    <t>Team; Team; Team</t>
  </si>
  <si>
    <t>vooma.ai</t>
  </si>
  <si>
    <t>[{"value":"jesse@vooma.ai","type":"personal","confidence":86,"sources":[{"domain":"linkedin.com","uri":"https://www.google.com/search?q=site:linkedin.com%20jesse%20buckingham%20vooma","extracted_on":"2025-01-14","last_seen_on":"2025-01-14","still_on_page":true}],"first_name":"Jesse","last_name":"Buckingham","position":"Founder","position_raw":"Founder","seniority":"executive","department":"executive","linkedin":"https://www.linkedin.com/in/jesse-buckingham-79649a26","twitter":null,"phone_number":null,"verification":{"date":"2025-02-11","status":"accept_all"}},{"value":"mike@vooma.ai","type":"personal","confidence":86,"sources":[{"domain":"linkedin.com","uri":"https://www.google.com/search?q=site:linkedin.com%20mike%20carter%20vooma","extracted_on":"2025-01-14","last_seen_on":"2025-01-14","still_on_page":true}],"first_name":"Mike","last_name":"Carter","position":"Founder","position_raw":"Founder","seniority":"executive","department":"executive","linkedin":"https://www.linkedin.com/in/mike-carter-04162861","twitter":null,"phone_number":null,"verification":{"date":"2025-02-10","status":"accept_all"}},{"value":"founders@vooma.ai","type":"generic","confidence":79,"sources":[{"domain":"ycombinator.com","uri":"http://ycombinator.com/companies/vooma","extracted_on":"2024-01-03","last_seen_on":"2024-12-19","still_on_page":true}],"first_name":null,"last_name":null,"position":null,"position_raw":null,"seniority":null,"department":null,"linkedin":null,"twitter":null,"phone_number":null,"verification":{"date":null,"status":null}},{"value":"hello@vooma.ai","type":"generic","confidence":79,"sources":[{"domain":"vooma.com","uri":"http://vooma.com/terms-of-service","extracted_on":"2024-07-16","last_seen_on":"2024-10-17","still_on_page":false},{"domain":"vooma.com","uri":"http://vooma.com","extracted_on":"2024-07-16","last_seen_on":"2024-10-16","still_on_page":false},{"domain":"vooma.com","uri":"http://vooma.com/privacy-policy","extracted_on":"2024-07-16","last_seen_on":"2024-10-16","still_on_page":false},{"domain":"tianet.org","uri":"http://tianet.org/news/tias-inaugural-media-day-shines-spotlight-on-logistics-industry-innovations","extracted_on":"2024-05-25","last_seen_on":"2024-08-25","still_on_page":false},{"domain":"vooma.ai","uri":"http://vooma.ai","extracted_on":"2023-05-02","last_seen_on":"2024-02-05","still_on_page":false},{"domain":"vooma.ai","uri":"http://vooma.ai/privacy-policy","extracted_on":"2023-05-02","last_seen_on":"2024-02-05","still_on_page":false},{"domain":"vooma.ai","uri":"http://vooma.ai/terms-of-service","extracted_on":"2023-05-02","last_seen_on":"2024-02-05","still_on_page":false}],"first_name":null,"last_name":null,"position":null,"position_raw":null,"seniority":null,"department":"support","linkedin":null,"twitter":null,"phone_number":null,"verification":{"date":null,"status":null}},{"value":"support@vooma.ai","type":"generic","confidence":78,"sources":[{"domain":"help.front.com","uri":"http://help.front.com/en/articles/1291456","extracted_on":"2024-11-28","last_seen_on":"2024-11-28","still_on_page":true}],"first_name":null,"last_name":null,"position":null,"position_raw":null,"seniority":null,"department":"support","linkedin":null,"twitter":null,"phone_number":null,"verification":{"date":null,"status":null}}]</t>
  </si>
  <si>
    <t>For you guys that might mean personalized rates or preferred lanes.</t>
  </si>
  <si>
    <t>Vooma</t>
  </si>
  <si>
    <t>aiml; data</t>
  </si>
  <si>
    <t>/companies/vooma/</t>
  </si>
  <si>
    <t>Jesse Buckingham; Mike Carter</t>
  </si>
  <si>
    <t>albertinvent.com</t>
  </si>
  <si>
    <t>[{"value":"don@albertinvent.com","type":"personal","confidence":94,"sources":[{"domain":"linkedin.com","uri":"https://www.google.com/search?q=site:linkedin.com%20don%20mcdowell%20albertinvent","extracted_on":"2025-01-13","last_seen_on":"2025-01-13","still_on_page":true}],"first_name":"Don","last_name":"McDowell","position":"Director of Sales","position_raw":"Director, Enterprise Sales","seniority":null,"department":"sales","linkedin":"https://www.linkedin.com/in/don-mcdowell","twitter":null,"phone_number":null,"verification":{"date":"2025-02-10","status":"accept_all"}},{"value":"joseph@albertinvent.com","type":"personal","confidence":91,"sources":[{"domain":"linkedin.com","uri":"https://www.google.com/search?q=site:linkedin.com%20joseph%20goad%20albertinvent","extracted_on":"2025-01-14","last_seen_on":"2025-01-14","still_on_page":true}],"first_name":"Joseph","last_name":"Goad","position":"Account Executive","position_raw":"Account Executive - Enterprise Sales","seniority":"executive","department":"sales","linkedin":"https://www.linkedin.com/in/josephgoad","twitter":null,"phone_number":null,"verification":{"date":"2025-01-14","status":"accept_all"}}]</t>
  </si>
  <si>
    <t>For you guys that might mean personalized ELN templates... or personalized inventory views.</t>
  </si>
  <si>
    <t>Albert</t>
  </si>
  <si>
    <t>/companies/albert/</t>
  </si>
  <si>
    <t>Everyday Albert’s cloud-based, data-driven platform is empowering thousands of scientists across 30+ countries to achieve better results.</t>
  </si>
  <si>
    <t>Nick Talken; Ken Kisner; Neelesh Vaikhary; Zack Kisner</t>
  </si>
  <si>
    <t>atlar.com</t>
  </si>
  <si>
    <t>For you guys that might mean personalized dashboards... or personalized bank connections.</t>
  </si>
  <si>
    <t>Atlar</t>
  </si>
  <si>
    <t>europe</t>
  </si>
  <si>
    <t>fintech</t>
  </si>
  <si>
    <t>/companies/atlar/</t>
  </si>
  <si>
    <t>The operating system for bank payments</t>
  </si>
  <si>
    <t>Joel Nordström; Joel Wagmark; Johannes Elgh</t>
  </si>
  <si>
    <t>Team; Team; Sofia Dolfe; Team</t>
  </si>
  <si>
    <t>brighthire.ai</t>
  </si>
  <si>
    <t>[{"value":"sales@brighthire.ai","type":"generic","confidence":94,"sources":[{"domain":"greenhouse.com","uri":"http://greenhouse.com/uk/integrations/brighthire","extracted_on":"2023-02-06","last_seen_on":"2024-12-31","still_on_page":true},{"domain":"remoteworksource.com","uri":"http://remoteworksource.com/company-directory/companies_tag/inclusion","extracted_on":"2023-12-11","last_seen_on":"2024-12-11","still_on_page":true},{"domain":"remoteworksource.com","uri":"http://remoteworksource.com/company-directory/companies_tag/hiring","extracted_on":"2023-08-23","last_seen_on":"2024-12-07","still_on_page":true},{"domain":"remoteworksource.com","uri":"http://remoteworksource.com/company-directory/companies_tag/talent-acquisition","extracted_on":"2023-08-23","last_seen_on":"2024-11-30","still_on_page":true},{"domain":"remoteworksource.com","uri":"http://remoteworksource.com/company-directory/companies_category/product/page/20","extracted_on":"2023-05-23","last_seen_on":"2024-11-28","still_on_page":true},{"domain":"remoteworksource.com","uri":"http://remoteworksource.com/company-directory/companies_tag/interview-training","extracted_on":"2023-08-23","last_seen_on":"2024-11-28","still_on_page":true}],"first_name":null,"last_name":null,"position":null,"position_raw":null,"seniority":null,"department":"sales","linkedin":null,"twitter":null,"phone_number":null,"verification":{"date":null,"status":null}}]</t>
  </si>
  <si>
    <t>For you guys that might mean personalized interview plans... or personalized scorecards.</t>
  </si>
  <si>
    <t>BrightHire</t>
  </si>
  <si>
    <t>/companies/brighthire/</t>
  </si>
  <si>
    <t>The future of hiring is rigorous, fast and fair.</t>
  </si>
  <si>
    <t>Benjamin Sesser; Teddy Chestnut</t>
  </si>
  <si>
    <t>castle.io</t>
  </si>
  <si>
    <t>For you guys that might mean personalized rule settings... or personalized risk scores.</t>
  </si>
  <si>
    <t>Castle</t>
  </si>
  <si>
    <t>/companies/castle/</t>
  </si>
  <si>
    <t>Keep out fake accounts. Protect real ones.</t>
  </si>
  <si>
    <t>Johan Brissmyr; Sebastian Wallin</t>
  </si>
  <si>
    <t>ethon.ai</t>
  </si>
  <si>
    <t>For you guys that might mean personalized OEE dashboards...or personalized root cause analyses.</t>
  </si>
  <si>
    <t>EthonAI</t>
  </si>
  <si>
    <t>/companies/ethonai/</t>
  </si>
  <si>
    <t>EthonAI builds causal AI to help manufacturers to gain unprecedented insights into their processes</t>
  </si>
  <si>
    <t>Julian Senoner; Bernhard Kratzwald</t>
  </si>
  <si>
    <t>Team; Team; Carlos Gonzalez-Cadenas; Katharina Wilhelm; Team</t>
  </si>
  <si>
    <t>resistant.ai</t>
  </si>
  <si>
    <t>[{"value":"simon.king@resistant.ai","type":"personal","confidence":99,"sources":[{"domain":"linkedin.com","uri":"https://www.google.com/search?q=site:linkedin.com%20simon%20king%20resistant","extracted_on":"2025-01-07","last_seen_on":"2025-01-07","still_on_page":true}],"first_name":"Simon","last_name":"King","position":"Director of Business Development","position_raw":"Head of Business Development - Global","seniority":null,"department":"sales","linkedin":"https://www.linkedin.com/in/simonking1988","twitter":null,"phone_number":null,"verification":{"date":null,"status":null}},{"value":"damiano.sclofani@resistant.ai","type":"personal","confidence":99,"sources":[{"domain":"linkedin.com","uri":"https://www.google.com/search?q=site:linkedin.com%20damiano%20sclofani%20resistant","extracted_on":"2025-01-07","last_seen_on":"2025-01-07","still_on_page":true},{"domain":"resistant.ai","uri":"http://resistant.ai/news/fincrime-cybersecurity-summit-uk","extracted_on":"2024-09-21","last_seen_on":"2024-09-21","still_on_page":true}],"first_name":"Damiano","last_name":"Sclofani","position":"Senior Business Development Manager","position_raw":"Senior Business Development Executive","seniority":"senior","department":"sales","linkedin":"https://www.linkedin.com/in/damiano-sclofani-45354a64","twitter":null,"phone_number":null,"verification":{"date":"2025-02-17","status":"valid"}},{"value":"hanks.massey@resistant.ai","type":"personal","confidence":99,"sources":[{"domain":"linkedin.com","uri":"https://www.google.com/search?q=site:linkedin.com%20hanks%20massey%20resistant","extracted_on":"2025-01-07","last_seen_on":"2025-01-07","still_on_page":true},{"domain":"resistant.ai","uri":"http://resistant.ai/news/fintech-meetup-march-2024","extracted_on":"2024-09-21","last_seen_on":"2024-09-21","still_on_page":true}],"first_name":"Hanks","last_name":"Massey","position":"Account Executive","position_raw":"Account Executive","seniority":"executive","department":"sales","linkedin":"https://www.linkedin.com/in/hanks-massey-406502123","twitter":null,"phone_number":null,"verification":{"date":null,"status":null}},{"value":"lewis.besley@resistant.ai","type":"personal","confidence":98,"sources":[{"domain":"linkedin.com","uri":"https://www.google.com/search?q=site:linkedin.com%20lewis%20besley%20resistant","extracted_on":"2025-01-07","last_seen_on":"2025-01-07","still_on_page":true},{"domain":"resistant.ai","uri":"http://resistant.ai/news/london-april-17-18-ifgs-2023","extracted_on":"2024-09-21","last_seen_on":"2024-09-21","still_on_page":true}],"first_name":"Lewis","last_name":"Besley","position":"Sales Director","position_raw":"Sales Director","seniority":null,"department":"sales","linkedin":"https://www.linkedin.com/in/lewisbesley","twitter":null,"phone_number":null,"verification":{"date":"2025-01-07","status":"valid"}},{"value":"hadas.haimov@resistant.ai","type":"personal","confidence":97,"sources":[{"domain":"linkedin.com","uri":"https://www.google.com/search?q=site:linkedin.com%20hadas%20haimov%20resistant","extracted_on":"2025-01-07","last_seen_on":"2025-01-07","still_on_page":true},{"domain":"resistant.ai","uri":"http://resistant.ai/news/fincrime-cybersecurity-summit-uk","extracted_on":"2024-09-21","last_seen_on":"2024-09-21","still_on_page":true}],"first_name":"Hadas","last_name":"Haimov","position":"Strategic Account Executive","position_raw":"Strategic Account Executive","seniority":"executive","department":"sales","linkedin":"https://www.linkedin.com/in/hadashaimov","twitter":null,"phone_number":null,"verification":{"date":"2025-02-17","status":"valid"}},{"value":"jacob.neuhard@resistant.ai","type":"personal","confidence":96,"sources":[{"domain":"linkedin.com","uri":"https://www.google.com/search?q=site:linkedin.com%20jacob%20neuhard%20resistant","extracted_on":"2025-01-07","last_seen_on":"2025-01-07","still_on_page":true},{"domain":"resistant.ai","uri":"http://resistant.ai/news/fintech-meetup-march-2024","extracted_on":"2024-09-21","last_seen_on":"2024-09-21","still_on_page":true}],"first_name":"Jacob","last_name":"Neuhard","position":"Sales Director","position_raw":"Sales Director","seniority":null,"department":"sales","linkedin":"https://www.linkedin.com/in/jacob-neuhard-a1a9a2124","twitter":null,"phone_number":null,"verification":{"date":"2025-01-17","status":"valid"}},{"value":"sales@resistant.ai","type":"generic","confidence":95,"sources":[{"domain":"technewshub.co.uk","uri":"http://technewshub.co.uk/post/new-tech-partnership-tackles-increase-in-money-laundering-activity","extracted_on":"2023-05-12","last_seen_on":"2025-02-22","still_on_page":true},{"domain":"news.websitegear.com","uri":"http://news.websitegear.com/view/1148002/resistant%5fai%5fawarded%5f%27digital%5fcrime%5ffighter%5fof%5fthe%5fyear%27%5ffor%5fwinning%5finaugural%5fhackathon%5fat%5facams%5fhollywood","extracted_on":"2022-04-03","last_seen_on":"2025-01-11","still_on_page":true},{"domain":"resistant.ai","uri":"http://resistant.ai/news/resistant-ai-and-complyadvantage-join-forces-amid-new-global-sanctions","extracted_on":"2023-05-19","last_seen_on":"2025-01-07","still_on_page":true},{"domain":"resistant.ai","uri":"http://resistant.ai/privacy-policy","extracted_on":"2023-05-19","last_seen_on":"2025-01-07","still_on_page":true},{"domain":"paganresearch.io","uri":"http://paganresearch.io/details/resistant-ai","extracted_on":"2020-07-14","last_seen_on":"2024-02-01","still_on_page":false},{"domain":"bulletproof.ai","uri":"http://bulletproof.ai/contact","extracted_on":"2022-07-17","last_seen_on":"2023-01-17","still_on_page":false},{"domain":"bulletproof.ai","uri":"http://bulletproof.ai/index.html","extracted_on":"2020-05-30","last_seen_on":"2021-09-12","still_on_page":false}],"first_name":null,"last_name":null,"position":null,"position_raw":null,"seniority":null,"department":"sales","linkedin":null,"twitter":null,"phone_number":null,"verification":{"date":"2025-01-16","status":"valid"}}]</t>
  </si>
  <si>
    <t>For you guys that might mean personalized rule configurations... or alert thresholds.</t>
  </si>
  <si>
    <t>Resistant</t>
  </si>
  <si>
    <t>Resistant AI</t>
  </si>
  <si>
    <t>/companies/resistant-ai/</t>
  </si>
  <si>
    <t>Resistant AI helps to protect AI systems from targeted manipulation, adversarial machine learning attacks and advanced fraud</t>
  </si>
  <si>
    <t>Martin Rehak</t>
  </si>
  <si>
    <t>Team; Team; Jan Hammer; Team</t>
  </si>
  <si>
    <t>subset.so</t>
  </si>
  <si>
    <t>[{"value":"jason@subset.so","type":"personal","confidence":99,"sources":[{"domain":"subset.so","uri":"http://subset.so/terms","extracted_on":"2023-06-14","last_seen_on":"2025-01-15","still_on_page":true},{"domain":"subset.so","uri":"http://subset.so/privacy","extracted_on":"2023-06-14","last_seen_on":"2025-01-14","still_on_page":true},{"domain":"linkedin.com","uri":"https://www.google.com/search?q=site:linkedin.com%20jason%20chan%20subset","extracted_on":"2025-01-07","last_seen_on":"2025-01-07","still_on_page":true},{"domain":"subset.so","uri":"http://subset.so/blog","extracted_on":"2024-10-14","last_seen_on":"2024-10-14","still_on_page":true}],"first_name":"Jason","last_name":"Chan","position":"Co-Founder","position_raw":"Co-Founder","seniority":null,"department":"executive","linkedin":"https://www.linkedin.com/in/jchan30","twitter":null,"phone_number":null,"verification":{"date":null,"status":null}},{"value":"aj@subset.so","type":"personal","confidence":98,"sources":[{"domain":"linkedin.com","uri":"https://www.google.com/search?q=site:linkedin.com%20aj%20nandi%20subset","extracted_on":"2025-01-07","last_seen_on":"2025-01-07","still_on_page":true}],"first_name":"Aj","last_name":"Nandi","position":"Co-Founder","position_raw":"Co-Founder","seniority":null,"department":"executive","linkedin":"https://www.linkedin.com/in/ajnandi","twitter":null,"phone_number":null,"verification":{"date":"2025-01-07","status":"valid"}},{"value":"hello@subset.so","type":"generic","confidence":81,"sources":[{"domain":"subset.so","uri":"http://subset.so","extracted_on":"2024-11-20","last_seen_on":"2025-02-21","still_on_page":true},{"domain":"subset.so","uri":"http://subset.so/changelog","extracted_on":"2024-11-20","last_seen_on":"2025-02-20","still_on_page":true},{"domain":"subset.so","uri":"http://subset.so/blog","extracted_on":"2024-11-18","last_seen_on":"2025-02-19","still_on_page":true},{"domain":"subset.so","uri":"http://subset.so/templates","extracted_on":"2024-11-19","last_seen_on":"2025-02-19","still_on_page":true},{"domain":"subset.so","uri":"http://subset.so/templates/category/personal-finance","extracted_on":"2024-11-19","last_seen_on":"2025-02-19","still_on_page":true}],"first_name":null,"last_name":null,"position":null,"position_raw":null,"seniority":null,"department":"support","linkedin":null,"twitter":null,"phone_number":null,"verification":{"date":null,"status":null}},{"value":"support@subset.so","type":"generic","confidence":73,"sources":[{"domain":"subset.so","uri":"http://subset.so","extracted_on":"2023-06-14","last_seen_on":"2023-11-18","still_on_page":false},{"domain":"subset.so","uri":"http://subset.so/blog","extracted_on":"2023-06-14","last_seen_on":"2023-11-18","still_on_page":false},{"domain":"subset.so","uri":"http://subset.so/changelog","extracted_on":"2023-06-14","last_seen_on":"2023-11-18","still_on_page":false},{"domain":"subset.so","uri":"http://subset.so/templates","extracted_on":"2023-11-18","last_seen_on":"2023-11-18","still_on_page":false},{"domain":"subset.so","uri":"http://subset.so/templates/category/personal-finance","extracted_on":"2023-11-18","last_seen_on":"2023-11-18","still_on_page":false}],"first_name":null,"last_name":null,"position":null,"position_raw":null,"seniority":null,"department":"support","linkedin":null,"twitter":null,"phone_number":null,"verification":{"date":null,"status":null}}]</t>
  </si>
  <si>
    <t>For you guys that might mean personalized formulas... or custom functions.</t>
  </si>
  <si>
    <t>Subset</t>
  </si>
  <si>
    <t>future-of-work</t>
  </si>
  <si>
    <t>/companies/subset/</t>
  </si>
  <si>
    <t>Subset is a collaborative spreadsheet on an endless canvas.</t>
  </si>
  <si>
    <t>Jason Chan; AJ Nandi</t>
  </si>
  <si>
    <t>tessl.io</t>
  </si>
  <si>
    <t>[{"value":"aaron@tessl.io","type":"personal","confidence":99,"sources":[{"domain":"linkedin.com","uri":"https://www.google.com/search?q=site:linkedin.com%20aaron%20sokell%20tessl","extracted_on":"2025-01-06","last_seen_on":"2025-01-06","still_on_page":true}],"first_name":"Aaron","last_name":"Sokell","position":"Executive Assistant","position_raw":"Senior Executive Assistant","seniority":"executive","department":"operations","linkedin":"https://www.linkedin.com/in/aaronsokell","twitter":null,"phone_number":null,"verification":{"date":"2025-02-18","status":"valid"}},{"value":"amy@tessl.io","type":"personal","confidence":98,"sources":[{"domain":"linkedin.com","uri":"https://www.google.com/search?q=site:linkedin.com%20amy%20heineike%20tessl","extracted_on":"2025-01-07","last_seen_on":"2025-01-07","still_on_page":true}],"first_name":"Amy","last_name":"Heineike","position":"AI Engineer","position_raw":"Founding AI Engineer","seniority":null,"department":"it","linkedin":"https://www.linkedin.com/in/amy-heineike-b877062","twitter":null,"phone_number":null,"verification":{"date":"2025-02-10","status":"valid"}},{"value":"contact@tessl.io","type":"generic","confidence":95,"sources":[{"domain":"tessl.io","uri":"http://tessl.io/blog/from-the-ai-native-dev-monthly-roundup-ai-tool-effectiveness-context-fin-and-ai-autonomy","extracted_on":"2024-08-21","last_seen_on":"2025-01-09","still_on_page":true},{"domain":"tessl.io","uri":"http://tessl.io/podcast/monthly-roundup-ai-tool-effectiveness-context-fin-and-ai-autonomy","extracted_on":"2024-08-21","last_seen_on":"2025-01-08","still_on_page":true}],"first_name":null,"last_name":null,"position":null,"position_raw":null,"seniority":null,"department":"support","linkedin":null,"twitter":null,"phone_number":null,"verification":{"date":null,"status":null}}]</t>
  </si>
  <si>
    <t>For you guys that might mean personalized prompt templates or model selections.</t>
  </si>
  <si>
    <t>Tessl</t>
  </si>
  <si>
    <t>/companies/tesslio/</t>
  </si>
  <si>
    <t>Tessl is an open software development platform that reimagines how software is created in the AI era.</t>
  </si>
  <si>
    <t>Guy Podjarny</t>
  </si>
  <si>
    <t>Team; Team; Carlos Gonzalez-Cadenas; Juriaan Duizendstraal; Team</t>
  </si>
  <si>
    <t>datasnipper.com</t>
  </si>
  <si>
    <t>For you guys that might mean personalized document matching... or table snips.</t>
  </si>
  <si>
    <t>DataSnipper</t>
  </si>
  <si>
    <t>business-applications; fintech; future-of-work</t>
  </si>
  <si>
    <t>/companies/datasnipper/</t>
  </si>
  <si>
    <t>DataSnipper focuses on audit and data reconciliation, using AI to automate tedious task, improve efficiency and freeing up auditors to do more value-added work.</t>
  </si>
  <si>
    <t>Vidya Peters; Jonas Ruyter; Kai Bakker; Maarten Alblas</t>
  </si>
  <si>
    <t>Team; Team; Hannah Seal; Carlos Gonzalez-Cadenas; Team</t>
  </si>
  <si>
    <t>fireblocks.com</t>
  </si>
  <si>
    <t>[{"value":"carol@fireblocks.com","type":"personal","confidence":94,"sources":[{"domain":"linkedin.com","uri":"https://www.google.com/search?q=site:linkedin.com%20carol%20sun%20fireblocks","extracted_on":"2025-01-13","last_seen_on":"2025-01-13","still_on_page":true}],"first_name":"Carol","last_name":"Sun","position":"Sales Director","position_raw":"APAC Sales Director","seniority":null,"department":"sales","linkedin":"https://www.linkedin.com/in/carol-sun-8aabba51","twitter":null,"phone_number":null,"verification":{"date":"2025-02-24","status":"accept_all"}},{"value":"mark@fireblocks.com","type":"personal","confidence":94,"sources":[{"domain":"linkedin.com","uri":"https://www.google.com/search?q=site:linkedin.com%20mark%20h%20fireblocks","extracted_on":"2025-01-13","last_seen_on":"2025-01-13","still_on_page":true}],"first_name":"Mark","last_name":"H","position":"Director of Institutional Business","position_raw":"Director, Institutional Business at Fireblocks","seniority":null,"department":"sales","linkedin":"https://www.linkedin.com/in/mhui22","twitter":null,"phone_number":null,"verification":{"date":"2025-02-06","status":"accept_all"}},{"value":"leonel@fireblocks.com","type":"personal","confidence":94,"sources":[{"domain":"linkedin.com","uri":"https://www.google.com/search?q=site:linkedin.com%20leonel%20lacayo%20fireblocks","extracted_on":"2025-01-14","last_seen_on":"2025-01-14","still_on_page":true}],"first_name":"Leonel","last_name":"Lacayo","position":"Vice President of Global Account Management","position_raw":"VP of Global Account Management","seniority":"executive","department":"sales","linkedin":"https://www.linkedin.com/in/leonellacayo","twitter":null,"phone_number":null,"verification":{"date":"2025-01-17","status":"accept_all"}},{"value":"jared@fireblocks.com","type":"personal","confidence":93,"sources":[{"domain":"linkedin.com","uri":"https://www.google.com/search?q=site:linkedin.com%20jared%20silvers%20fireblocks","extracted_on":"2025-01-14","last_seen_on":"2025-01-14","still_on_page":true}],"first_name":"Jared","last_name":"Silvers","position":"Sales Director","position_raw":"Sales Director - Payments","seniority":null,"department":"sales","linkedin":"https://www.linkedin.com/in/jaredsilvers","twitter":null,"phone_number":null,"verification":{"date":"2025-02-06","status":"accept_all"}},{"value":"benjamin@fireblocks.com","type":"personal","confidence":93,"sources":[{"domain":"linkedin.com","uri":"https://www.google.com/search?q=site:linkedin.com%20benjamin%20spirowski%20fireblocks","extracted_on":"2025-01-14","last_seen_on":"2025-01-14","still_on_page":true}],"first_name":"Benjamin","last_name":"Spirowski","position":"Sales Director","position_raw":"Sales Director (Northern Europe)","seniority":null,"department":"sales","linkedin":"https://www.linkedin.com/in/benjamin-spirowski-130b78b9","twitter":null,"phone_number":null,"verification":{"date":"2025-01-16","status":"accept_all"}},{"value":"valeria@fireblocks.com","type":"personal","confidence":93,"sources":[{"domain":"linkedin.com","uri":"https://www.google.com/search?q=site:linkedin.com%20valeria%20zafar%20fireblocks","extracted_on":"2025-01-13","last_seen_on":"2025-01-13","still_on_page":true}],"first_name":"Valeria","last_name":"Zafar","position":"Sales Director","position_raw":"Sales Director","seniority":null,"department":"sales","linkedin":"https://www.linkedin.com/in/valeria-zafar-81268620","twitter":null,"phone_number":null,"verification":{"date":"2025-01-13","status":"accept_all"}},{"value":"alexandre@fireblocks.com","type":"personal","confidence":92,"sources":[{"domain":"linkedin.com","uri":"https://www.google.com/search?q=site:linkedin.com%20alexandre%20chess%C3%A9%20fireblocks","extracted_on":"2025-01-14","last_seen_on":"2025-01-14","still_on_page":true}],"first_name":"Alexandre","last_name":"Chessé","position":"Sales Director","position_raw":"Head of Sales France Middle-East Africa","seniority":null,"department":"sales","linkedin":"https://www.linkedin.com/in/alexandrechesse","twitter":null,"phone_number":null,"verification":{"date":"2025-01-15","status":"accept_all"}},{"value":"jessie@fireblocks.com","type":"personal","confidence":92,"sources":[{"domain":"linkedin.com","uri":"https://www.google.com/search?q=site:linkedin.com%20jessie%20blocker%20fireblocks","extracted_on":"2025-01-13","last_seen_on":"2025-01-13","still_on_page":true}],"first_name":"Jessie","last_name":"Blocker","position":"Vice President of Sales","position_raw":"Vice President of Sales, Strategic Accounts","seniority":"executive","department":"sales","linkedin":"https://www.linkedin.com/in/jessie-blocker","twitter":null,"phone_number":null,"verification":{"date":"2025-02-06","status":"accept_all"}},{"value":"paul@fireblocks.com","type":"personal","confidence":91,"sources":[{"domain":"linkedin.com","uri":"https://www.google.com/search?q=site:linkedin.com%20paul%20collot%20fireblocks","extracted_on":"2025-01-14","last_seen_on":"2025-01-14","still_on_page":true}],"first_name":"Paul","last_name":"Collot","position":"Sales Director","position_raw":"Sales Director","seniority":null,"department":"sales","linkedin":"https://www.linkedin.com/in/paulcollot","twitter":null,"phone_number":null,"verification":{"date":"2025-02-06","status":"accept_all"}},{"value":"brent@fireblocks.com","type":"personal","confidence":91,"sources":[{"domain":"linkedin.com","uri":"https://www.google.com/search?q=site:linkedin.com%20brent%20bartle%20fireblocks","extracted_on":"2025-01-14","last_seen_on":"2025-01-14","still_on_page":true}],"first_name":"Brent","last_name":"Bartle","position":"Sales Director","position_raw":"Sales Director","seniority":null,"department":"sales","linkedin":"https://www.linkedin.com/in/brent-bartle","twitter":null,"phone_number":null,"verification":{"date":"2025-02-10","status":"accept_all"}}]</t>
  </si>
  <si>
    <t>For you guys that might mean personalized wallet policies... or even personalized network connections.</t>
  </si>
  <si>
    <t>Fireblocks</t>
  </si>
  <si>
    <t>north-america</t>
  </si>
  <si>
    <t>/companies/fireblocks/</t>
  </si>
  <si>
    <t>#1 Crypto and Digital Asset Platform for Institutions</t>
  </si>
  <si>
    <t>Idan Ofrat; Michael Shaulov; Pavel Berengoltz</t>
  </si>
  <si>
    <t>gong.io</t>
  </si>
  <si>
    <t>[{"value":"brandy.ringler@gong.io","type":"personal","confidence":94,"sources":[{"domain":"linkedin.com","uri":"https://www.google.com/search?q=site:linkedin.com%20brandy%20ringler%20gong","extracted_on":"2025-01-13","last_seen_on":"2025-01-13","still_on_page":true}],"first_name":"Brandy","last_name":"Ringler","position":"Sales Enablement Director","position_raw":"Director, Sales Enablement","seniority":null,"department":"sales","linkedin":"https://www.linkedin.com/in/brandyringler","twitter":null,"phone_number":null,"verification":{"date":"2025-02-16","status":"accept_all"}},{"value":"arielle.korner@gong.io","type":"personal","confidence":94,"sources":[{"domain":"linkedin.com","uri":"https://www.google.com/search?q=site:linkedin.com%20arielle%20korner%20gong","extracted_on":"2025-01-14","last_seen_on":"2025-01-14","still_on_page":true}],"first_name":"Arielle","last_name":"Korner","position":"Senior Account Executive","position_raw":"Senior Mid-Market Account Executive, Named Accounts","seniority":"executive","department":"sales","linkedin":"https://www.linkedin.com/in/arielle-korner-99531b78","twitter":null,"phone_number":null,"verification":{"date":"2025-02-18","status":"accept_all"}},{"value":"logan.cookingham@gong.io","type":"personal","confidence":94,"sources":[{"domain":"linkedin.com","uri":"https://www.google.com/search?q=site:linkedin.com%20logan%20cookingham%20gong","extracted_on":"2025-01-14","last_seen_on":"2025-01-14","still_on_page":true}],"first_name":"Logan","last_name":"Cookingham","position":"Senior Account Executive","position_raw":"Senior Commercial Customer Account Executive","seniority":"executive","department":"sales","linkedin":"https://www.linkedin.com/in/logan-cookingham-2140a5106","twitter":null,"phone_number":null,"verification":{"date":"2025-02-18","status":"accept_all"}},{"value":"edwin.raju@gong.io","type":"personal","confidence":94,"sources":[{"domain":"linkedin.com","uri":"https://www.google.com/search?q=site:linkedin.com%20edwin%20raju%20gong","extracted_on":"2025-01-14","last_seen_on":"2025-01-14","still_on_page":true}],"first_name":"Edwin","last_name":"Raju","position":"Account Executive","position_raw":"Account Executive","seniority":"executive","department":"sales","linkedin":"https://www.linkedin.com/in/edwinraju","twitter":null,"phone_number":null,"verification":{"date":"2025-01-15","status":"accept_all"}},{"value":"will.tagg@gong.io","type":"personal","confidence":94,"sources":[{"domain":"linkedin.com","uri":"https://www.google.com/search?q=site:linkedin.com%20will%20tagg%20gong","extracted_on":"2025-01-14","last_seen_on":"2025-01-14","still_on_page":true}],"first_name":"Will","last_name":"Tagg","position":"Account Executive","position_raw":"Enterprise Account Executive","seniority":"executive","department":"sales","linkedin":"https://www.linkedin.com/in/will-tagg-a3445620","twitter":null,"phone_number":null,"verification":{"date":"2025-01-15","status":"accept_all"}},{"value":"brian.lamanna@gong.io","type":"personal","confidence":94,"sources":[{"domain":"linkedin.com","uri":"https://www.google.com/search?q=site:linkedin.com%20brian%20lamanna%20gong","extracted_on":"2025-01-14","last_seen_on":"2025-01-14","still_on_page":true}],"first_name":"Brian","last_name":"LaManna","position":"Senior Account Executive","position_raw":"Senior Mid-Market Account Executive","seniority":"executive","department":"sales","linkedin":"https://www.linkedin.com/in/brianlamanna","twitter":null,"phone_number":null,"verification":{"date":"2025-02-15","status":"accept_all"}},{"value":"caleb.kilroy@gong.io","type":"personal","confidence":94,"sources":[{"domain":"linkedin.com","uri":"https://www.google.com/search?q=site:linkedin.com%20caleb%20kilroy%20gong","extracted_on":"2025-01-14","last_seen_on":"2025-01-14","still_on_page":true}],"first_name":"Caleb","last_name":"Kilroy","position":"Account Executive","position_raw":"Account Executive Mid-Market EMEA","seniority":"executive","department":"sales","linkedin":"https://www.linkedin.com/in/caleb-kilroy1","twitter":null,"phone_number":null,"verification":{"date":"2025-02-06","status":"accept_all"}},{"value":"kyle.haran@gong.io","type":"personal","confidence":94,"sources":[{"domain":"linkedin.com","uri":"https://www.google.com/search?q=site:linkedin.com%20kyle%20haran%20gong","extracted_on":"2025-01-14","last_seen_on":"2025-01-14","still_on_page":true}],"first_name":"Kyle","last_name":"Haran","position":"Account Executive","position_raw":"Strategic Account Executive","seniority":"executive","department":"sales","linkedin":"https://www.linkedin.com/in/kyleharan","twitter":null,"phone_number":null,"verification":{"date":"2025-01-14","status":"accept_all"}},{"value":"sam.levis@gong.io","type":"personal","confidence":94,"sources":[{"domain":"linkedin.com","uri":"https://www.google.com/search?q=site:linkedin.com%20sam%20levis%20gong","extracted_on":"2025-01-14","last_seen_on":"2025-01-14","still_on_page":true}],"first_name":"Sam","last_name":"Levis","position":"Account Executive","position_raw":"Account Executive","seniority":"executive","department":"sales","linkedin":"https://www.linkedin.com/in/samlevis","twitter":null,"phone_number":null,"verification":{"date":"2025-01-15","status":"accept_all"}},{"value":"ella.mcneil@gong.io","type":"personal","confidence":94,"sources":[{"domain":"linkedin.com","uri":"https://www.google.com/search?q=site:linkedin.com%20ella%20mcneil%20gong","extracted_on":"2025-01-13","last_seen_on":"2025-01-13","still_on_page":true}],"first_name":"Ella","last_name":"McNeil","position":"Account Executive","position_raw":"Account Executive","seniority":"executive","department":"sales","linkedin":"https://www.linkedin.com/in/ella-mcneil-7a3198250","twitter":null,"phone_number":null,"verification":{"date":"2025-01-13","status":"accept_all"}}]</t>
  </si>
  <si>
    <t>For you guys that might mean personalized deal stages... or personalized call transcripts.</t>
  </si>
  <si>
    <t>Gong</t>
  </si>
  <si>
    <t>aiml; business-applications</t>
  </si>
  <si>
    <t>/companies/gong/</t>
  </si>
  <si>
    <t>The #1 Platform for Remote Sales Teams</t>
  </si>
  <si>
    <t>Amit Bendov; Eilon Reshef</t>
  </si>
  <si>
    <t>humanloop.com</t>
  </si>
  <si>
    <t>[{"value":"sales@humanloop.com","type":"generic","confidence":10,"sources":[{"domain":"humanloop.com","uri":"http://humanloop.com/docs/reference/security-and-compliance","extracted_on":"2024-09-23","last_seen_on":"2024-09-23","still_on_page":false},{"domain":"humanloop.com","uri":"http://humanloop.com/docs/v5/reference/security-and-compliance","extracted_on":"2024-09-23","last_seen_on":"2024-09-23","still_on_page":false}],"first_name":null,"last_name":null,"position":null,"position_raw":null,"seniority":null,"department":"sales","linkedin":null,"twitter":null,"phone_number":null,"verification":{"date":null,"status":null}}]</t>
  </si>
  <si>
    <t>For you guys that might mean personalized prompt templates... or personalized evaluation datasets.</t>
  </si>
  <si>
    <t>Humanloop</t>
  </si>
  <si>
    <t>/companies/humanloop/</t>
  </si>
  <si>
    <t>Humanloop uses cutting-edge research in machine learning and natural language processing to make it easy for every company to integrate AI algorithms that understand language</t>
  </si>
  <si>
    <t>Raza Habib; Jordan Burgess; Peter Hayes</t>
  </si>
  <si>
    <t>iterable.com</t>
  </si>
  <si>
    <t>[{"value":"katie.anderson@iterable.com","type":"personal","confidence":99,"sources":[{"domain":"linkedin.com","uri":"https://www.google.com/search?q=site:linkedin.com%20katie%20anderson%20iterable","extracted_on":"2025-01-07","last_seen_on":"2025-01-07","still_on_page":true}],"first_name":"Katie","last_name":"Anderson","position":"Senior HR Business Partner","position_raw":"Senior People Business Partner","seniority":"senior","department":"sales","linkedin":"https://www.linkedin.com/in/katie-anderson-phr-271b5ba0","twitter":null,"phone_number":null,"verification":{"date":"2025-01-07","status":"valid"}},{"value":"maria.rahman@iterable.com","type":"personal","confidence":99,"sources":[{"domain":"linkedin.com","uri":"https://www.google.com/search?q=site:linkedin.com%20maria%20rahman%20iterable","extracted_on":"2025-01-03","last_seen_on":"2025-01-03","still_on_page":true}],"first_name":"Maria","last_name":"Rahman","position":"Sales Compensation Manager","position_raw":"Senior Deal Desk &amp; Sales Compensation Manager","seniority":"senior","department":"sales","linkedin":"https://www.linkedin.com/in/mariarahman","twitter":null,"phone_number":null,"verification":{"date":null,"status":null}},{"value":"molly.dietrich@iterable.com","type":"personal","confidence":99,"sources":[{"domain":"linkedin.com","uri":"https://www.google.com/search?q=site:linkedin.com%20molly%20dietrich%20iterable","extracted_on":"2025-01-07","last_seen_on":"2025-01-07","still_on_page":true}],"first_name":"Molly","last_name":"Dietrich","position":"Enterprise Account Executive","position_raw":"Senior Enterprise Account Executive","seniority":"executive","department":"sales","linkedin":"https://www.linkedin.com/in/molly-dietrich-7609673b","twitter":null,"phone_number":null,"verification":{"date":"2025-02-08","status":"valid"}},{"value":"jamie.cooper@iterable.com","type":"personal","confidence":99,"sources":[{"domain":"linkedin.com","uri":"https://www.google.com/search?q=site:linkedin.com%20jamie%20cooper%20iterable","extracted_on":"2025-01-07","last_seen_on":"2025-01-07","still_on_page":true}],"first_name":"Jamie","last_name":"Cooper","position":"Account Executive","position_raw":"Growth Account Executive","seniority":"executive","department":"sales","linkedin":"https://www.linkedin.com/in/jamie-cooper-a68a7410b","twitter":null,"phone_number":null,"verification":{"date":"2025-01-07","status":"valid"}},{"value":"claire.fullen@iterable.com","type":"personal","confidence":99,"sources":[{"domain":"linkedin.com","uri":"https://www.google.com/search?q=site:linkedin.com%20claire%20fullen%20iterable","extracted_on":"2025-02-07","last_seen_on":"2025-02-07","still_on_page":true}],"first_name":"Claire","last_name":"Fullen","position":"Account Executive","position_raw":"Enterprise Account Executive","seniority":"executive","department":"sales","linkedin":"https://www.linkedin.com/in/claire-fullen","twitter":null,"phone_number":null,"verification":{"date":"2025-02-07","status":"valid"}},{"value":"jed.sprague@iterable.com","type":"personal","confidence":99,"sources":[{"domain":"linkedin.com","uri":"https://www.google.com/search?q=site:linkedin.com%20jed%20sprague%20iterable","extracted_on":"2025-01-07","last_seen_on":"2025-01-07","still_on_page":true}],"first_name":"Jed","last_name":"Sprague","position":"Account Executive","position_raw":"Growth account executive","seniority":"executive","department":"sales","linkedin":"https://www.linkedin.com/in/jed-sprague-933102150","twitter":null,"phone_number":null,"verification":{"date":null,"status":null}},{"value":"sarah.tullis@iterable.com","type":"personal","confidence":99,"sources":[{"domain":"linkedin.com","uri":"https://www.google.com/search?q=site:linkedin.com%20sarah%20tullis%20iterable","extracted_on":"2025-01-07","last_seen_on":"2025-01-07","still_on_page":true}],"first_name":"Sarah","last_name":"Tullis","position":"Account Executive","position_raw":"Account Executive","seniority":"executive","department":"sales","linkedin":"https://www.linkedin.com/in/sarah-tullis-217aa0299","twitter":null,"phone_number":null,"verification":{"date":"2025-01-07","status":"valid"}},{"value":"sam.fallon@iterable.com","type":"personal","confidence":99,"sources":[{"domain":"linkedin.com","uri":"https://www.google.com/search?q=site:linkedin.com%20sam%20fallon%20iterable","extracted_on":"2025-01-07","last_seen_on":"2025-01-07","still_on_page":true}],"first_name":"Sam","last_name":"Fallon","position":"Account Executive","position_raw":"Growth Account Executive","seniority":"executive","department":"sales","linkedin":"https://www.linkedin.com/in/sam-fallon","twitter":null,"phone_number":null,"verification":{"date":"2025-01-07","status":"valid"}},{"value":"matthew.george@iterable.com","type":"personal","confidence":99,"sources":[{"domain":"linkedin.com","uri":"https://www.google.com/search?q=site:linkedin.com%20matthew%20george%20iterable","extracted_on":"2025-01-07","last_seen_on":"2025-01-07","still_on_page":true}],"first_name":"Matthew","last_name":"George","position":"Account Executive","position_raw":"Growth Account Executive | Iterable","seniority":"executive","department":"sales","linkedin":"https://www.linkedin.com/in/matthew-george-76329ba9","twitter":null,"phone_number":null,"verification":{"date":"2025-01-07","status":"valid"}},{"value":"taylor.gunter@iterable.com","type":"personal","confidence":99,"sources":[{"domain":"linkedin.com","uri":"https://www.google.com/search?q=site:linkedin.com%20taylor%20gunter%20iterable","extracted_on":"2025-01-03","last_seen_on":"2025-01-03","still_on_page":true}],"first_name":"Taylor","last_name":"Gunter","position":"Enterprise Account Executive","position_raw":"Senior Enterprise Account Executive","seniority":"executive","department":"sales","linkedin":"https://www.linkedin.com/in/taylor-gunter-baa41a9a","twitter":null,"phone_number":null,"verification":{"date":"2025-01-07","status":"valid"}}]</t>
  </si>
  <si>
    <t>For you guys that might mean personalized campaign journeys... or data integrations.</t>
  </si>
  <si>
    <t>Iterable</t>
  </si>
  <si>
    <t>/companies/iterable/</t>
  </si>
  <si>
    <t>Andrew Boni</t>
  </si>
  <si>
    <t>lever.co</t>
  </si>
  <si>
    <t>[{"value":"jacky.shi@lever.co","type":"personal","confidence":99,"sources":[{"domain":"linkedin.com","uri":"https://www.google.com/search?q=site:linkedin.com%20jacky%20shi%20lever","extracted_on":"2025-01-11","last_seen_on":"2025-01-11","still_on_page":true}],"first_name":"Jacky","last_name":"Shi","position":"Account Executive","position_raw":"Account Executive","seniority":"executive","department":"sales","linkedin":"https://www.linkedin.com/in/jacky-shi","twitter":null,"phone_number":null,"verification":{"date":"2025-01-11","status":"valid"}},{"value":"sara.schleifman@lever.co","type":"personal","confidence":99,"sources":[{"domain":"linkedin.com","uri":"https://www.google.com/search?q=site:linkedin.com%20sara%20schleifman%20lever","extracted_on":"2025-01-10","last_seen_on":"2025-01-10","still_on_page":true}],"first_name":"Sara","last_name":"Schleifman","position":"Account Executive","position_raw":"Account Executive","seniority":"executive","department":"sales","linkedin":"https://www.linkedin.com/in/sara-schleifman-3a12bb12b","twitter":null,"phone_number":null,"verification":{"date":"2025-01-10","status":"valid"}},{"value":"breanna.bedborough@lever.co","type":"personal","confidence":98,"sources":[{"domain":"linkedin.com","uri":"https://www.google.com/search?q=site:linkedin.com%20breanna%20bedborough%20lever","extracted_on":"2025-01-09","last_seen_on":"2025-01-09","still_on_page":true}],"first_name":"Breanna","last_name":"Bedborough","position":"Account Executive","position_raw":"Account Executive","seniority":"executive","department":"sales","linkedin":"https://www.linkedin.com/in/breanna-bedborough-b77159166","twitter":null,"phone_number":null,"verification":{"date":"2025-01-09","status":"valid"}},{"value":"david.happersberger@lever.co","type":"personal","confidence":98,"sources":[{"domain":"linkedin.com","uri":"https://www.google.com/search?q=site:linkedin.com%20david%20happersberger%20lever","extracted_on":"2025-01-09","last_seen_on":"2025-01-09","still_on_page":true}],"first_name":"David","last_name":"Happersberger","position":"Account Executive","position_raw":"Account Executive","seniority":"executive","department":"sales","linkedin":"https://www.linkedin.com/in/david-happersberger-27185166","twitter":null,"phone_number":null,"verification":{"date":"2025-01-09","status":"valid"}},{"value":"andrew.lee@lever.co","type":"personal","confidence":97,"sources":[{"domain":"linkedin.com","uri":"https://www.google.com/search?q=site:linkedin.com%20andrew%20lee%20lever","extracted_on":"2025-01-09","last_seen_on":"2025-01-09","still_on_page":true}],"first_name":"Andrew","last_name":"Lee","position":"Account Executive","position_raw":"Small Business Account Executive","seniority":"executive","department":"sales","linkedin":"https://www.linkedin.com/in/andrew-jihyun-lee","twitter":null,"phone_number":null,"verification":{"date":"2025-01-09","status":"valid"}},{"value":"ian.englehart@lever.co","type":"personal","confidence":97,"sources":[{"domain":"linkedin.com","uri":"https://www.google.com/search?q=site:linkedin.com%20ian%20englehart%20lever","extracted_on":"2025-01-08","last_seen_on":"2025-01-08","still_on_page":true}],"first_name":"Ian","last_name":"Englehart","position":"Account Executive","position_raw":"Account Executive for Small Business","seniority":"executive","department":"sales","linkedin":"https://www.linkedin.com/in/ian-englehart-41705595","twitter":null,"phone_number":null,"verification":{"date":"2025-01-08","status":"valid"}}]</t>
  </si>
  <si>
    <t>For you guys that might mean personalized pipeline stages... or offer templates.</t>
  </si>
  <si>
    <t>Lever</t>
  </si>
  <si>
    <t>/companies/lever/</t>
  </si>
  <si>
    <t>Lever is a modern web-app that enables you to hire the best people more easily by introducing a new way to track applicants.</t>
  </si>
  <si>
    <t>Sarah Nahm; Nate Smith; Randal Truong</t>
  </si>
  <si>
    <t>anrok.com</t>
  </si>
  <si>
    <t>[{"value":"alem@anrok.com","type":"personal","confidence":94,"sources":[{"domain":"linkedin.com","uri":"https://www.google.com/search?q=site:linkedin.com%20alem%20abai%20anrok","extracted_on":"2025-01-14","last_seen_on":"2025-01-14","still_on_page":true}],"first_name":"Alem","last_name":"Abai","position":"Account Executive","position_raw":"Mid Market Account Executive","seniority":"executive","department":"sales","linkedin":"https://www.linkedin.com/in/alemabai","twitter":null,"phone_number":null,"verification":{"date":"2025-01-22","status":"accept_all"}},{"value":"nathan@anrok.com","type":"personal","confidence":91,"sources":[{"domain":"linkedin.com","uri":"https://www.google.com/search?q=site:linkedin.com%20nathan%20carney%20anrok","extracted_on":"2025-01-14","last_seen_on":"2025-01-14","still_on_page":true}],"first_name":"Nathan","last_name":"Carney","position":"Account Executive","position_raw":"Account Executive","seniority":"executive","department":"sales","linkedin":"https://www.linkedin.com/in/nathan-carney-3b8503103","twitter":null,"phone_number":null,"verification":{"date":"2025-01-14","status":"accept_all"}},{"value":"supraja@anrok.com","type":"personal","confidence":89,"sources":[{"domain":"linkedin.com","uri":"https://www.google.com/search?q=site:linkedin.com%20supraja%20y%20anrok","extracted_on":"2025-01-14","last_seen_on":"2025-01-14","still_on_page":true}],"first_name":"Supraja","last_name":"Y","position":"Account Executive","position_raw":"Account Executive","seniority":"executive","department":"sales","linkedin":"https://www.linkedin.com/in/supraja-y-3546b5206","twitter":null,"phone_number":null,"verification":{"date":"2025-01-14","status":"accept_all"}},{"value":"tahirih.skolnik@anrok.com","type":"personal","confidence":84,"sources":[{"domain":"linkedin.com","uri":"https://www.google.com/search?q=site:linkedin.com%20tahirih%20skolnik%20anrok","extracted_on":"2025-01-14","last_seen_on":"2025-01-14","still_on_page":true}],"first_name":"Tahirih","last_name":"Skolnik","position":"Sales Director","position_raw":"Head of Sales","seniority":null,"department":"sales","linkedin":"https://www.linkedin.com/in/tahirih-skolnik-2a135b103","twitter":null,"phone_number":null,"verification":{"date":"2025-02-05","status":"accept_all"}},{"value":"connor.yakushi@anrok.com","type":"personal","confidence":83,"sources":[{"domain":"linkedin.com","uri":"https://www.google.com/search?q=site:linkedin.com%20connor%20yakushi%20anrok","extracted_on":"2025-01-14","last_seen_on":"2025-01-14","still_on_page":true}],"first_name":"Connor","last_name":"Yakushi","position":"Account Executive","position_raw":"Account Executive","seniority":"executive","department":"sales","linkedin":"https://www.linkedin.com/in/connor-yakushi-846444129","twitter":null,"phone_number":null,"verification":{"date":"2025-01-27","status":"accept_all"}}]</t>
  </si>
  <si>
    <t>For you guys that might mean personalized nexus monitoring...or personalized integration setups.</t>
  </si>
  <si>
    <t>Anrok</t>
  </si>
  <si>
    <t>/companies/anrok/</t>
  </si>
  <si>
    <t>Michelle Valentine; Kannan Goundan</t>
  </si>
  <si>
    <t>codat.io</t>
  </si>
  <si>
    <t>[{"value":"c.baldwin@codat.io","type":"personal","confidence":93,"sources":[{"domain":"linkedin.com","uri":"https://www.google.com/search?q=site:linkedin.com%20cole%20baldwin%20codat","extracted_on":"2025-01-14","last_seen_on":"2025-01-14","still_on_page":true}],"first_name":"Cole","last_name":"Baldwin","position":"Director of Sales","position_raw":"Director of Sales &amp; Account Management","seniority":null,"department":"sales","linkedin":"https://www.linkedin.com/in/colebaldwincodat","twitter":null,"phone_number":null,"verification":{"date":"2025-01-29","status":"accept_all"}},{"value":"r.callaghan@codat.io","type":"personal","confidence":92,"sources":[{"domain":"linkedin.com","uri":"https://www.google.com/search?q=site:linkedin.com%20ruth%20callaghan%20codat","extracted_on":"2025-01-13","last_seen_on":"2025-01-13","still_on_page":true}],"first_name":"Ruth","last_name":"Callaghan","position":"HR Business Partner","position_raw":"People Partner","seniority":null,"department":"sales","linkedin":"https://www.linkedin.com/in/ruth-callaghan-assoc-cipd-249268258","twitter":null,"phone_number":null,"verification":{"date":"2025-01-13","status":"accept_all"}},{"value":"w.briggs@codat.io","type":"personal","confidence":92,"sources":[{"domain":"linkedin.com","uri":"https://www.google.com/search?q=site:linkedin.com%20william%20briggs%20codat","extracted_on":"2025-01-13","last_seen_on":"2025-01-13","still_on_page":true}],"first_name":"William","last_name":"Briggs","position":"Account Executive","position_raw":"Account Executive","seniority":"executive","department":"sales","linkedin":"https://www.linkedin.com/in/william-briggs-573a0b108","twitter":null,"phone_number":null,"verification":{"date":"2025-01-13","status":"accept_all"}},{"value":"n.codron@codat.io","type":"personal","confidence":88,"sources":[{"domain":"linkedin.com","uri":"https://www.google.com/search?q=site:linkedin.com%20nick%20codron%20codat","extracted_on":"2025-01-14","last_seen_on":"2025-01-14","still_on_page":true},{"domain":"codat.io","uri":"http://codat.io/us/blog/building-accounting-integrations-a-guide-based-on-codats-experience","extracted_on":"2024-10-01","last_seen_on":"2024-12-31","still_on_page":true},{"domain":"codat.io","uri":"http://codat.io/blog/building-accounting-integrations-a-guide-based-on-codats-experience","extracted_on":"2023-02-09","last_seen_on":"2024-12-26","still_on_page":true},{"domain":"codat.io","uri":"http://codat.io/blog/building-accounting-integrations-a-guide-based-on-codats-experience-2","extracted_on":"2024-10-01","last_seen_on":"2024-10-01","still_on_page":false}],"first_name":"Nick","last_name":"Codron","position":"Enterprise Account Executive","position_raw":"Strategic Enterprise Account Executive, North America","seniority":"executive","department":"sales","linkedin":"https://www.linkedin.com/in/nickcodron","twitter":null,"phone_number":null,"verification":{"date":"2025-01-29","status":"accept_all"}},{"value":"k.kechele@codat.io","type":"personal","confidence":83,"sources":[{"domain":"linkedin.com","uri":"https://www.google.com/search?q=site:linkedin.com%20karlie%20kechele%20codat","extracted_on":"2025-01-14","last_seen_on":"2025-01-14","still_on_page":true}],"first_name":"Karlie","last_name":"Kechele","position":"HR Business Partner","position_raw":"People Partner","seniority":null,"department":"sales","linkedin":"https://www.linkedin.com/in/karlie-kechele-0b025980","twitter":null,"phone_number":null,"verification":{"date":"2025-01-16","status":"accept_all"}}]</t>
  </si>
  <si>
    <t>For you guys that might mean personalized data connections... or personalized spend insights.</t>
  </si>
  <si>
    <t>Codat</t>
  </si>
  <si>
    <t>/companies/codat/</t>
  </si>
  <si>
    <t>Codat is the platform for business data. Through our single API, we provide real-time connectivity to the financial software used by small businesses globally.</t>
  </si>
  <si>
    <t>Pete Lord; Alex Cardona; David Hoare</t>
  </si>
  <si>
    <t>Team; Team; Stephane Kurgan; Jan Hammer; Julia Andre; Team</t>
  </si>
  <si>
    <t>lithic.com</t>
  </si>
  <si>
    <t>[{"value":"sonia@lithic.com","type":"personal","confidence":98,"sources":[{"domain":"linkedin.com","uri":"https://www.google.com/search?q=site:linkedin.com%20sonia%20xu%20lithic","extracted_on":"2025-01-03","last_seen_on":"2025-01-03","still_on_page":true}],"first_name":"Sonia","last_name":"Xu","position":"Business Operations Manager","position_raw":"Business Operations","seniority":"senior","department":"sales","linkedin":"https://www.linkedin.com/in/sonia-xu-162aaa9a","twitter":null,"phone_number":null,"verification":{"date":null,"status":null}},{"value":"kelly@lithic.com","type":"personal","confidence":97,"sources":[{"domain":"linkedin.com","uri":"https://www.google.com/search?q=site:linkedin.com%20kelly%20hernandez%20lithic","extracted_on":"2025-01-03","last_seen_on":"2025-01-03","still_on_page":true}],"first_name":"Kelly","last_name":"Hernandez","position":"Partnership Operations Manager","position_raw":"Sr. Partnership Operations Manager","seniority":"senior","department":"sales","linkedin":"https://www.linkedin.com/in/kjh","twitter":null,"phone_number":null,"verification":{"date":null,"status":null}},{"value":"b.burkett@lithic.com","type":"personal","confidence":97,"sources":[{"domain":"linkedin.com","uri":"https://www.google.com/search?q=site:linkedin.com%20brady%20burkett%20lithic","extracted_on":"2025-01-07","last_seen_on":"2025-01-07","still_on_page":true}],"first_name":"Brady","last_name":"Burkett","position":"Account Executive","position_raw":"Account Executive","seniority":"executive","department":"sales","linkedin":"https://www.linkedin.com/in/brady-burkett-99a75963","twitter":null,"phone_number":null,"verification":{"date":null,"status":null}}]</t>
  </si>
  <si>
    <t>For you guys that might mean personalized dashboards... or personalized reports.</t>
  </si>
  <si>
    <t>Lithic</t>
  </si>
  <si>
    <t>/companies/privacycom/</t>
  </si>
  <si>
    <t>Create configurable cards and approve transactions in real-time as easily as any other tech.</t>
  </si>
  <si>
    <t>Boling Jiang</t>
  </si>
  <si>
    <t>Team; Team; Jahanvi Sardana; Team</t>
  </si>
  <si>
    <t>monograph.io</t>
  </si>
  <si>
    <t>For you guys that might mean personalized project budgets... or personalized invoicing.</t>
  </si>
  <si>
    <t>Monograph</t>
  </si>
  <si>
    <t>/companies/monograph/</t>
  </si>
  <si>
    <t>Take control of your firm&amp;#x27;s financial health with an easy-to-use budget tracking solution built for architecture, landscape, and interior firms.</t>
  </si>
  <si>
    <t>Robert Yuen; Moe Amaya; Alex Dixon</t>
  </si>
  <si>
    <t>plaid.com</t>
  </si>
  <si>
    <t>[{"value":"lgray@plaid.com","type":"personal","confidence":99,"sources":[{"domain":"linkedin.com","uri":"https://www.google.com/search?q=site:linkedin.com%20liam%20gray%20plaid","extracted_on":"2025-01-07","last_seen_on":"2025-01-07","still_on_page":true}],"first_name":"Liam","last_name":"Gray","position":"Director of Account Management","position_raw":"Head of Account Management, Europe","seniority":null,"department":"sales","linkedin":"https://www.linkedin.com/in/liam-gray-38b75077","twitter":null,"phone_number":null,"verification":{"date":"2025-01-07","status":"valid"}},{"value":"dweldon@plaid.com","type":"personal","confidence":99,"sources":[{"domain":"linkedin.com","uri":"https://www.google.com/search?q=site:linkedin.com%20devon%20weldon%20plaid","extracted_on":"2025-01-03","last_seen_on":"2025-01-03","still_on_page":true}],"first_name":"Devon","last_name":"Weldon","position":"Sales Engineer","position_raw":"Sales Engineering","seniority":null,"department":"sales","linkedin":"https://www.linkedin.com/in/devon-weldon","twitter":null,"phone_number":null,"verification":{"date":"2025-01-28","status":"valid"}},{"value":"stimmons@plaid.com","type":"personal","confidence":99,"sources":[{"domain":"linkedin.com","uri":"https://www.google.com/search?q=site:linkedin.com%20sierra%20timmons%20plaid","extracted_on":"2025-01-03","last_seen_on":"2025-01-03","still_on_page":true}],"first_name":"Sierra","last_name":"Timmons","position":"Business Development Representative","position_raw":"New Business Representative","seniority":null,"department":"sales","linkedin":"https://www.linkedin.com/in/sierratimmons","twitter":null,"phone_number":null,"verification":{"date":"2025-01-28","status":"invalid"}},{"value":"rfalcon@plaid.com","type":"personal","confidence":99,"sources":[{"domain":"linkedin.com","uri":"https://www.google.com/search?q=site:linkedin.com%20richard%20falcon%20plaid","extracted_on":"2025-01-03","last_seen_on":"2025-01-03","still_on_page":true}],"first_name":"Richard","last_name":"Falcon","position":"Business Development Manager","position_raw":"Corporate and Business Development","seniority":"senior","department":"sales","linkedin":"https://www.linkedin.com/in/richard-falcon-44b7aa132","twitter":null,"phone_number":null,"verification":{"date":null,"status":null}},{"value":"cbarnes@plaid.com","type":"personal","confidence":99,"sources":[{"domain":"linkedin.com","uri":"https://www.google.com/search?q=site:linkedin.com%20cormick%20barnes%20plaid","extracted_on":"2025-01-03","last_seen_on":"2025-01-03","still_on_page":true}],"first_name":"Cormick","last_name":"Barnes","position":"Partnership Manager","position_raw":"Partnerships","seniority":"senior","department":"sales","linkedin":"https://www.linkedin.com/in/cormickbarnes","twitter":null,"phone_number":null,"verification":{"date":"2025-01-30","status":"valid"}},{"value":"szolotarev@plaid.com","type":"personal","confidence":99,"sources":[{"domain":"linkedin.com","uri":"https://www.google.com/search?q=site:linkedin.com%20simon%20zolotarev%20plaid","extracted_on":"2025-01-08","last_seen_on":"2025-01-08","still_on_page":true}],"first_name":"Simon","last_name":"Zolotarev","position":"Account Executive","position_raw":"Account Executive - SMB","seniority":"executive","department":"sales","linkedin":"https://www.linkedin.com/in/simon-zolotarev","twitter":null,"phone_number":null,"verification":{"date":"2025-01-20","status":"valid"}},{"value":"jcarlson@plaid.com","type":"personal","confidence":99,"sources":[{"domain":"linkedin.com","uri":"https://www.google.com/search?q=site:linkedin.com%20jill%20carlson%20plaid","extracted_on":"2025-01-07","last_seen_on":"2025-01-07","still_on_page":true}],"first_name":"Jill","last_name":"Carlson","position":"Account Executive","position_raw":"Enterprise Account Executive","seniority":"executive","department":"sales","linkedin":"https://www.linkedin.com/in/carlsonjill","twitter":null,"phone_number":null,"verification":{"date":"2025-01-07","status":"valid"}},{"value":"aruff@plaid.com","type":"personal","confidence":99,"sources":[{"domain":"linkedin.com","uri":"https://www.google.com/search?q=site:linkedin.com%20analisa%20ruff%20plaid","extracted_on":"2025-01-07","last_seen_on":"2025-01-07","still_on_page":true}],"first_name":"Analisa","last_name":"Ruff","position":"Account Executive","position_raw":"Account Executive","seniority":"executive","department":"sales","linkedin":"https://www.linkedin.com/in/analisa-ruff-75b970119","twitter":null,"phone_number":null,"verification":{"date":"2025-01-07","status":"valid"}},{"value":"nmalrechauffe@plaid.com","type":"personal","confidence":99,"sources":[{"domain":"linkedin.com","uri":"https://www.google.com/search?q=site:linkedin.com%20nick%20malrechauffe%20plaid","extracted_on":"2025-01-03","last_seen_on":"2025-01-03","still_on_page":true}],"first_name":"Nick","last_name":"Malrechauffe","position":"Account Executive","position_raw":"Account Executive","seniority":"executive","department":"sales","linkedin":"https://www.linkedin.com/in/nick-malrechauffe","twitter":null,"phone_number":null,"verification":{"date":"2025-01-07","status":"valid"}},{"value":"awoodroffe@plaid.com","type":"personal","confidence":99,"sources":[{"domain":"linkedin.com","uri":"https://www.google.com/search?q=site:linkedin.com%20ashley%20woodroffe%20plaid","extracted_on":"2025-01-07","last_seen_on":"2025-01-07","still_on_page":true},{"domain":"plaid.com","uri":"http://plaid.com/customer-stories/alliant-credit-union","extracted_on":"2024-11-01","last_seen_on":"2024-11-01","still_on_page":true}],"first_name":"Ashley","last_name":"Woodroffe","position":"Account Executive","position_raw":"Account Executive, Banking and Wealth","seniority":"executive","department":"sales","linkedin":"https://www.linkedin.com/in/ashley-woodroffe-228b6850","twitter":null,"phone_number":null,"verification":{"date":null,"status":null}}]</t>
  </si>
  <si>
    <t>For you guys that might mean personalized auth flows... or personalized transaction categories.</t>
  </si>
  <si>
    <t>Plaid</t>
  </si>
  <si>
    <t>/companies/plaid/</t>
  </si>
  <si>
    <t>The easiest way for users to connect their bank accounts to an app.</t>
  </si>
  <si>
    <t>Zach Perret</t>
  </si>
  <si>
    <t>Team; Team; Martin Mignot; Team</t>
  </si>
  <si>
    <t>pointfive.co</t>
  </si>
  <si>
    <t>[{"value":"eitan@pointfive.co","type":"personal","confidence":98,"sources":[{"domain":"linkedin.com","uri":"https://www.google.com/search?q=site:linkedin.com%20eitan%20aronowitz%20pointfive","extracted_on":"2025-01-17","last_seen_on":"2025-01-17","still_on_page":true}],"first_name":"Eitan","last_name":"Aronowitz","position":"Business Development Manager","position_raw":"Business Development Manager","seniority":"senior","department":"sales","linkedin":"https://www.linkedin.com/in/aronowitzeitan","twitter":null,"phone_number":null,"verification":{"date":"2025-01-17","status":"valid"}}]</t>
  </si>
  <si>
    <t>For you guys that might mean personalized cost savings... or personalized resource allocation.</t>
  </si>
  <si>
    <t>PointFive</t>
  </si>
  <si>
    <t>/companies/pointfive/</t>
  </si>
  <si>
    <t>Expose unseen cloud waste and ensure ongoing cost efficiency. All on a single platform.</t>
  </si>
  <si>
    <t>Alon Arvatz; Amir Hozez; Gal Ben-David</t>
  </si>
  <si>
    <t>Team; Team; Juriaan Duizendstraal; Team</t>
  </si>
  <si>
    <t>rightscale.com</t>
  </si>
  <si>
    <t>[{"value":"sales@rightscale.com","type":"generic","confidence":90,"sources":[{"domain":"slideshare.net","uri":"http://slideshare.net/rightscale/rightscale-webinar-compliance-in-the-cloud","extracted_on":"2019-12-06","last_seen_on":"2019-12-06","still_on_page":true},{"domain":"slideshare.net","uri":"http://slideshare.net/rightscale/rightscale-webinar-451-research-webinar-cloud-dos-and-donts","extracted_on":"2019-12-31","last_seen_on":"2019-12-31","still_on_page":true},{"domain":"slideshare.net","uri":"http://slideshare.net/rightscale/rightscale-webinar-operational-best-practices-in-the-cloud","extracted_on":"2022-01-18","last_seen_on":"2022-01-18","still_on_page":true},{"domain":"technodocbox.com","uri":"http://technodocbox.com/databases/68792543-identifying-workloads-for-the-cloud.html","extracted_on":"2023-03-15","last_seen_on":"2024-04-20","still_on_page":true},{"domain":"pdfslide.net","uri":"http://pdfslide.net/technology/rightscale-webinar-security-monitoring-in-the-cloud-how-rightscale-does-it.html","extracted_on":"2023-05-06","last_seen_on":"2024-05-07","still_on_page":true},{"domain":"comparisons.financesonline.com","uri":"http://comparisons.financesonline.com/contrail-insights-vs-rightscale","extracted_on":"2024-09-07","last_seen_on":"2024-09-07","still_on_page":true},{"domain":"comparisons.financesonline.com","uri":"http://comparisons.financesonline.com/ormuco-stack-vs-rightscale","extracted_on":"2020-01-11","last_seen_on":"2024-09-11","still_on_page":true},{"domain":"docs.rightscale.com","uri":"http://docs.rightscale.com/clouds/azure/azure_about.html","extracted_on":"2021-01-26","last_seen_on":"2025-02-06","still_on_page":true},{"domain":"docs.rightscale.com","uri":"http://docs.rightscale.com/policies/users/policy_list.html","extracted_on":"2021-07-10","last_seen_on":"2025-02-05","still_on_page":true},{"domain":"docs.rightscale.com","uri":"http://docs.rightscale.com/clouds/aws/aws_about.html","extracted_on":"2021-01-26","last_seen_on":"2025-02-04","still_on_page":true},{"domain":"docs.rightscale.com","uri":"http://docs.rightscale.com/clouds/azure_resource_manager","extracted_on":"2019-12-06","last_seen_on":"2025-02-04","still_on_page":true},{"domain":"docs.rightscale.com","uri":"http://docs.rightscale.com/clouds/google","extracted_on":"2023-07-22","last_seen_on":"2025-02-04","still_on_page":true},{"domain":"comparisons.financesonline.com","uri":"http://comparisons.financesonline.com/cloudaware-vs-rightscale","extracted_on":"2019-11-11","last_seen_on":"2024-11-10","still_on_page":true},{"domain":"slideshare.net","uri":"http://slideshare.net/silviacardona/wef-tp-pushingnewfrontiersreport2013-16491259","extracted_on":"2020-02-12","last_seen_on":"2024-12-27","still_on_page":true},{"domain":"xplorexit.com","uri":"http://xplorexit.com/rightscale","extracted_on":"2019-11-18","last_seen_on":"2025-01-21","still_on_page":true},{"domain":"docs.flexera.com","uri":"http://docs.flexera.com/optima/content/helplibrary/billingcenters.htm","extracted_on":"2020-06-20","last_seen_on":"2022-01-12","still_on_page":false},{"domain":"reports.weforum.org","uri":"http://reports.weforum.org/technology-pioneers-2013","extracted_on":"2022-07-16","last_seen_on":"2022-10-16","still_on_page":false},{"domain":"slideshare.net","uri":"http://slideshare.net/rightscale/rightscale-webinar-transitioning-to-the-cloud-implications-for-reliability-redundancy-recoverability","extracted_on":"2021-07-18","last_seen_on":"2023-01-08","still_on_page":false},{"domain":"elasticvapor.com","uri":"http://elasticvapor.com/search/label/rightscale","extracted_on":"2023-01-21","last_seen_on":"2023-10-21","still_on_page":false},{"domain":"elasticvapor.com","uri":"http://elasticvapor.com/2008/11/rightscale-and-eucalyptus-join-forces.html","extracted_on":"2023-01-21","last_seen_on":"2023-10-21","still_on_page":false},{"domain":"frontend.spiceworks.com","uri":"http://frontend.spiceworks.com/pages/rightscale","extracted_on":"2021-05-20","last_seen_on":"2023-12-02","still_on_page":false},{"domain":"community.spiceworks.com","uri":"http://community.spiceworks.com/pages/rightscale","extracted_on":"2019-12-29","last_seen_on":"2024-02-24","still_on_page":false},{"domain":"elasticvapor.com","uri":"http://elasticvapor.com/2008/11","extracted_on":"2023-01-20","last_seen_on":"2024-07-21","still_on_page":false},{"domain":"vdocuments.net","uri":"http://vdocuments.net/rightscale-webinar-security-monitoring-in-the-cloud-how-rightscale-does-it.html","extracted_on":"2022-10-15","last_seen_on":"2024-04-22","still_on_page":false},{"domain":"vdocuments.net","uri":"http://vdocuments.net/case-study-pearson-manages-digital-learning-in-the-cloud-manages-digital-learning.html","extracted_on":"2019-01-12","last_seen_on":"2024-05-02","still_on_page":false},{"domain":"vdocuments.net","uri":"http://vdocuments.net/case-study-pearson-manages-digital-learning-in-the-cloud-pearson-manages-digital.html","extracted_on":"2020-07-22","last_seen_on":"2024-06-08","still_on_page":false},{"domain":"pdfslide.net","uri":"http://pdfslide.net/technology/rightscale-webinar-hybrid-cloud-fundamentals-and-lessons-learned.html","extracted_on":"2019-09-21","last_seen_on":"2024-05-09","still_on_page":false},{"domain":"vdocuments.net","uri":"http://vdocuments.net/rightscale-webinar-how-rightscale-architects-its-databases-for-worldwide.html","extracted_on":"2023-05-13","last_seen_on":"2024-05-15","still_on_page":false},{"domain":"vdocuments.net","uri":"http://vdocuments.net/orchestrating-paas-and-iaas-with-rightscale.html","extracted_on":"2020-04-25","last_seen_on":"2024-05-20","still_on_page":false},{"domain":"pdfslide.net","uri":"http://pdfslide.net/documents/case-study-pearson-manages-digital-learning-in-the-cloud-manages-digital-learning.html","extracted_on":"2019-10-17","last_seen_on":"2024-05-28","still_on_page":false}],"first_name":null,"last_name":null,"position":null,"position_raw":null,"seniority":null,"department":"sales","linkedin":null,"twitter":null,"phone_number":null,"verification":{"date":null,"status":null}}]</t>
  </si>
  <si>
    <t>For you guys that might mean personalized cloud spend dashboards... or automated cost governance policies.</t>
  </si>
  <si>
    <t>Flexera</t>
  </si>
  <si>
    <t>Rightscale</t>
  </si>
  <si>
    <t>data</t>
  </si>
  <si>
    <t>/companies/rightscale/</t>
  </si>
  <si>
    <t>RightScale Cloud Portfolio Management enables leading enterprises to accelerate delivery of cloud-based applications that engage customers and drive top-line revenue while optimizing cloud usage to reduce risk and costs. With RightScale, IT organizations can deliver instant access to a portfolio of public, private, and hybrid cloud services across business units and development teams while maintaining enterprise control.</t>
  </si>
  <si>
    <t>Michael Crandell; Thorsten von Eicken</t>
  </si>
  <si>
    <t>taktile.com</t>
  </si>
  <si>
    <t>[{"value":"bowen.gerould@taktile.com","type":"personal","confidence":99,"sources":[{"domain":"linkedin.com","uri":"https://www.google.com/search?q=site:linkedin.com%20bowen%20gerould%20taktile","extracted_on":"2025-01-07","last_seen_on":"2025-01-07","still_on_page":true}],"first_name":"Bowen","last_name":"Gerould","position":"Account Executive","position_raw":"Account Executive","seniority":"executive","department":"sales","linkedin":"https://www.linkedin.com/in/bowengerould","twitter":null,"phone_number":null,"verification":{"date":"2025-01-07","status":"valid"}},{"value":"fabio.zampedri@taktile.com","type":"personal","confidence":96,"sources":[{"domain":"linkedin.com","uri":"https://www.google.com/search?q=site:linkedin.com%20fabio%20zampedri%20taktile","extracted_on":"2025-01-08","last_seen_on":"2025-01-08","still_on_page":true}],"first_name":"Fabio","last_name":"Zampedri","position":"Account Executive","position_raw":"Account Executive (LATAM &amp; Southern Europe - Small to Enterprise)","seniority":"executive","department":"sales","linkedin":"https://www.linkedin.com/in/fabio-zampedri-06a049141","twitter":null,"phone_number":null,"verification":{"date":"2025-01-08","status":"valid"}}]</t>
  </si>
  <si>
    <t>For you guys that might mean personalized KYB checks...or personalized risk scores.</t>
  </si>
  <si>
    <t>Taktile</t>
  </si>
  <si>
    <t>business-applications; fintech</t>
  </si>
  <si>
    <t>/companies/taktile/</t>
  </si>
  <si>
    <t>Machine learning for the financial services industry.</t>
  </si>
  <si>
    <t>Maik Wehmeyer; Maximilian Eber</t>
  </si>
  <si>
    <t>algolia.com</t>
  </si>
  <si>
    <t>[{"value":"isabella.arellano@algolia.com","type":"personal","confidence":99,"sources":[{"domain":"linkedin.com","uri":"https://www.google.com/search?q=site:linkedin.com%20isabella%20arellano%20algolia","extracted_on":"2025-01-09","last_seen_on":"2025-01-09","still_on_page":true}],"first_name":"Isabella","last_name":"Arellano","position":"Partner Account Manager","position_raw":"Partner Account Manager","seniority":"senior","department":"sales","linkedin":"https://www.linkedin.com/in/isabellaarellano","twitter":null,"phone_number":null,"verification":{"date":"2025-01-09","status":"valid"}},{"value":"nicolas.gerard@algolia.com","type":"personal","confidence":99,"sources":[{"domain":"raptorservices.com","uri":"http://raptorservices.com/events-webinars/how-to-fuel-your-data-and-marketing-strategy-with-cdp","extracted_on":"2024-06-04","last_seen_on":"2024-12-14","still_on_page":true},{"domain":"raptorservices.com","uri":"http://raptorservices.com/events-webinars/personalized-search-with-raptor-algolia","extracted_on":"2024-06-04","last_seen_on":"2024-12-14","still_on_page":true},{"domain":"raptorservices.com","uri":"http://raptorservices.com/how-to-fuel-your-data-and-marketing-strategy-with-cdp","extracted_on":"2023-02-05","last_seen_on":"2023-08-07","still_on_page":false},{"domain":"raptorservices.com","uri":"http://raptorservices.com/personalized-search-with-raptor-algolia","extracted_on":"2022-09-07","last_seen_on":"2023-08-05","still_on_page":false},{"domain":"raptorsmartadvisor.com","uri":"http://raptorsmartadvisor.com/2020/06/15/webinar-personalized-search-with-raptor-algolia","extracted_on":"2021-01-17","last_seen_on":"2021-04-17","still_on_page":false}],"first_name":"Nicolas","last_name":"Gerard","position":"Sales Manager","position_raw":"Sales Manager Enterprise - France","seniority":"senior","department":"sales","linkedin":"https://www.linkedin.com/in/nicolasgerardtechstartups","twitter":null,"phone_number":null,"verification":{"date":"2025-01-20","status":"valid"}},{"value":"asmaa.taki@algolia.com","type":"personal","confidence":99,"sources":[{"domain":"linkedin.com","uri":"https://www.google.com/search?q=site:linkedin.com%20asmaa%20taki%20algolia","extracted_on":"2025-01-12","last_seen_on":"2025-01-12","still_on_page":true}],"first_name":"Asmaa","last_name":"Taki","position":"Account Executive","position_raw":"Commercial Account Executive","seniority":"executive","department":"sales","linkedin":"https://www.linkedin.com/in/asmaa-taki","twitter":null,"phone_number":null,"verification":{"date":"2025-01-12","status":"valid"}},{"value":"robert.lim@algolia.com","type":"personal","confidence":99,"sources":[{"domain":"linkedin.com","uri":"https://www.google.com/search?q=site:linkedin.com%20robert%20lim%20algolia","extracted_on":"2025-01-11","last_seen_on":"2025-01-11","still_on_page":true}],"first_name":"Robert","last_name":"Lim","position":"Strategic Account Executive","position_raw":"Strategic Account Executive","seniority":"executive","department":"sales","linkedin":"https://www.linkedin.com/in/robertalim","twitter":null,"phone_number":null,"verification":{"date":"2025-01-11","status":"valid"}},{"value":"tara.haisenleder@algolia.com","type":"personal","confidence":99,"sources":[{"domain":"linkedin.com","uri":"https://www.google.com/search?q=site:linkedin.com%20tara%20haisenleder%20algolia","extracted_on":"2025-01-11","last_seen_on":"2025-01-11","still_on_page":true}],"first_name":"Tara","last_name":"Haisenleder","position":"Account Executive","position_raw":"Commercial Account Executive","seniority":"executive","department":"sales","linkedin":"https://www.linkedin.com/in/tara-haisenleder-293b3b9b","twitter":null,"phone_number":null,"verification":{"date":"2025-01-11","status":"valid"}},{"value":"erik.metke@algolia.com","type":"personal","confidence":99,"sources":[{"domain":"linkedin.com","uri":"https://www.google.com/search?q=site:linkedin.com%20erik%20metke%20algolia","extracted_on":"2025-01-11","last_seen_on":"2025-01-11","still_on_page":true}],"first_name":"Erik","last_name":"Metke","position":"Account Executive","position_raw":"Enterprise Account Executive","seniority":"executive","department":"sales","linkedin":"https://www.linkedin.com/in/erikmetke","twitter":null,"phone_number":null,"verification":{"date":"2025-01-11","status":"valid"}},{"value":"lee.peters@algolia.com","type":"personal","confidence":99,"sources":[{"domain":"linkedin.com","uri":"https://www.google.com/search?q=site:linkedin.com%20lee%20peters%20algolia","extracted_on":"2025-01-10","last_seen_on":"2025-01-10","still_on_page":true}],"first_name":"Lee","last_name":"Peters","position":"Enterprise Account Executive","position_raw":"Senior Enterprise Account Executive","seniority":"executive","department":"sales","linkedin":"https://www.linkedin.com/in/lee-peters","twitter":null,"phone_number":null,"verification":{"date":"2025-01-10","status":"valid"}},{"value":"valerie.waterschoot@algolia.com","type":"personal","confidence":99,"sources":[{"domain":"linkedin.com","uri":"https://www.google.com/search?q=site:linkedin.com%20val%C3%A9rie%20waterschoot%20algolia","extracted_on":"2025-01-10","last_seen_on":"2025-01-10","still_on_page":true}],"first_name":"Valérie","last_name":"Waterschoot","position":"Enterprise Account Executive","position_raw":"Enterprise Account Executive - Country Lead NL","seniority":"executive","department":"sales","linkedin":"https://www.linkedin.com/in/val%c3%a9rie-waterschoot-b3633882","twitter":null,"phone_number":null,"verification":{"date":"2025-01-10","status":"valid"}},{"value":"victoria.villarroel@algolia.com","type":"personal","confidence":99,"sources":[{"domain":"linkedin.com","uri":"https://www.google.com/search?q=site:linkedin.com%20victoria%20villarroel%20algolia","extracted_on":"2025-01-10","last_seen_on":"2025-01-10","still_on_page":true}],"first_name":"Victoria","last_name":"Villarroel","position":"Account Executive","position_raw":"Account Executive","seniority":"executive","department":"sales","linkedin":"https://www.linkedin.com/in/victoria-villarroel-b6864a197","twitter":null,"phone_number":null,"verification":{"date":"2025-01-10","status":"valid"}},{"value":"wesley.soeters@algolia.com","type":"personal","confidence":99,"sources":[{"domain":"linkedin.com","uri":"https://www.google.com/search?q=site:linkedin.com%20wesley%20soeters%20algolia","extracted_on":"2025-01-09","last_seen_on":"2025-01-09","still_on_page":true}],"first_name":"Wesley","last_name":"Soeters","position":"Account Executive","position_raw":"Enterprise Account Executive","seniority":"executive","department":"sales","linkedin":"https://www.linkedin.com/in/wsoeters","twitter":null,"phone_number":null,"verification":{"date":"2025-01-09","status":"valid"}}]</t>
  </si>
  <si>
    <t>For you guys that might mean personalized search results... or personalized recommendations.</t>
  </si>
  <si>
    <t>Algolia</t>
  </si>
  <si>
    <t>/companies/algolia/</t>
  </si>
  <si>
    <t>Algolia offers a SaaS search API built for developers to deliver real-time, typo-tolerant and location aware search in their applications and websites.</t>
  </si>
  <si>
    <t>Bernadette Nixon; Nicolas Dessaigne; Julien Lemoine</t>
  </si>
  <si>
    <t>alkemics.com</t>
  </si>
  <si>
    <t>For you guys that might mean personalized attributes... or personalized syndication channels.</t>
  </si>
  <si>
    <t>Salsify</t>
  </si>
  <si>
    <t>Alkemics</t>
  </si>
  <si>
    <t>business-applications; retail</t>
  </si>
  <si>
    <t>/companies/alkemics/</t>
  </si>
  <si>
    <t>Alkemics is a smart data expert providing online services for FMCG companies with solutions that allow brands to manage and share all product information across all channels and push relevant content according to each customer profile.</t>
  </si>
  <si>
    <t>Antoine Durieux; Antoine Perrin; Benoit Portoleau</t>
  </si>
  <si>
    <t>Team; Team; Dominique Vidal; Team</t>
  </si>
  <si>
    <t>apexhq.ai</t>
  </si>
  <si>
    <t>For you guys that might mean personalized AI Gateway policies... or personalized threat detection rules.</t>
  </si>
  <si>
    <t>Apex</t>
  </si>
  <si>
    <t>aiml; security</t>
  </si>
  <si>
    <t>/companies/apex/</t>
  </si>
  <si>
    <t>Apex is a leading AI security platform designed to empower organizations to adapt to the AI era.</t>
  </si>
  <si>
    <t>Matan Derman; Tomer Avni</t>
  </si>
  <si>
    <t>Team; Team; Shardul Shah; Juriaan Duizendstraal; Team</t>
  </si>
  <si>
    <t>arthur.ai</t>
  </si>
  <si>
    <t>[{"value":"sabrina@arthur.ai","type":"personal","confidence":99,"sources":[{"domain":"linkedin.com","uri":"https://www.google.com/search?q=site:linkedin.com%20sabrina%20richter%20arthur","extracted_on":"2025-01-07","last_seen_on":"2025-01-07","still_on_page":true}],"first_name":"Sabrina","last_name":"Richter","position":"Account Executive","position_raw":"Commercial Account Executive","seniority":"executive","department":"sales","linkedin":"https://www.linkedin.com/in/sabrina-tina-richter-83268b14b","twitter":null,"phone_number":null,"verification":{"date":"2025-02-15","status":"valid"}},{"value":"max@arthur.ai","type":"personal","confidence":96,"sources":[{"domain":"linkedin.com","uri":"https://www.google.com/search?q=site:linkedin.com%20max%20james%20arthur","extracted_on":"2025-01-07","last_seen_on":"2025-01-07","still_on_page":true},{"domain":"arthur.ai","uri":"http://arthur.ai/team","extracted_on":"2024-09-29","last_seen_on":"2024-09-29","still_on_page":true}],"first_name":"Max","last_name":"James","position":"Vice President of Sales","position_raw":"Vice President of Sales","seniority":"executive","department":"sales","linkedin":"https://www.linkedin.com/in/maxjames510","twitter":null,"phone_number":null,"verification":{"date":null,"status":null}},{"value":"sales@arthur.ai","type":"generic","confidence":77,"sources":[{"domain":"arthur.ai","uri":"http://arthur.ai/blog/announcing-our-strategic-partnership-with-amazon-web-services","extracted_on":"2023-10-11","last_seen_on":"2024-12-30","still_on_page":true}],"first_name":null,"last_name":null,"position":null,"position_raw":null,"seniority":null,"department":"sales","linkedin":null,"twitter":null,"phone_number":null,"verification":{"date":null,"status":null}}]</t>
  </si>
  <si>
    <t>For you guys that might mean personalized dashboards... or personalized workflows.</t>
  </si>
  <si>
    <t>Arthur</t>
  </si>
  <si>
    <t>ArthurAI</t>
  </si>
  <si>
    <t>select; seed; all-seed</t>
  </si>
  <si>
    <t>/companies/arthurai/</t>
  </si>
  <si>
    <t>Maximize performance, minimize risk.</t>
  </si>
  <si>
    <t>Adam Wenchel; Priscilla Alexander; John Dickerson; Liz Sullivan</t>
  </si>
  <si>
    <t>Team; Team; Mike Volpi; Team</t>
  </si>
  <si>
    <t>useascend.com</t>
  </si>
  <si>
    <t>[{"value":"chris@useascend.com","type":"personal","confidence":99,"sources":[{"domain":"catalyit.com","uri":"http://catalyit.com/pp_ascend","extracted_on":"2024-11-08","last_seen_on":"2025-02-15","still_on_page":true},{"domain":"useascend.com","uri":"http://useascend.com/partners-categories/insurtech","extracted_on":"2022-10-16","last_seen_on":"2024-12-15","still_on_page":true},{"domain":"useascend.com","uri":"http://useascend.com/partners-categories/ams","extracted_on":"2023-08-28","last_seen_on":"2024-12-14","still_on_page":true},{"domain":"useascend.com","uri":"http://useascend.com/partners","extracted_on":"2022-08-30","last_seen_on":"2024-12-11","still_on_page":true},{"domain":"useascend.com","uri":"http://useascend.com/partners-categories/network","extracted_on":"2023-06-11","last_seen_on":"2024-12-11","still_on_page":true}],"first_name":"Chris","last_name":"Surdi","position":"Strategic Account Manager","position_raw":"Strategic Account Manager","seniority":"senior","department":"sales","linkedin":"https://www.linkedin.com/in/csurdi","twitter":null,"phone_number":null,"verification":{"date":null,"status":null}},{"value":"sales@useascend.com","type":"generic","confidence":77,"sources":[{"domain":"hawksoft.com","uri":"http://hawksoft.com/about/partners/ascend","extracted_on":"2023-12-07","last_seen_on":"2025-01-29","still_on_page":true}],"first_name":null,"last_name":null,"position":null,"position_raw":null,"seniority":null,"department":"sales","linkedin":null,"twitter":null,"phone_number":null,"verification":{"date":null,"status":null}}]</t>
  </si>
  <si>
    <t>For you guys that might mean personalized commission splits... or personalized reporting views.</t>
  </si>
  <si>
    <t>Ascend</t>
  </si>
  <si>
    <t>/companies/ascend/</t>
  </si>
  <si>
    <t>The modern insurance payments platform</t>
  </si>
  <si>
    <t>Andrew Wynn; Praveen Chekuri</t>
  </si>
  <si>
    <t>attackiq.com</t>
  </si>
  <si>
    <t>[{"value":"greg.dumas@attackiq.com","type":"personal","confidence":94,"sources":[{"domain":"linkedin.com","uri":"https://www.google.com/search?q=site:linkedin.com%20greg%20dumas%20attackiq","extracted_on":"2025-01-14","last_seen_on":"2025-01-14","still_on_page":true}],"first_name":"Greg","last_name":"Dumas","position":"Regional Sales Director","position_raw":"Director Western Region Sales","seniority":null,"department":"sales","linkedin":"https://www.linkedin.com/in/greg-dumas-9535596a","twitter":null,"phone_number":null,"verification":{"date":"2025-02-21","status":"accept_all"}},{"value":"don.wilson@attackiq.com","type":"personal","confidence":93,"sources":[{"domain":"linkedin.com","uri":"https://www.google.com/search?q=site:linkedin.com%20don%20wilson%20attackiq","extracted_on":"2025-01-14","last_seen_on":"2025-01-14","still_on_page":true}],"first_name":"Don","last_name":"Wilson","position":"Sales Executive","position_raw":"Corporate Sales Executive","seniority":"executive","department":"sales","linkedin":"https://www.linkedin.com/in/don-wilson2022","twitter":null,"phone_number":null,"verification":{"date":"2025-01-14","status":"accept_all"}},{"value":"jose.barajas@attackiq.com","type":"personal","confidence":93,"sources":[{"domain":"events.secureworld.io","uri":"http://events.secureworld.io/speakers/jose-barajas","extracted_on":"2022-07-30","last_seen_on":"2025-02-01","still_on_page":true},{"domain":"linkedin.com","uri":"https://www.google.com/search?q=site:linkedin.com%20jose%20barajas%20attackiq","extracted_on":"2025-01-14","last_seen_on":"2025-01-14","still_on_page":true}],"first_name":"Jose","last_name":"Barajas","position":"Vice President of Sales Engineering","position_raw":"Vice President, Global Sales Engineering","seniority":"executive","department":"sales","linkedin":"https://www.linkedin.com/in/joselbarajas","twitter":null,"phone_number":null,"verification":{"date":"2025-02-12","status":"accept_all"}},{"value":"scott.sayman@attackiq.com","type":"personal","confidence":92,"sources":[{"domain":"linkedin.com","uri":"https://www.google.com/search?q=site:linkedin.com%20scott%20sayman%20attackiq","extracted_on":"2025-01-14","last_seen_on":"2025-01-14","still_on_page":true}],"first_name":"Scott","last_name":"Sayman","position":"Sales Director","position_raw":"Director, Sales | Northeast – New England","seniority":null,"department":"sales","linkedin":"https://www.linkedin.com/in/scottsayman","twitter":null,"phone_number":null,"verification":{"date":"2025-02-19","status":"accept_all"}},{"value":"daryl.correa@attackiq.com","type":"personal","confidence":91,"sources":[{"domain":"linkedin.com","uri":"https://www.google.com/search?q=site:linkedin.com%20daryl%20correa%20attackiq","extracted_on":"2025-01-14","last_seen_on":"2025-01-14","still_on_page":true}],"first_name":"Daryl","last_name":"Correa","position":"Senior Director of Sales Operations","position_raw":"Senior Director Sales Operations","seniority":"senior","department":"sales","linkedin":"https://www.linkedin.com/in/daryl-correa-40a769238","twitter":null,"phone_number":null,"verification":{"date":"2025-02-13","status":"accept_all"}},{"value":"sales@attackiq.com","type":"generic","confidence":78,"sources":[{"domain":"ai-techpark.com","uri":"http://ai-techpark.com/introducing-attackiqs-nist-csf-automated-assessments","extracted_on":"2024-09-15","last_seen_on":"2024-12-15","still_on_page":true},{"domain":"webmagspace.com","uri":"http://webmagspace.com/introducing-attackiqs-nist-csf-automated-assessments","extracted_on":"2024-08-19","last_seen_on":"2024-11-20","still_on_page":false},{"domain":"apnews.com","uri":"http://apnews.com/b71b2129eea53f973a5882c06d51f384","extracted_on":"2018-10-22","last_seen_on":"2023-03-26","still_on_page":false},{"domain":"attackiq.com","uri":"http://attackiq.com/blog/2017/09/26/afcea-technet-augusta-2019","extracted_on":"2019-03-07","last_seen_on":"2020-07-13","still_on_page":false},{"domain":"attackiq.com","uri":"http://attackiq.com/blog/2017/09/27/black-hat-usa-2018","extracted_on":"2019-01-31","last_seen_on":"2020-07-13","still_on_page":false},{"domain":"attackiq.com","uri":"http://attackiq.com/blog/2018/09/21/rsa-conference-2019","extracted_on":"2019-04-02","last_seen_on":"2020-07-13","still_on_page":false}],"first_name":null,"last_name":null,"position":null,"position_raw":null,"seniority":null,"department":"sales","linkedin":null,"twitter":null,"phone_number":null,"verification":{"date":null,"status":null}},{"value":"marketing@attackiq.com","type":"generic","confidence":77,"sources":[{"domain":"attackiq.com","uri":"http://attackiq.com/who-we-are/privacy-policy/european-safe-harbor-privacy-policy","extracted_on":"2021-06-27","last_seen_on":"2025-01-01","still_on_page":true},{"domain":"attackiq.com","uri":"http://attackiq.com/attackiq-european-safe-harbor-privacy-policy","extracted_on":"2018-08-15","last_seen_on":"2020-07-13","still_on_page":false}],"first_name":null,"last_name":null,"position":null,"position_raw":null,"seniority":null,"department":"sales","linkedin":null,"twitter":null,"phone_number":null,"verification":{"date":null,"status":null}}]</t>
  </si>
  <si>
    <t>For you guys that might mean personalized attack simulations... or personalized security control validations.</t>
  </si>
  <si>
    <t>AttackIQ</t>
  </si>
  <si>
    <t>/companies/attackiq/</t>
  </si>
  <si>
    <t>AttackIQ offers the first live remote testing platform that continuously challenges your security assumptions.</t>
  </si>
  <si>
    <t>Stephan Chenette</t>
  </si>
  <si>
    <t>beamery.com</t>
  </si>
  <si>
    <t>[{"value":"katie.wilde@beamery.com","type":"personal","confidence":97,"sources":[{"domain":"linkedin.com","uri":"https://www.google.com/search?q=site:linkedin.com%20katie%20wilde%20beamery","extracted_on":"2025-01-07","last_seen_on":"2025-01-07","still_on_page":true}],"first_name":"Katie","last_name":"Wilde","position":"Account Director","position_raw":"Account Director","seniority":null,"department":"sales","linkedin":"https://www.linkedin.com/in/kawilde","twitter":null,"phone_number":null,"verification":{"date":"2025-01-07","status":"valid"}},{"value":"karen.phillips@beamery.com","type":"personal","confidence":97,"sources":[{"domain":"linkedin.com","uri":"https://www.google.com/search?q=site:linkedin.com%20karen%20phillips%20beamery","extracted_on":"2025-01-07","last_seen_on":"2025-01-07","still_on_page":true}],"first_name":"Karen","last_name":"Phillips","position":"Enterprise Account Executive","position_raw":"Strategic Enterprise Account Executive","seniority":"executive","department":"sales","linkedin":"https://www.linkedin.com/in/karenknoxphillips","twitter":null,"phone_number":null,"verification":{"date":"2025-01-07","status":"valid"}},{"value":"rhianna.haley@beamery.com","type":"personal","confidence":96,"sources":[{"domain":"linkedin.com","uri":"https://www.google.com/search?q=site:linkedin.com%20rhianna%20haley%20beamery","extracted_on":"2025-01-08","last_seen_on":"2025-01-08","still_on_page":true}],"first_name":"Rhianna","last_name":"Haley","position":"Senior HR Business Partner","position_raw":"Senior People Partner","seniority":"senior","department":"sales","linkedin":"https://www.linkedin.com/in/rhianna-haley","twitter":null,"phone_number":null,"verification":{"date":"2025-02-17","status":"valid"}},{"value":"patrick.foy@beamery.com","type":"personal","confidence":96,"sources":[{"domain":"linkedin.com","uri":"https://www.google.com/search?q=site:linkedin.com%20patrick%20foy%20beamery","extracted_on":"2025-01-07","last_seen_on":"2025-01-07","still_on_page":true}],"first_name":"Patrick","last_name":"Foy","position":"Account Executive","position_raw":"Strategic Account Executive","seniority":"executive","department":"sales","linkedin":"https://www.linkedin.com/in/patrickdfoy","twitter":null,"phone_number":null,"verification":{"date":"2025-01-07","status":"valid"}},{"value":"matt.smith@beamery.com","type":"personal","confidence":96,"sources":[{"domain":"linkedin.com","uri":"https://www.google.com/search?q=site:linkedin.com%20matt%20smith%20beamery","extracted_on":"2025-01-03","last_seen_on":"2025-01-03","still_on_page":true}],"first_name":"Matt","last_name":"Smith","position":"Senior Vice President of Sales","position_raw":"Senior Vice President Sales (Americas) Beamery","seniority":"executive","department":"sales","linkedin":"https://www.linkedin.com/in/matt-smith-92968617","twitter":null,"phone_number":null,"verification":{"date":"2025-02-13","status":"valid"}}]</t>
  </si>
  <si>
    <t>For you guys that might mean personalized skills matching... or personalized talent pools.</t>
  </si>
  <si>
    <t>Beamery</t>
  </si>
  <si>
    <t>business-applications; talent</t>
  </si>
  <si>
    <t>/companies/beamery/</t>
  </si>
  <si>
    <t>Beamery is a provider of recruiting software that transforms the way companies hire the best talent.</t>
  </si>
  <si>
    <t>Abakar Saidov; Michael Paterson; Sultan Saidov</t>
  </si>
  <si>
    <t>Team; Team; Jan Hammer; Hannah Seal; Team</t>
  </si>
  <si>
    <t>birdie.care</t>
  </si>
  <si>
    <t>[{"value":"marketing@birdie.care","type":"generic","confidence":95,"sources":[{"domain":"birdie.care","uri":"http://birdie.care/blog/2022-homecare-challenges","extracted_on":"2022-05-22","last_seen_on":"2025-01-23","still_on_page":true},{"domain":"birdie.care","uri":"http://birdie.care/executive-wing/md/na/jl","extracted_on":"2024-02-23","last_seen_on":"2024-12-13","still_on_page":true}],"first_name":null,"last_name":null,"position":null,"position_raw":null,"seniority":null,"department":"sales","linkedin":null,"twitter":null,"phone_number":null,"verification":{"date":"2025-02-16","status":"valid"}}]</t>
  </si>
  <si>
    <t>For you guys that might mean personalized care plans... or personalized invoice rates.</t>
  </si>
  <si>
    <t>Birdie</t>
  </si>
  <si>
    <t>healthcare</t>
  </si>
  <si>
    <t>/companies/birdie/</t>
  </si>
  <si>
    <t>Your complete homecare software solution designed to give you better visibility over your care and support older adults to live happily at home.</t>
  </si>
  <si>
    <t>Max Parmentier; Gwen Lecalvez; Abeed Mohamed; Rajiv Tanna</t>
  </si>
  <si>
    <t>Team; Team; Stephane Kurgan; Julia Andre; Team</t>
  </si>
  <si>
    <t>joinblvd.com</t>
  </si>
  <si>
    <t>[{"value":"richard@joinblvd.com","type":"personal","confidence":94,"sources":[{"domain":"linkedin.com","uri":"https://www.google.com/search?q=site:linkedin.com%20richard%20ayala%20joinblvd","extracted_on":"2025-01-14","last_seen_on":"2025-01-14","still_on_page":true}],"first_name":"Richard","last_name":"Ayala","position":"Account Executive","position_raw":"SMB Account Executive","seniority":"executive","department":"sales","linkedin":"https://www.linkedin.com/in/therichardanthony","twitter":null,"phone_number":null,"verification":{"date":"2025-01-20","status":"accept_all"}},{"value":"jenna@joinblvd.com","type":"personal","confidence":94,"sources":[{"domain":"linkedin.com","uri":"https://www.google.com/search?q=site:linkedin.com%20jenna%20evan%20joinblvd","extracted_on":"2025-01-14","last_seen_on":"2025-01-14","still_on_page":true}],"first_name":"Jenna","last_name":"Evan","position":"Account Executive","position_raw":"Account Executive","seniority":"executive","department":"sales","linkedin":"https://www.linkedin.com/in/jenna-evan","twitter":null,"phone_number":null,"verification":{"date":"2025-01-20","status":"accept_all"}},{"value":"katie@joinblvd.com","type":"personal","confidence":94,"sources":[{"domain":"linkedin.com","uri":"https://www.google.com/search?q=site:linkedin.com%20katie%20giacobbe%20joinblvd","extracted_on":"2025-01-13","last_seen_on":"2025-01-13","still_on_page":true}],"first_name":"Katie","last_name":"Giacobbe","position":"Account Executive","position_raw":"Mid-Market Account Executive","seniority":"executive","department":"sales","linkedin":"https://www.linkedin.com/in/katelyngiacobbe","twitter":null,"phone_number":null,"verification":{"date":"2025-01-20","status":"accept_all"}},{"value":"kaylee@joinblvd.com","type":"personal","confidence":94,"sources":[{"domain":"linkedin.com","uri":"https://www.google.com/search?q=site:linkedin.com%20kaylee%20engel%20joinblvd","extracted_on":"2025-01-13","last_seen_on":"2025-01-13","still_on_page":true}],"first_name":"Kaylee","last_name":"Engel","position":"Account Executive","position_raw":"Account Executive","seniority":"executive","department":"sales","linkedin":"https://www.linkedin.com/in/engelkaylee","twitter":null,"phone_number":null,"verification":{"date":"2025-01-13","status":"accept_all"}},{"value":"meg@joinblvd.com","type":"personal","confidence":93,"sources":[{"domain":"linkedin.com","uri":"https://www.google.com/search?q=site:linkedin.com%20meg%20colvin%20joinblvd","extracted_on":"2025-01-13","last_seen_on":"2025-01-13","still_on_page":true}],"first_name":"Meg","last_name":"Colvin","position":"Account Executive","position_raw":"Mid Market Account Executive","seniority":"executive","department":"sales","linkedin":"https://www.linkedin.com/in/meg-colvin-037b56aa","twitter":null,"phone_number":null,"verification":{"date":"2025-01-23","status":"accept_all"}},{"value":"marnie@joinblvd.com","type":"personal","confidence":92,"sources":[{"domain":"linkedin.com","uri":"https://www.google.com/search?q=site:linkedin.com%20marnie%20dipaolo%20joinblvd","extracted_on":"2025-01-14","last_seen_on":"2025-01-14","still_on_page":true}],"first_name":"Marnie","last_name":"Dipaolo","position":"Account Executive","position_raw":"SMB Account Executive","seniority":"executive","department":"sales","linkedin":"https://www.linkedin.com/in/marniedipaolo","twitter":null,"phone_number":null,"verification":{"date":"2025-01-14","status":"accept_all"}},{"value":"marie@joinblvd.com","type":"personal","confidence":92,"sources":[{"domain":"linkedin.com","uri":"https://www.google.com/search?q=site:linkedin.com%20marie%20iannazzo%20joinblvd","extracted_on":"2025-01-14","last_seen_on":"2025-01-14","still_on_page":true}],"first_name":"Marie","last_name":"Iannazzo","position":"Account Executive","position_raw":"SMB Account Executive","seniority":"executive","department":"sales","linkedin":"https://www.linkedin.com/in/marie-iannazzo-65b82418b","twitter":null,"phone_number":null,"verification":{"date":"2025-01-14","status":"accept_all"}},{"value":"carla@joinblvd.com","type":"personal","confidence":91,"sources":[{"domain":"linkedin.com","uri":"https://www.google.com/search?q=site:linkedin.com%20carla%20sanchez%20joinblvd","extracted_on":"2025-01-13","last_seen_on":"2025-01-13","still_on_page":true}],"first_name":"Carla","last_name":"Sanchez","position":"Account Executive","position_raw":"Account Executive","seniority":"executive","department":"sales","linkedin":"https://www.linkedin.com/in/carla-h-sanchez-84219924","twitter":null,"phone_number":null,"verification":{"date":"2025-01-13","status":"accept_all"}},{"value":"kevin@joinblvd.com","type":"personal","confidence":91,"sources":[{"domain":"linkedin.com","uri":"https://www.google.com/search?q=site:linkedin.com%20kevin%20szelong%20joinblvd","extracted_on":"2025-01-13","last_seen_on":"2025-01-13","still_on_page":true}],"first_name":"Kevin","last_name":"Szelong","position":"Account Executive","position_raw":"Mid-Market Account Executive","seniority":"executive","department":"sales","linkedin":"https://www.linkedin.com/in/kevin-szelong-440095a4","twitter":null,"phone_number":null,"verification":{"date":"2025-02-08","status":"accept_all"}},{"value":"kelsey@joinblvd.com","type":"personal","confidence":90,"sources":[{"domain":"linkedin.com","uri":"https://www.google.com/search?q=site:linkedin.com%20kelsey%20morrison%20joinblvd","extracted_on":"2025-01-14","last_seen_on":"2025-01-14","still_on_page":true}],"first_name":"Kelsey","last_name":"Morrison","position":"Account Executive","position_raw":"Account Executive","seniority":"executive","department":"sales","linkedin":"https://www.linkedin.com/in/kelsey-morrison-7225b4179","twitter":null,"phone_number":null,"verification":{"date":"2025-01-14","status":"accept_all"}}]</t>
  </si>
  <si>
    <t>For you guys that might mean personalized services... or personalized packages.</t>
  </si>
  <si>
    <t>Boulevard</t>
  </si>
  <si>
    <t>/companies/boulevard/</t>
  </si>
  <si>
    <t>The business management platform powering the next generation of premium salons and spas.</t>
  </si>
  <si>
    <t>Matt Danna; Sean Stavropoulos</t>
  </si>
  <si>
    <t>Team; Team; Damir Becirovic; Team</t>
  </si>
  <si>
    <t>brincdrones.com</t>
  </si>
  <si>
    <t>[{"value":"steven.butler@brincdrones.com","type":"personal","confidence":99,"sources":[{"domain":"vasheriff.org","uri":"http://vasheriff.org/wp-content/uploads/2024/09/2024-2025-va-first-responder-vendor-directory-9-16-24.pdf","extracted_on":"2025-02-20","last_seen_on":"2025-02-20","still_on_page":true},{"domain":"vasheriff.org","uri":"http://vasheriff.org/wp-content/uploads/2024/06/2024-2025-va-first-responder-vendor-directory-6-21-24.pdf","extracted_on":"2025-01-18","last_seen_on":"2025-01-18","still_on_page":true},{"domain":"linkedin.com","uri":"https://www.google.com/search?q=site:linkedin.com%20steven%20butler%20brincdrones","extracted_on":"2025-01-07","last_seen_on":"2025-01-07","still_on_page":true}],"first_name":"Steven","last_name":"Butler","position":"Vice President of Sales","position_raw":"Head of North American Sales","seniority":"executive","department":"sales","linkedin":"https://www.linkedin.com/in/steven-butler-04928652","twitter":null,"phone_number":null,"verification":{"date":"2025-01-07","status":"valid"}},{"value":"conor.hearn@brincdrones.com","type":"personal","confidence":99,"sources":[{"domain":"linkedin.com","uri":"https://www.google.com/search?q=site:linkedin.com%20conor%20hearn%20brincdrones","extracted_on":"2025-01-03","last_seen_on":"2025-01-03","still_on_page":true}],"first_name":"Conor","last_name":"Hearn","position":"Account Executive","position_raw":"Territory Account Executive","seniority":"executive","department":"sales","linkedin":"https://www.linkedin.com/in/conorpatrickhearn","twitter":null,"phone_number":null,"verification":{"date":null,"status":null}},{"value":"dan.hoffman@brincdrones.com","type":"personal","confidence":98,"sources":[{"domain":"linkedin.com","uri":"https://www.google.com/search?q=site:linkedin.com%20dan%20hoffman%20brincdrones","extracted_on":"2025-01-07","last_seen_on":"2025-01-07","still_on_page":true}],"first_name":"Dan","last_name":"Hoffman","position":"Account Executive","position_raw":"Major Account Executive - East","seniority":"executive","department":"sales","linkedin":"https://www.linkedin.com/in/dan-hoffman-0589586b","twitter":null,"phone_number":null,"verification":{"date":"2025-01-07","status":"valid"}},{"value":"joe.schmidt@brincdrones.com","type":"personal","confidence":97,"sources":[{"domain":"linkedin.com","uri":"https://www.google.com/search?q=site:linkedin.com%20joe%20schmidt%20brincdrones","extracted_on":"2025-01-07","last_seen_on":"2025-01-07","still_on_page":true}],"first_name":"Joe","last_name":"Schmidt","position":"Account Executive","position_raw":"Senior Account Executive","seniority":"executive","department":"sales","linkedin":"https://www.linkedin.com/in/joe-schmidt-91b423b0","twitter":null,"phone_number":null,"verification":{"date":"2025-01-07","status":"valid"}},{"value":"nick.piacenza@brincdrones.com","type":"personal","confidence":96,"sources":[{"domain":"linkedin.com","uri":"https://www.google.com/search?q=site:linkedin.com%20nick%20piacenza%20brincdrones","extracted_on":"2025-01-07","last_seen_on":"2025-01-07","still_on_page":true}],"first_name":"Nick","last_name":"Piacenza","position":"Account Executive","position_raw":"Territory Account Executive","seniority":"executive","department":"sales","linkedin":"https://www.linkedin.com/in/nick-piacenza-b96198154","twitter":null,"phone_number":null,"verification":{"date":"2025-01-07","status":"valid"}},{"value":"toby.sicks@brincdrones.com","type":"personal","confidence":96,"sources":[{"domain":"htoa.us","uri":"http://htoa.us/contact.asp","extracted_on":"2024-01-20","last_seen_on":"2025-01-22","still_on_page":true},{"domain":"linkedin.com","uri":"https://www.google.com/search?q=site:linkedin.com%20toby%20sicks%20brincdrones","extracted_on":"2025-01-07","last_seen_on":"2025-01-07","still_on_page":true}],"first_name":"Toby","last_name":"Sicks","position":"Account Executive","position_raw":"Territory Account Executive","seniority":"executive","department":"sales","linkedin":"https://www.linkedin.com/in/toby-sicks-4b3b87225","twitter":null,"phone_number":null,"verification":{"date":"2025-02-17","status":"valid"}},{"value":"sales@brincdrones.com","type":"generic","confidence":95,"sources":[{"domain":"brincdrones.com","uri":"http://brincdrones.com/brinc-ball","extracted_on":"2025-02-10","last_seen_on":"2025-02-10","still_on_page":true},{"domain":"brincdrones.com","uri":"http://brincdrones.com/case/fire","extracted_on":"2025-02-10","last_seen_on":"2025-02-10","still_on_page":true},{"domain":"brincdrones.com","uri":"http://brincdrones.com/lemur-2","extracted_on":"2024-06-25","last_seen_on":"2025-02-10","still_on_page":true},{"domain":"brincdrones.com","uri":"http://brincdrones.com/liveops","extracted_on":"2025-02-10","last_seen_on":"2025-02-10","still_on_page":true},{"domain":"brincdrones.com","uri":"http://brincdrones.com/lemur-drone","extracted_on":"2024-06-17","last_seen_on":"2025-01-08","still_on_page":true},{"domain":"police1.com","uri":"http://police1.com/police-products/police-drones/press-releases","extracted_on":"2023-06-07","last_seen_on":"2023-09-06","still_on_page":false}],"first_name":null,"last_name":null,"position":null,"position_raw":null,"seniority":null,"department":"sales","linkedin":null,"twitter":null,"phone_number":null,"verification":{"date":null,"status":null}}]</t>
  </si>
  <si>
    <t>For you guys that might mean personalized geofences... or personalized alert triggers.</t>
  </si>
  <si>
    <t>BRINC</t>
  </si>
  <si>
    <t>/companies/brinc/</t>
  </si>
  <si>
    <t>BRINC builds technology in the service of public safety. Their systems give first responders eyes and ears inside structures to make life saving decisions and keep people safe.</t>
  </si>
  <si>
    <t>Blake Resnick</t>
  </si>
  <si>
    <t>cargo.one</t>
  </si>
  <si>
    <t>[{"value":"joanne.fu@cargo.one","type":"personal","confidence":99,"sources":[{"domain":"linkedin.com","uri":"https://www.google.com/search?q=site:linkedin.com%20joanne%20fu%20cargo","extracted_on":"2025-01-07","last_seen_on":"2025-01-07","still_on_page":true}],"first_name":"Joanne","last_name":"Fu","position":"Regional Account Director","position_raw":"Airline Account Director, APAC","seniority":null,"department":"sales","linkedin":"https://www.linkedin.com/in/joanne-fu-a2746491","twitter":null,"phone_number":null,"verification":{"date":"2025-01-07","status":"valid"}},{"value":"sofia.rodriguez@cargo.one","type":"personal","confidence":99,"sources":[{"domain":"linkedin.com","uri":"https://www.google.com/search?q=site:linkedin.com%20sofia%20rodriguez%20cargo","extracted_on":"2025-01-08","last_seen_on":"2025-01-08","still_on_page":true}],"first_name":"Sofia","last_name":"Rodriguez","position":"Business Development Manager","position_raw":"Airline Growth Partner","seniority":"senior","department":"sales","linkedin":"https://www.linkedin.com/in/sofia-rodriguez-4348bb134","twitter":null,"phone_number":null,"verification":{"date":"2025-01-08","status":"valid"}},{"value":"maximilian.keppler@cargo.one","type":"personal","confidence":99,"sources":[{"domain":"linkedin.com","uri":"https://www.google.com/search?q=site:linkedin.com%20maximilian%20keppler%20cargo","extracted_on":"2025-01-07","last_seen_on":"2025-01-07","still_on_page":true}],"first_name":"Maximilian","last_name":"Keppler","position":"Account Executive","position_raw":"Senior Account Executive","seniority":"executive","department":"sales","linkedin":"https://www.linkedin.com/in/maximilian-keppler-51481b162","twitter":null,"phone_number":null,"verification":{"date":null,"status":null}},{"value":"alivia.cerny@cargo.one","type":"personal","confidence":98,"sources":[{"domain":"linkedin.com","uri":"https://www.google.com/search?q=site:linkedin.com%20alivia%20cerny%20cargo","extracted_on":"2025-01-03","last_seen_on":"2025-01-03","still_on_page":true}],"first_name":"Alivia","last_name":"Cerny","position":"Senior Account Manager","position_raw":"Senior Account Manager","seniority":"senior","department":"sales","linkedin":"https://www.linkedin.com/in/aliviacerny","twitter":null,"phone_number":null,"verification":{"date":null,"status":null}},{"value":"fabrice.godeau@cargo.one","type":"personal","confidence":98,"sources":[{"domain":"linkedin.com","uri":"https://www.google.com/search?q=site:linkedin.com%20fabrice%20godeau%20cargo","extracted_on":"2025-02-19","last_seen_on":"2025-02-19","still_on_page":true},{"domain":"cargo.one","uri":"http://cargo.one/press/sia-cargo-announcement","extracted_on":"2024-12-17","last_seen_on":"2024-12-17","still_on_page":true}],"first_name":"Fabrice","last_name":"Godeau","position":"Vice President of Sales","position_raw":"Vice President Global Sales, Airline Commercial","seniority":"executive","department":"sales","linkedin":"https://www.linkedin.com/in/fgodeau","twitter":null,"phone_number":null,"verification":{"date":"2025-01-07","status":"valid"}},{"value":"mudassir.khan@cargo.one","type":"personal","confidence":97,"sources":[{"domain":"linkedin.com","uri":"https://www.google.com/search?q=site:linkedin.com%20mudassir%20khan%20cargo","extracted_on":"2025-01-07","last_seen_on":"2025-01-07","still_on_page":true}],"first_name":"Mudassir","last_name":"Khan","position":"Account Executive","position_raw":"Senior Account Executive","seniority":"executive","department":"sales","linkedin":"https://www.linkedin.com/in/mudassir-khan","twitter":null,"phone_number":null,"verification":{"date":"2025-01-07","status":"valid"}},{"value":"anuar.azman@cargo.one","type":"personal","confidence":96,"sources":[{"domain":"linkedin.com","uri":"https://www.google.com/search?q=site:linkedin.com%20anuar%20azman%20cargo","extracted_on":"2025-01-07","last_seen_on":"2025-01-07","still_on_page":true}],"first_name":"Anuar","last_name":"Azman","position":"Senior Account Executive","position_raw":"Senior Airlines Enterprise Account Executive","seniority":"executive","department":"sales","linkedin":"https://www.linkedin.com/in/anuar-azman-0aa4558a","twitter":null,"phone_number":null,"verification":{"date":"2025-01-07","status":"valid"}}]</t>
  </si>
  <si>
    <t>For you guys that might mean personalized agent rates... or personalized storefront branding.</t>
  </si>
  <si>
    <t>cargo</t>
  </si>
  <si>
    <t>/companies/cargoone/</t>
  </si>
  <si>
    <t>The easiest way to book air cargo. The cargo.one booking platform gives you access to real-time prices and available capacities of multiple airlines. Directly book online within seconds, 24/7.</t>
  </si>
  <si>
    <t>Moritz Claussen; Oliver Neumann; Mike Rötgers</t>
  </si>
  <si>
    <t>causaly.com</t>
  </si>
  <si>
    <t>[{"value":"robert.schraf@causaly.com","type":"personal","confidence":99,"sources":[{"domain":"linkedin.com","uri":"https://www.google.com/search?q=site:linkedin.com%20robert%20schraf%20causaly","extracted_on":"2025-01-07","last_seen_on":"2025-01-07","still_on_page":true}],"first_name":"Robert","last_name":"Schraf","position":"Senior Director, Business Development","position_raw":"Senior Director, Business Development","seniority":"senior","department":"sales","linkedin":"https://www.linkedin.com/in/robert-schraf-a09343293","twitter":null,"phone_number":null,"verification":{"date":null,"status":null}},{"value":"sam.fieldwick@causaly.com","type":"personal","confidence":98,"sources":[{"domain":"linkedin.com","uri":"https://www.google.com/search?q=site:linkedin.com%20sam%20fieldwick%20causaly","extracted_on":"2025-01-07","last_seen_on":"2025-01-07","still_on_page":true}],"first_name":"Sam","last_name":"Fieldwick","position":"Account Director","position_raw":"Account Director","seniority":null,"department":"sales","linkedin":"https://www.linkedin.com/in/sam-fieldwick","twitter":null,"phone_number":null,"verification":{"date":"2025-01-07","status":"valid"}},{"value":"barnaby.graff@causaly.com","type":"personal","confidence":96,"sources":[{"domain":"linkedin.com","uri":"https://www.google.com/search?q=site:linkedin.com%20barnaby%20graff%20causaly","extracted_on":"2025-01-17","last_seen_on":"2025-01-17","still_on_page":true}],"first_name":"Barnaby","last_name":"Graff","position":"Business Development Manager","position_raw":"Strategy &amp; Business Development Manager","seniority":"senior","department":"sales","linkedin":"https://www.linkedin.com/in/barnaby-graff-034166145","twitter":null,"phone_number":null,"verification":{"date":"2025-01-17","status":"valid"}},{"value":"bryan.tucker@causaly.com","type":"personal","confidence":96,"sources":[{"domain":"linkedin.com","uri":"https://www.google.com/search?q=site:linkedin.com%20bryan%20tucker%20causaly","extracted_on":"2025-01-03","last_seen_on":"2025-01-03","still_on_page":true}],"first_name":"Bryan","last_name":"Tucker","position":"Vice President of Sales","position_raw":"VP, Sales - North America","seniority":"executive","department":"sales","linkedin":"https://www.linkedin.com/in/bryantucker","twitter":null,"phone_number":null,"verification":{"date":null,"status":null}}]</t>
  </si>
  <si>
    <t>For you guys that might mean personalized target pathways... or personalized biomarker analysis.</t>
  </si>
  <si>
    <t>Causaly</t>
  </si>
  <si>
    <t>/companies/causaly/</t>
  </si>
  <si>
    <t>An operating system for biomedical and health data</t>
  </si>
  <si>
    <t>Yiannis Kiachopoulos; Artur Saudabayev</t>
  </si>
  <si>
    <t>Team; Team; Carlos Gonzalez-Cadenas; Team</t>
  </si>
  <si>
    <t>checkhq.com</t>
  </si>
  <si>
    <t>[{"value":"molly@checkhq.com","type":"personal","confidence":97,"sources":[{"domain":"linkedin.com","uri":"https://www.google.com/search?q=site:linkedin.com%20molly%20mitchel%20checkhq","extracted_on":"2025-01-07","last_seen_on":"2025-01-07","still_on_page":true}],"first_name":"Molly","last_name":"Mitchel","position":"Account Executive","position_raw":"Enterprise Account Executive","seniority":"executive","department":"sales","linkedin":"https://www.linkedin.com/in/molly-mitchel","twitter":null,"phone_number":null,"verification":{"date":"2025-01-07","status":"valid"}},{"value":"chelsea@checkhq.com","type":"personal","confidence":96,"sources":[{"domain":"linkedin.com","uri":"https://www.google.com/search?q=site:linkedin.com%20chelsea%20palmer%20checkhq","extracted_on":"2025-01-07","last_seen_on":"2025-01-07","still_on_page":true}],"first_name":"Chelsea","last_name":"Palmer","position":"Director of Platform Sales","position_raw":"Head of Platform Sales","seniority":null,"department":"sales","linkedin":"https://www.linkedin.com/in/chelseawild","twitter":null,"phone_number":null,"verification":{"date":"2025-01-07","status":"valid"}},{"value":"matthew@checkhq.com","type":"personal","confidence":96,"sources":[{"domain":"linkedin.com","uri":"https://www.google.com/search?q=site:linkedin.com%20matthew%20molnar%20checkhq","extracted_on":"2025-01-03","last_seen_on":"2025-01-03","still_on_page":true}],"first_name":"Matthew","last_name":"Molnar","position":"Technical Account Manager","position_raw":"Technical Account Manager","seniority":"senior","department":"sales","linkedin":"https://www.linkedin.com/in/matthew-pentelei-molnar","twitter":null,"phone_number":null,"verification":{"date":null,"status":null}},{"value":"jacqueline@checkhq.com","type":"personal","confidence":96,"sources":[{"domain":"linkedin.com","uri":"https://www.google.com/search?q=site:linkedin.com%20jacqueline%20flores%20checkhq","extracted_on":"2025-01-07","last_seen_on":"2025-01-07","still_on_page":true}],"first_name":"Jacqueline","last_name":"Flores","position":"Account Executive","position_raw":"Growth Account Executive","seniority":"executive","department":"sales","linkedin":"https://www.linkedin.com/in/jacqueline-haboush-flores-26b399134","twitter":null,"phone_number":null,"verification":{"date":"2025-02-16","status":"valid"}},{"value":"sales@checkhq.com","type":"generic","confidence":95,"sources":[{"domain":"docs.checkhq.com","uri":"http://docs.checkhq.com/docs","extracted_on":"2023-08-24","last_seen_on":"2024-12-31","still_on_page":true}],"first_name":null,"last_name":null,"position":null,"position_raw":null,"seniority":null,"department":"sales","linkedin":null,"twitter":null,"phone_number":null,"verification":{"date":"2025-01-03","status":"valid"}}]</t>
  </si>
  <si>
    <t>For you guys that might mean personalized tax filings... or custom pay rates.</t>
  </si>
  <si>
    <t>Check</t>
  </si>
  <si>
    <t>/companies/checkhq/</t>
  </si>
  <si>
    <t>Embed payroll in your platform.</t>
  </si>
  <si>
    <t>Andrew Brown; Vivek Patel</t>
  </si>
  <si>
    <t>clickhouse.tech</t>
  </si>
  <si>
    <t>For you guys that might mean personalized data ingestion... or personalized query speed.</t>
  </si>
  <si>
    <t>ClickHouse</t>
  </si>
  <si>
    <t>ClickHouse, Inc.</t>
  </si>
  <si>
    <t>open-source</t>
  </si>
  <si>
    <t>/companies/clickhouse/</t>
  </si>
  <si>
    <t>ClickHouse® is a fast open-source OLAP database management system</t>
  </si>
  <si>
    <t>Yury Izrailevsky; Aaron Katz; Alexey Milovidov</t>
  </si>
  <si>
    <t>clumio.com</t>
  </si>
  <si>
    <t>[{"value":"cchin@clumio.com","type":"personal","confidence":94,"sources":[{"domain":"linkedin.com","uri":"https://www.google.com/search?q=site:linkedin.com%20christopher%20chin%20clumio","extracted_on":"2025-01-03","last_seen_on":"2025-01-03","still_on_page":true}],"first_name":"Christopher","last_name":"Chin","position":"Cloud Sales Engineer","position_raw":"Cloud Sales Engineer","seniority":null,"department":"sales","linkedin":"https://www.linkedin.com/in/christopher-chin-4b24299","twitter":null,"phone_number":null,"verification":{"date":"2025-01-22","status":"accept_all"}},{"value":"stefanie@clumio.com","type":"personal","confidence":93,"sources":[{"domain":"linkedin.com","uri":"https://www.google.com/search?q=site:linkedin.com%20stefanie%20viotto%20clumio","extracted_on":"2025-01-14","last_seen_on":"2025-01-14","still_on_page":true}],"first_name":"Stefanie","last_name":"Viotto","position":"Enterprise Account Executive","position_raw":"Enterprise Account Executive- Northeast","seniority":"executive","department":"sales","linkedin":"https://www.linkedin.com/in/stefanie-viotto-54b9487a","twitter":null,"phone_number":null,"verification":{"date":"2025-01-14","status":"accept_all"}},{"value":"jack@clumio.com","type":"personal","confidence":92,"sources":[{"domain":"linkedin.com","uri":"https://www.google.com/search?q=site:linkedin.com%20jack%20capurso%20clumio","extracted_on":"2025-01-14","last_seen_on":"2025-01-14","still_on_page":true}],"first_name":"Jack","last_name":"Capurso","position":"Account Executive","position_raw":"Enterprise Account Executive","seniority":"executive","department":"sales","linkedin":"https://www.linkedin.com/in/jack-capurso-525aaa90","twitter":null,"phone_number":null,"verification":{"date":"2025-01-14","status":"accept_all"}},{"value":"william@clumio.com","type":"personal","confidence":92,"sources":[{"domain":"linkedin.com","uri":"https://www.google.com/search?q=site:linkedin.com%20william%20vallette%20clumio","extracted_on":"2025-01-13","last_seen_on":"2025-01-13","still_on_page":true}],"first_name":"William","last_name":"Vallette","position":"Account Executive","position_raw":"Account Executive","seniority":"executive","department":"sales","linkedin":"https://www.linkedin.com/in/william-vallette-024455187","twitter":null,"phone_number":null,"verification":{"date":"2025-01-13","status":"accept_all"}},{"value":"jessica@clumio.com","type":"personal","confidence":91,"sources":[{"domain":"linkedin.com","uri":"https://www.google.com/search?q=site:linkedin.com%20jessica%20osborn%20clumio","extracted_on":"2025-01-03","last_seen_on":"2025-01-03","still_on_page":true}],"first_name":"Jessica","last_name":"Osborn","position":"Sales Development Representative","position_raw":"Sales Development Representative","seniority":null,"department":"sales","linkedin":"https://www.linkedin.com/in/jessica-osborn-8447b5254","twitter":null,"phone_number":null,"verification":{"date":null,"status":null}},{"value":"ryan@clumio.com","type":"personal","confidence":91,"sources":[{"domain":"linkedin.com","uri":"https://www.google.com/search?q=site:linkedin.com%20ryan%20mcdermott%20clumio","extracted_on":"2025-01-13","last_seen_on":"2025-01-13","still_on_page":true}],"first_name":"Ryan","last_name":"McDermott","position":"Account Executive","position_raw":"Enterprise Account Executive","seniority":"executive","department":"sales","linkedin":"https://www.linkedin.com/in/ryanemcdermott","twitter":null,"phone_number":null,"verification":{"date":"2025-01-13","status":"accept_all"}},{"value":"shamus@clumio.com","type":"personal","confidence":88,"sources":[{"domain":"linkedin.com","uri":"https://www.google.com/search?q=site:linkedin.com%20shamus%20higginbottom%20clumio","extracted_on":"2025-01-14","last_seen_on":"2025-01-14","still_on_page":true}],"first_name":"Shamus","last_name":"Higginbottom","position":"Account Executive","position_raw":"Account Executive","seniority":"executive","department":"sales","linkedin":"https://www.linkedin.com/in/shamus-higginbottom-468a3964","twitter":null,"phone_number":null,"verification":{"date":"2025-01-14","status":"accept_all"}},{"value":"sales@clumio.com","type":"generic","confidence":79,"sources":[{"domain":"clumio.com","uri":"http://clumio.com/blog/bandwidth-throttling-for-cloud-backup","extracted_on":"2023-01-06","last_seen_on":"2025-02-23","still_on_page":true}],"first_name":null,"last_name":null,"position":null,"position_raw":null,"seniority":null,"department":"sales","linkedin":null,"twitter":null,"phone_number":null,"verification":{"date":"2024-12-26","status":"accept_all"}}]</t>
  </si>
  <si>
    <t>For you guys that might mean personalized workload protection… or personalized restore options.</t>
  </si>
  <si>
    <t>Clumio</t>
  </si>
  <si>
    <t>/companies/clumio/</t>
  </si>
  <si>
    <t>Authentic SaaS for Enterprise Backup</t>
  </si>
  <si>
    <t>Poojan Kumar; Kaustubh Patil; Woon Jung</t>
  </si>
  <si>
    <t>cockroachlabs.com</t>
  </si>
  <si>
    <t>[{"value":"aaron.holt@cockroachlabs.com","type":"personal","confidence":99,"sources":[{"domain":"linkedin.com","uri":"https://www.google.com/search?q=site:linkedin.com%20aaron%20holt%20cockroachlabs","extracted_on":"2025-01-07","last_seen_on":"2025-01-07","still_on_page":true}],"first_name":"Aaron","last_name":"Holt","position":"Strategic Account Director","position_raw":"Strategic Account Director","seniority":null,"department":"sales","linkedin":"https://www.linkedin.com/in/aaron-holt-75aa4115","twitter":null,"phone_number":null,"verification":{"date":"2025-01-07","status":"valid"}},{"value":"andrew.eidenshink@cockroachlabs.com","type":"personal","confidence":99,"sources":[{"domain":"linkedin.com","uri":"https://www.google.com/search?q=site:linkedin.com%20andrew%20eidenshink%20cockroachlabs","extracted_on":"2025-01-07","last_seen_on":"2025-01-07","still_on_page":true}],"first_name":"Andrew","last_name":"Eidenshink","position":"Account Executive","position_raw":"Account Executive","seniority":"executive","department":"sales","linkedin":"https://www.linkedin.com/in/andrew-eidenshink-41a1b388","twitter":null,"phone_number":null,"verification":{"date":"2025-01-22","status":"valid"}},{"value":"max.bashlawi@cockroachlabs.com","type":"personal","confidence":99,"sources":[{"domain":"linkedin.com","uri":"https://www.google.com/search?q=site:linkedin.com%20max%20bashlawi%20cockroachlabs","extracted_on":"2025-01-07","last_seen_on":"2025-01-07","still_on_page":true}],"first_name":"Max","last_name":"Bashlawi","position":"Account Executive","position_raw":"Enterprise Account Executive","seniority":"executive","department":"sales","linkedin":"https://www.linkedin.com/in/max-bashlawi-50588184","twitter":null,"phone_number":null,"verification":{"date":"2025-01-22","status":"valid"}},{"value":"fabeha@cockroachlabs.com","type":"personal","confidence":99,"sources":[{"domain":"linkedin.com","uri":"https://www.google.com/search?q=site:linkedin.com%20fabeha%20khan%20cockroachlabs","extracted_on":"2025-01-07","last_seen_on":"2025-01-07","still_on_page":true}],"first_name":"Fabeha","last_name":"Khan","position":"Account Executive","position_raw":"Commercial Account Executive","seniority":"executive","department":"sales","linkedin":"https://www.linkedin.com/in/fabeha","twitter":null,"phone_number":null,"verification":{"date":"2025-01-07","status":"valid"}},{"value":"john.neenan@cockroachlabs.com","type":"personal","confidence":99,"sources":[{"domain":"linkedin.com","uri":"https://www.google.com/search?q=site:linkedin.com%20john%20neenan%20cockroachlabs","extracted_on":"2025-01-07","last_seen_on":"2025-01-07","still_on_page":true}],"first_name":"John","last_name":"Neenan","position":"Account Executive","position_raw":"Strategic Account Executive","seniority":"executive","department":"sales","linkedin":"https://www.linkedin.com/in/john-neenan-a43aaa51","twitter":null,"phone_number":null,"verification":{"date":"2025-01-22","status":"valid"}},{"value":"paul@cockroachlabs.com","type":"personal","confidence":99,"sources":[{"domain":"linkedin.com","uri":"https://www.google.com/search?q=site:linkedin.com%20paul%20licursi%20cockroachlabs","extracted_on":"2025-01-07","last_seen_on":"2025-01-07","still_on_page":true}],"first_name":"Paul","last_name":"Licursi","position":"Account Executive","position_raw":"Commercial Account Executive","seniority":"executive","department":"sales","linkedin":"https://www.linkedin.com/in/paul-licursi-8a514493","twitter":null,"phone_number":null,"verification":{"date":"2025-01-07","status":"valid"}},{"value":"minas@cockroachlabs.com","type":"personal","confidence":98,"sources":[{"domain":"linkedin.com","uri":"https://www.google.com/search?q=site:linkedin.com%20minas%20botzoglou%20cockroachlabs","extracted_on":"2025-01-07","last_seen_on":"2025-01-07","still_on_page":true}],"first_name":"Minas","last_name":"Botzoglou","position":"Sales Director","position_raw":"Head of Sales Germany,Austria &amp; Switzerland at Cockroach Labs","seniority":null,"department":"sales","linkedin":"https://www.linkedin.com/in/minas-botzoglou-93018525","twitter":null,"phone_number":null,"verification":{"date":"2025-01-02","status":"valid"}},{"value":"tejas@cockroachlabs.com","type":"personal","confidence":98,"sources":[{"domain":"linkedin.com","uri":"https://www.google.com/search?q=site:linkedin.com%20tejas%20baldev%20cockroachlabs","extracted_on":"2025-01-03","last_seen_on":"2025-01-03","still_on_page":true}],"first_name":"Tejas","last_name":"Baldev","position":"Sales Director","position_raw":"Sales Director - APAC","seniority":null,"department":"sales","linkedin":"https://www.linkedin.com/in/tejasbaldev","twitter":null,"phone_number":null,"verification":{"date":"2025-01-07","status":"valid"}},{"value":"lin@cockroachlabs.com","type":"personal","confidence":98,"sources":[{"domain":"linkedin.com","uri":"https://www.google.com/search?q=site:linkedin.com%20raymond%20lin%20cockroachlabs","extracted_on":"2025-01-07","last_seen_on":"2025-01-07","still_on_page":true}],"first_name":"Raymond","last_name":"Lin","position":"Sales Director","position_raw":"Director, Sales Performance","seniority":null,"department":"sales","linkedin":"https://www.linkedin.com/in/mrraymondlin","twitter":null,"phone_number":null,"verification":{"date":"2025-01-07","status":"valid"}},{"value":"wayne.stine@cockroachlabs.com","type":"personal","confidence":98,"sources":[{"domain":"linkedin.com","uri":"https://www.google.com/search?q=site:linkedin.com%20wayne%20stine%20cockroachlabs","extracted_on":"2025-01-03","last_seen_on":"2025-01-03","still_on_page":true}],"first_name":"Wayne","last_name":"Stine","position":"Sales Development Representative","position_raw":"Sales Development Representative","seniority":null,"department":"sales","linkedin":"https://www.linkedin.com/in/wayne-stine-52458a97","twitter":null,"phone_number":null,"verification":{"date":null,"status":null}}]</t>
  </si>
  <si>
    <t>For you guys that might mean personalized regions... or personalized node counts.</t>
  </si>
  <si>
    <t>Cockroach Labs</t>
  </si>
  <si>
    <t>data; open-source</t>
  </si>
  <si>
    <t>/companies/cockroach-labs/</t>
  </si>
  <si>
    <t>CockroachDB enables developers to build scalable applications that can survive data center outages without breaking a sweat. With strong consistency, distributed SQL, and transactions, CockroachDB frees developers to focus on what matters – building great applications.</t>
  </si>
  <si>
    <t>Spencer Kimball; Ben Darnell; Peter Mattis</t>
  </si>
  <si>
    <t>meetcocoon.com</t>
  </si>
  <si>
    <t>For you guys that might mean personalized leave types... or personalized state leave law configurations.</t>
  </si>
  <si>
    <t>Cocoon</t>
  </si>
  <si>
    <t>/companies/cocoon/</t>
  </si>
  <si>
    <t>Employee leave, as it should be</t>
  </si>
  <si>
    <t>Mahima Chawla; Lauren Dai</t>
  </si>
  <si>
    <t>cohere.com</t>
  </si>
  <si>
    <t>[{"value":"robin@cohere.com","type":"personal","confidence":98,"sources":[{"domain":"linkedin.com","uri":"https://www.google.com/search?q=site:linkedin.com%20robin%20gainer%20cohere","extracted_on":"2025-01-07","last_seen_on":"2025-01-07","still_on_page":true},{"domain":"txt.cohere.com","uri":"http://txt.cohere.com/nlp-in-finance-speaking-the-language-of-capital-markets","extracted_on":"2023-11-08","last_seen_on":"2024-02-08","still_on_page":false}],"first_name":"Robin","last_name":"Gainer","position":"Account Executive","position_raw":"Enterprise Account Executive","seniority":"executive","department":"sales","linkedin":"https://www.linkedin.com/in/robin-gainer","twitter":null,"phone_number":null,"verification":{"date":"2025-02-20","status":"valid"}},{"value":"john@cohere.com","type":"personal","confidence":97,"sources":[{"domain":"linkedin.com","uri":"https://www.google.com/search?q=site:linkedin.com%20john%20weatherly%20cohere","extracted_on":"2025-01-07","last_seen_on":"2025-01-07","still_on_page":true}],"first_name":"John","last_name":"Weatherly","position":"Account Executive","position_raw":"Global Account Executive","seniority":"executive","department":"sales","linkedin":"https://www.linkedin.com/in/john-weatherly","twitter":null,"phone_number":null,"verification":{"date":null,"status":null}},{"value":"johnweatherly@cohere.com","type":"personal","confidence":97,"sources":[{"domain":"linkedin.com","uri":"https://www.google.com/search?q=site:linkedin.com%20john%20weatherly%20cohere","extracted_on":"2025-01-03","last_seen_on":"2025-01-03","still_on_page":true}],"first_name":"John","last_name":"Weatherly","position":"Account Executive","position_raw":"Global Account Executive","seniority":"executive","department":"sales","linkedin":"https://www.linkedin.com/in/john-weatherly","twitter":null,"phone_number":null,"verification":{"date":"2025-02-15","status":"valid"}},{"value":"sales@cohere.com","type":"generic","confidence":95,"sources":[{"domain":"txt.cohere.com","uri":"http://txt.cohere.com/oracle-genaiservice","extracted_on":"2023-11-07","last_seen_on":"2024-02-08","still_on_page":false},{"domain":"cohere.ai","uri":"http://cohere.ai/classify","extracted_on":"2023-03-07","last_seen_on":"2023-03-07","still_on_page":false}],"first_name":null,"last_name":null,"position":null,"position_raw":null,"seniority":null,"department":"sales","linkedin":null,"twitter":null,"phone_number":null,"verification":{"date":null,"status":null}}]</t>
  </si>
  <si>
    <t>For you guys that might mean personalized model deployments... or personalized data connectors.</t>
  </si>
  <si>
    <t>Cohere</t>
  </si>
  <si>
    <t>/companies/cohere-inc/</t>
  </si>
  <si>
    <t>Build incredible products with world-class language AI</t>
  </si>
  <si>
    <t>Aidan Gomez; Ivan Zhang; Nick Frosst</t>
  </si>
  <si>
    <t>crossingminds.com</t>
  </si>
  <si>
    <t>For you guys that might mean personalized embedding models... or personalized data enrichments.</t>
  </si>
  <si>
    <t>Crossing Minds</t>
  </si>
  <si>
    <t>/companies/crossing-minds/</t>
  </si>
  <si>
    <t>The e-commerce recommendation engine that’s as unique as your business and customers</t>
  </si>
  <si>
    <t>Alexandre Robicquet; Emile Contal; Sebastian Thrun</t>
  </si>
  <si>
    <t>cutover.com</t>
  </si>
  <si>
    <t>[{"value":"callum@cutover.com","type":"personal","confidence":94,"sources":[{"domain":"linkedin.com","uri":"https://www.google.com/search?q=site:linkedin.com%20callum%20mcsorley%20cutover","extracted_on":"2025-01-14","last_seen_on":"2025-01-14","still_on_page":true}],"first_name":"Callum","last_name":"McSorley","position":"Business Development Manager","position_raw":"Partner Business Development Manager","seniority":"senior","department":"sales","linkedin":"https://www.linkedin.com/in/callum-mcsorley-0b80441b7","twitter":null,"phone_number":null,"verification":{"date":"2025-01-14","status":"accept_all"}},{"value":"daniel@cutover.com","type":"personal","confidence":93,"sources":[{"domain":"linkedin.com","uri":"https://www.google.com/search?q=site:linkedin.com%20daniel%20boyle%20cutover","extracted_on":"2025-01-14","last_seen_on":"2025-01-14","still_on_page":true}],"first_name":"Daniel","last_name":"Boyle","position":"Regional Sales Director","position_raw":"Regional Sales Director","seniority":null,"department":"sales","linkedin":"https://www.linkedin.com/in/daniel-boyle-b268ba4b","twitter":null,"phone_number":null,"verification":{"date":"2025-02-13","status":"accept_all"}},{"value":"mark@cutover.com","type":"personal","confidence":93,"sources":[{"domain":"linkedin.com","uri":"https://www.google.com/search?q=site:linkedin.com%20mark%20pinchook%20cutover","extracted_on":"2025-01-13","last_seen_on":"2025-01-13","still_on_page":true}],"first_name":"Mark","last_name":"Pinchook","position":"Sales Director","position_raw":"Sales Director","seniority":null,"department":"sales","linkedin":"https://www.linkedin.com/in/mark-pinchook","twitter":null,"phone_number":null,"verification":{"date":"2025-02-03","status":"accept_all"}},{"value":"david@cutover.com","type":"personal","confidence":93,"sources":[{"domain":"linkedin.com","uri":"https://www.google.com/search?q=site:linkedin.com%20david%20jones%20cutover","extracted_on":"2025-01-13","last_seen_on":"2025-01-13","still_on_page":true}],"first_name":"David","last_name":"Jones","position":"Sales Director","position_raw":"Sales Director, North America","seniority":null,"department":"sales","linkedin":"https://www.linkedin.com/in/david-jones-9b8a32a5","twitter":null,"phone_number":null,"verification":{"date":"2025-02-21","status":"accept_all"}},{"value":"bob@cutover.com","type":"personal","confidence":92,"sources":[{"domain":"linkedin.com","uri":"https://www.google.com/search?q=site:linkedin.com%20bob%20kelm%20cutover","extracted_on":"2025-01-14","last_seen_on":"2025-01-14","still_on_page":true}],"first_name":"Bob","last_name":"Kelm","position":"Sales Director","position_raw":"Sales Director","seniority":null,"department":"sales","linkedin":"https://www.linkedin.com/in/bob-kelm-0ba1ba49","twitter":null,"phone_number":null,"verification":{"date":"2025-01-28","status":"accept_all"}},{"value":"andy@cutover.com","type":"personal","confidence":92,"sources":[{"domain":"linkedin.com","uri":"https://www.google.com/search?q=site:linkedin.com%20andy%20carvell%20cutover","extracted_on":"2025-01-14","last_seen_on":"2025-01-14","still_on_page":true}],"first_name":"Andy","last_name":"Carvell","position":"Account Director","position_raw":"Senior Account Director","seniority":null,"department":"sales","linkedin":"https://www.linkedin.com/in/andy-carvell","twitter":null,"phone_number":null,"verification":{"date":"2025-01-29","status":"accept_all"}},{"value":"silvia@cutover.com","type":"personal","confidence":90,"sources":[{"domain":"linkedin.com","uri":"https://www.google.com/search?q=site:linkedin.com%20silvia%20almeida%20cutover","extracted_on":"2025-01-13","last_seen_on":"2025-01-13","still_on_page":true}],"first_name":"Silvia","last_name":"Almeida","position":"Account Executive","position_raw":"Enterprise Account Executive","seniority":"executive","department":"sales","linkedin":"https://www.linkedin.com/in/silvia-de-almeida","twitter":null,"phone_number":null,"verification":{"date":"2025-01-13","status":"accept_all"}},{"value":"marketing@cutover.com","type":"generic","confidence":79,"sources":[{"domain":"cutover.com","uri":"http://cutover.com/blog/annual-it-disaster-and-cyber-recovery-survey","extracted_on":"2024-11-11","last_seen_on":"2025-02-11","still_on_page":true},{"domain":"cutover.com","uri":"http://cutover.com/blog/cutover-advances-disaster-recovery-cloud-migrations-ai-generated-runbooks","extracted_on":"2024-07-24","last_seen_on":"2025-02-11","still_on_page":true},{"domain":"cutover.com","uri":"http://cutover.com/blog/cutovers-integration-suite-makes-automating-it-operations-simple","extracted_on":"2024-07-24","last_seen_on":"2025-01-24","still_on_page":true}],"first_name":null,"last_name":null,"position":null,"position_raw":null,"seniority":null,"department":"sales","linkedin":null,"twitter":null,"phone_number":null,"verification":{"date":null,"status":null}}]</t>
  </si>
  <si>
    <t>For you guys that might mean personalized runbook steps... or personalized integrations.</t>
  </si>
  <si>
    <t>Cutover</t>
  </si>
  <si>
    <t>/companies/cutover/</t>
  </si>
  <si>
    <t>Cutover is a cloud-enabled work orchestration and observability platform that helps enterprises succeed in transformation and operational excellence by more effectively orchestrating humans and technology at pace.</t>
  </si>
  <si>
    <t>Ky Nichol</t>
  </si>
  <si>
    <t>deepnote.com</t>
  </si>
  <si>
    <t>[{"value":"sales@deepnote.com","type":"generic","confidence":78,"sources":[{"domain":"deepnote.com","uri":"http://deepnote.com/changelog/2023-05-25","extracted_on":"2023-08-04","last_seen_on":"2024-12-06","still_on_page":true},{"domain":"deepnote.com","uri":"http://deepnote.com/changelog/page/2","extracted_on":"2024-03-06","last_seen_on":"2024-03-06","still_on_page":false},{"domain":"deepnote-staging.com","uri":"http://deepnote-staging.com/changelog/2023-05-25","extracted_on":"2023-10-14","last_seen_on":"2024-01-14","still_on_page":false},{"domain":"deepnote-staging.com","uri":"http://deepnote-staging.com/changelog/page/2","extracted_on":"2023-10-14","last_seen_on":"2024-01-14","still_on_page":false},{"domain":"deepnote-staging.com","uri":"http://deepnote-staging.com/changelog/page/3","extracted_on":"2023-10-14","last_seen_on":"2023-10-14","still_on_page":false},{"domain":"deepnote.com","uri":"http://deepnote.com/changelog","extracted_on":"2023-08-04","last_seen_on":"2023-08-04","still_on_page":false},{"domain":"deepnote-staging.com","uri":"http://deepnote-staging.com/changelog","extracted_on":"2023-06-21","last_seen_on":"2023-06-21","still_on_page":false}],"first_name":null,"last_name":null,"position":null,"position_raw":null,"seniority":null,"department":"sales","linkedin":null,"twitter":null,"phone_number":null,"verification":{"date":null,"status":null}}]</t>
  </si>
  <si>
    <t>For you guys that might mean personalized data sources... or personalized dashboards.</t>
  </si>
  <si>
    <t>Deepnote</t>
  </si>
  <si>
    <t>/companies/deepnote/</t>
  </si>
  <si>
    <t>Deepnote is a new kind of data science notebook. Jupyter-compatible with real-time collaboration and running in the cloud.</t>
  </si>
  <si>
    <t>Jakub Jurovych</t>
  </si>
  <si>
    <t>deepscribe.ai</t>
  </si>
  <si>
    <t>[{"value":"jordan@deepscribe.ai","type":"personal","confidence":98,"sources":[{"domain":"linkedin.com","uri":"https://www.google.com/search?q=site:linkedin.com%20jordan%20hartley%20deepscribe","extracted_on":"2025-01-07","last_seen_on":"2025-01-07","still_on_page":true}],"first_name":"Jordan","last_name":"Hartley","position":"Account Executive","position_raw":"Account Executive","seniority":"executive","department":"sales","linkedin":"https://www.linkedin.com/in/jordan-hartley-12799199","twitter":null,"phone_number":null,"verification":{"date":"2025-01-07","status":"valid"}},{"value":"john@deepscribe.ai","type":"personal","confidence":98,"sources":[{"domain":"linkedin.com","uri":"https://www.google.com/search?q=site:linkedin.com%20john%20divito%20deepscribe","extracted_on":"2025-01-07","last_seen_on":"2025-01-07","still_on_page":true}],"first_name":"John","last_name":"Divito","position":"Account Executive","position_raw":"Account Executive","seniority":"executive","department":"sales","linkedin":"https://www.linkedin.com/in/john-divito-63821917","twitter":null,"phone_number":null,"verification":{"date":"2025-01-07","status":"valid"}},{"value":"cole@deepscribe.ai","type":"personal","confidence":98,"sources":[{"domain":"linkedin.com","uri":"https://www.google.com/search?q=site:linkedin.com%20cole%20williams%20deepscribe","extracted_on":"2025-01-03","last_seen_on":"2025-01-03","still_on_page":true}],"first_name":"Cole","last_name":"Williams","position":"Account Executive","position_raw":"Account Executive","seniority":"executive","department":"sales","linkedin":"https://www.linkedin.com/in/cole-williams-667ab213b","twitter":null,"phone_number":null,"verification":{"date":"2025-01-07","status":"valid"}},{"value":"marci.montoya@deepscribe.ai","type":"personal","confidence":97,"sources":[{"domain":"linkedin.com","uri":"https://www.google.com/search?q=site:linkedin.com%20marci%20montoya%20deepscribe","extracted_on":"2025-01-07","last_seen_on":"2025-01-07","still_on_page":true}],"first_name":"Marci","last_name":"Montoya","position":"Account Executive","position_raw":"Account Executive","seniority":"executive","department":"sales","linkedin":"https://www.linkedin.com/in/marci-montoya-1721a7145","twitter":null,"phone_number":null,"verification":{"date":null,"status":null}},{"value":"michele@deepscribe.ai","type":"personal","confidence":96,"sources":[{"domain":"linkedin.com","uri":"https://www.google.com/search?q=site:linkedin.com%20michele%20trankovich%20deepscribe","extracted_on":"2025-01-07","last_seen_on":"2025-01-07","still_on_page":true}],"first_name":"Michele","last_name":"Trankovich","position":"Account Executive","position_raw":"Account Executive","seniority":"executive","department":"sales","linkedin":"https://www.linkedin.com/in/micheletrankovich","twitter":null,"phone_number":null,"verification":{"date":"2025-01-22","status":"valid"}}]</t>
  </si>
  <si>
    <t>For you guys that might mean personalized note phrasing... or preferred ICD-10 codes.</t>
  </si>
  <si>
    <t>DeepScribe</t>
  </si>
  <si>
    <t>/companies/deepscribe-inc/</t>
  </si>
  <si>
    <t>Take care of your patients. Our AI-based scribe technology will take care of your documentation.</t>
  </si>
  <si>
    <t>Akilesh Bapu; Matthew Ko</t>
  </si>
  <si>
    <t>draftwise.com</t>
  </si>
  <si>
    <t>[{"value":"chris.markle@draftwise.com","type":"personal","confidence":98,"sources":[{"domain":"linkedin.com","uri":"https://www.google.com/search?q=site:linkedin.com%20chris%20markle%20draftwise","extracted_on":"2025-01-03","last_seen_on":"2025-01-03","still_on_page":true}],"first_name":"Chris","last_name":"Markle","position":"Business Development Manager","position_raw":"Business Development Lead","seniority":"senior","department":"sales","linkedin":"https://www.linkedin.com/in/chris-markle-48aaaa1b6","twitter":null,"phone_number":null,"verification":{"date":null,"status":null}},{"value":"samuel.klein@draftwise.com","type":"personal","confidence":97,"sources":[{"domain":"linkedin.com","uri":"https://www.google.com/search?q=site:linkedin.com%20samuel%20klein%20draftwise","extracted_on":"2025-01-03","last_seen_on":"2025-01-03","still_on_page":true}],"first_name":"Samuel","last_name":"Klein","position":"Enterprise Account Executive","position_raw":"Sr. Enterprise Account Executive","seniority":"executive","department":"sales","linkedin":"https://www.linkedin.com/in/sam-klein","twitter":null,"phone_number":null,"verification":{"date":"2025-01-07","status":"valid"}},{"value":"sales@draftwise.com","type":"generic","confidence":95,"sources":[{"domain":"draftwise.com","uri":"http://draftwise.com/faq","extracted_on":"2024-01-25","last_seen_on":"2025-01-09","still_on_page":true},{"domain":"draftwise.com","uri":"http://draftwise.com/features","extracted_on":"2024-01-25","last_seen_on":"2025-01-09","still_on_page":true},{"domain":"draftwise.com","uri":"http://draftwise.com/news/draftwise-tests-its-latest-generative-ai-features-with-mdr-lab","extracted_on":"2024-01-25","last_seen_on":"2025-01-09","still_on_page":true},{"domain":"draftwise.com","uri":"http://draftwise.com/news/product-update-draftwise-deal-context","extracted_on":"2024-01-25","last_seen_on":"2025-01-09","still_on_page":true},{"domain":"legaltechnology.com","uri":"http://legaltechnology.com/2023/08/21/iltacon-2023-wins-deals-and-product-launch-announcements","extracted_on":"2024-03-04","last_seen_on":"2024-12-05","still_on_page":true},{"domain":"sanfranciscostar.com","uri":"http://sanfranciscostar.com/news/273939888/draftwise-announces-the-launch-of-a-generative-ai-edgar-integration","extracted_on":"2023-08-24","last_seen_on":"2023-12-13","still_on_page":false},{"domain":"houstonnews.net","uri":"http://houstonnews.net/news/273939888/draftwise-announces-the-launch-of-a-generative-ai-edgar-integration","extracted_on":"2023-08-25","last_seen_on":"2023-11-25","still_on_page":false}],"first_name":null,"last_name":null,"position":null,"position_raw":null,"seniority":null,"department":"sales","linkedin":null,"twitter":null,"phone_number":null,"verification":{"date":null,"status":null}}]</t>
  </si>
  <si>
    <t>For you guys that might mean personalized clause libraries... or playbook integrations.</t>
  </si>
  <si>
    <t>DraftWise</t>
  </si>
  <si>
    <t>/companies/draftwise/</t>
  </si>
  <si>
    <t>DraftWise is on a mission to transform the legal industry by harnessing the power of AI.</t>
  </si>
  <si>
    <t>James Ding; Emre Ozen; Ozan Yalti</t>
  </si>
  <si>
    <t>Team; Team; Martin Mignot; Susana Rojas; Team</t>
  </si>
  <si>
    <t>expel.io</t>
  </si>
  <si>
    <t>For you guys that might mean personalized alert thresholds... or custom detection rules.</t>
  </si>
  <si>
    <t>Expel</t>
  </si>
  <si>
    <t>/companies/expel/</t>
  </si>
  <si>
    <t>Transparent managed security</t>
  </si>
  <si>
    <t>Yanek Korff; David Merkel</t>
  </si>
  <si>
    <t>figma.com</t>
  </si>
  <si>
    <t>[{"value":"jloeser@figma.com","type":"personal","confidence":99,"sources":[{"domain":"linkedin.com","uri":"https://www.google.com/search?q=site:linkedin.com%20jono%20l%C3%B6ser%20figma","extracted_on":"2025-01-03","last_seen_on":"2025-01-03","still_on_page":true}],"first_name":"Jono","last_name":"Löser","position":"Partnership Manager","position_raw":"Product Partnerships","seniority":"senior","department":"sales","linkedin":"https://www.linkedin.com/in/jono-loeser-b8a3a452","twitter":null,"phone_number":null,"verification":{"date":null,"status":null}},{"value":"mwalter@figma.com","type":"personal","confidence":99,"sources":[{"domain":"linkedin.com","uri":"https://www.google.com/search?q=site:linkedin.com%20mason%20walter%20figma","extracted_on":"2025-01-03","last_seen_on":"2025-01-03","still_on_page":true}],"first_name":"Mason","last_name":"Walter","position":"Senior Manager, Enterprise Sales","position_raw":"Sr. Manager, Enterprise Sales","seniority":"senior","department":"sales","linkedin":"https://www.linkedin.com/in/masonwalter","twitter":null,"phone_number":null,"verification":{"date":"2025-02-06","status":"valid"}},{"value":"jsilverstein@figma.com","type":"personal","confidence":99,"sources":[{"domain":"linkedin.com","uri":"https://www.google.com/search?q=site:linkedin.com%20jason%20silverstein%20figma","extracted_on":"2025-01-03","last_seen_on":"2025-01-03","still_on_page":true}],"first_name":"Jason","last_name":"Silverstein","position":"Vice President of Sales","position_raw":"VP, Commercial Sales","seniority":"executive","department":"sales","linkedin":"https://www.linkedin.com/in/jason-silverstein-9738821a","twitter":null,"phone_number":null,"verification":{"date":"2025-01-28","status":"valid"}},{"value":"bmeier@figma.com","type":"personal","confidence":99,"sources":[{"domain":"linkedin.com","uri":"https://www.google.com/search?q=site:linkedin.com%20ben%20meier%20figma","extracted_on":"2025-01-03","last_seen_on":"2025-01-03","still_on_page":true}],"first_name":"Ben","last_name":"Meier","position":"Enterprise Account Executive","position_raw":"Senior Enterprise Account Executive","seniority":"executive","department":"sales","linkedin":"https://www.linkedin.com/in/benmeier","twitter":null,"phone_number":null,"verification":{"date":null,"status":null}},{"value":"spugh@figma.com","type":"personal","confidence":99,"sources":[{"domain":"saastr.com","uri":"http://saastr.com/scaling-a-saas-sales-team-while-building-culture-with-scott-pugh-vp-of-sales-at-figma-pod-639-video","extracted_on":"2023-12-13","last_seen_on":"2024-03-13","still_on_page":true},{"domain":"saasnewshubb.com","uri":"http://saasnewshubb.com/2023/03/03/scaling-a-saas-sales-team-while-building-culture-with-scott-pugh-vp-of-sales-at-figma-pod-639-video","extracted_on":"2024-01-10","last_seen_on":"2024-01-10","still_on_page":true}],"first_name":"Scott","last_name":"Pugh","position":"Vice President of Sales","position_raw":"VP Sales &amp; GM APAC","seniority":"executive","department":"sales","linkedin":"https://www.linkedin.com/in/scottapugh","twitter":null,"phone_number":null,"verification":{"date":"2025-01-23","status":"valid"}},{"value":"ihardin@figma.com","type":"personal","confidence":98,"sources":[{"domain":"linkedin.com","uri":"https://www.google.com/search?q=site:linkedin.com%20iris%20hardin%20figma","extracted_on":"2025-01-03","last_seen_on":"2025-01-03","still_on_page":true}],"first_name":"Iris","last_name":"Hardin","position":"HR Business Partner","position_raw":"People Partner","seniority":null,"department":"sales","linkedin":"https://www.linkedin.com/in/iristn","twitter":null,"phone_number":null,"verification":{"date":"2025-02-14","status":"valid"}},{"value":"mbarras@figma.com","type":"personal","confidence":98,"sources":[{"domain":"linkedin.com","uri":"https://www.google.com/search?q=site:linkedin.com%20molly%20barras%20figma","extracted_on":"2025-01-03","last_seen_on":"2025-01-03","still_on_page":true}],"first_name":"Molly","last_name":"Barras","position":"HR Business Partner","position_raw":"People Partner","seniority":null,"department":"sales","linkedin":"https://www.linkedin.com/in/mollyobarras","twitter":null,"phone_number":null,"verification":{"date":"2025-02-15","status":"valid"}},{"value":"apond@figma.com","type":"personal","confidence":98,"sources":[{"domain":"linkedin.com","uri":"https://www.google.com/search?q=site:linkedin.com%20abby%20pond%20figma","extracted_on":"2025-01-03","last_seen_on":"2025-01-03","still_on_page":true}],"first_name":"Abby","last_name":"Pond","position":"Enterprise Account Manager","position_raw":"Manager, Enterprise Account Management","seniority":"senior","department":"sales","linkedin":"https://www.linkedin.com/in/abby-schafer","twitter":null,"phone_number":null,"verification":{"date":"2025-02-14","status":"valid"}},{"value":"alee@figma.com","type":"personal","confidence":98,"sources":[{"domain":"linkedin.com","uri":"https://www.google.com/search?q=site:linkedin.com%20anthony%20lee%20figma","extracted_on":"2025-01-03","last_seen_on":"2025-01-03","still_on_page":true}],"first_name":"Anthony","last_name":"Lee","position":"Sales Manager","position_raw":"Sales Manager","seniority":"senior","department":"sales","linkedin":"https://www.linkedin.com/in/anthony-a-lee","twitter":null,"phone_number":null,"verification":{"date":"2025-01-26","status":"valid"}},{"value":"knose@figma.com","type":"personal","confidence":98,"sources":[{"domain":"linkedin.com","uri":"https://www.google.com/search?q=site:linkedin.com%20kelly%20nos%C3%A9%20figma","extracted_on":"2025-01-03","last_seen_on":"2025-01-03","still_on_page":true}],"first_name":"Kelly","last_name":"Nosé","position":"Enterprise Account Manager","position_raw":"Sr. Enterprise Account Manager","seniority":"senior","department":"sales","linkedin":"https://www.linkedin.com/in/kellynose","twitter":null,"phone_number":null,"verification":{"date":null,"status":null}}]</t>
  </si>
  <si>
    <t>For you guys that might mean personalized plugins... or personalized templates.</t>
  </si>
  <si>
    <t>Figma</t>
  </si>
  <si>
    <t>/companies/figma/</t>
  </si>
  <si>
    <t>A design platform for teams who build products together.</t>
  </si>
  <si>
    <t>Dylan Field; Evan Wallace</t>
  </si>
  <si>
    <t>onefootprint.com</t>
  </si>
  <si>
    <t>For you guys that might mean personalized KYC steps... or custom AML rules.</t>
  </si>
  <si>
    <t>Footprint</t>
  </si>
  <si>
    <t>/companies/footprint/</t>
  </si>
  <si>
    <t>Frictionless Identity Verification: Onboard users with the click of a button. Offload handling sensitive data. Grow your user base quickly and securely with Footprint&amp;#x27;s one-click KYC and secure data vault.</t>
  </si>
  <si>
    <t>Alex Grinman; Eli Wachs</t>
  </si>
  <si>
    <t>gremlin.com</t>
  </si>
  <si>
    <t>[{"value":"mike.stevens@gremlin.com","type":"personal","confidence":99,"sources":[{"domain":"linkedin.com","uri":"https://www.google.com/search?q=site:linkedin.com%20mike%20stevens%20gremlin","extracted_on":"2025-01-03","last_seen_on":"2025-01-03","still_on_page":true}],"first_name":"Mike","last_name":"Stevens","position":"Business Development Representative","position_raw":"Business Development Representative - Strategic, SE, EMEA, Channel","seniority":null,"department":"sales","linkedin":"https://www.linkedin.com/in/michaelkristoferstevens","twitter":null,"phone_number":null,"verification":{"date":null,"status":null}},{"value":"sutharsan@gremlin.com","type":"personal","confidence":98,"sources":[{"domain":"linkedin.com","uri":"https://www.google.com/search?q=site:linkedin.com%20sutharsan%20sivapalan%20gremlin","extracted_on":"2025-01-03","last_seen_on":"2025-01-03","still_on_page":true}],"first_name":"Sutharsan","last_name":"Sivapalan","position":"Regional Sales Manager","position_raw":"Regional Sales Manager (US West &amp; APJ)","seniority":"senior","department":"sales","linkedin":"https://www.linkedin.com/in/sutharsansivapalan","twitter":null,"phone_number":null,"verification":{"date":"2025-02-18","status":"valid"}},{"value":"valdemir.demirev@gremlin.com","type":"personal","confidence":97,"sources":[{"domain":"linkedin.com","uri":"https://www.google.com/search?q=site:linkedin.com%20valdemir%20demirev%20gremlin","extracted_on":"2025-01-03","last_seen_on":"2025-01-03","still_on_page":true}],"first_name":"Valdemir","last_name":"Demirev","position":"Regional Sales Manager","position_raw":"Regional Sales Manager- Central US and Canada","seniority":"senior","department":"sales","linkedin":"https://www.linkedin.com/in/valdemir-demirev-b2ab2715","twitter":null,"phone_number":null,"verification":{"date":null,"status":null}},{"value":"dave.darwin@gremlin.com","type":"personal","confidence":97,"sources":[{"domain":"linkedin.com","uri":"https://www.google.com/search?q=site:linkedin.com%20dave%20darwin%20gremlin","extracted_on":"2025-01-07","last_seen_on":"2025-01-07","still_on_page":true}],"first_name":"Dave","last_name":"Darwin","position":"Account Executive","position_raw":"Enterprise Account Executive","seniority":"executive","department":"sales","linkedin":"https://www.linkedin.com/in/davedarwin","twitter":null,"phone_number":null,"verification":{"date":"2025-01-07","status":"valid"}},{"value":"sales@gremlin.com","type":"generic","confidence":96,"sources":[{"domain":"conferences.oreilly.com","uri":"http://conferences.oreilly.com/velocity/vl-eu-2018/public/content/sponsors","extracted_on":"2022-07-22","last_seen_on":"2025-01-22","still_on_page":true},{"domain":"conferences.oreilly.com","uri":"http://conferences.oreilly.com/velocity/vl-ca/public/content/sponsors","extracted_on":"2019-10-10","last_seen_on":"2025-01-21","still_on_page":true},{"domain":"conferences.oreilly.com","uri":"http://conferences.oreilly.com/velocity/vl-ca-2018/public/content/sponsors","extracted_on":"2021-07-19","last_seen_on":"2025-01-19","still_on_page":true},{"domain":"conferences.oreilly.com","uri":"http://conferences.oreilly.com/velocity/vl-ny/public/content/sponsors.html","extracted_on":"2021-07-10","last_seen_on":"2025-01-12","still_on_page":true},{"domain":"conferences.oreilly.com","uri":"http://conferences.oreilly.com/velocity/vl-ca-2018/public/content/sponsors.html","extracted_on":"2021-07-08","last_seen_on":"2025-01-09","still_on_page":true},{"domain":"gremlin.com","uri":"http://gremlin.com/community/tutorials/time-travel-experiment-pack","extracted_on":"2019-04-14","last_seen_on":"2024-12-27","still_on_page":true},{"domain":"gremlin.com","uri":"http://gremlin.com/contact","extracted_on":"2018-08-07","last_seen_on":"2024-12-27","still_on_page":true},{"domain":"gremlin.com","uri":"http://gremlin.com/contact/index.html","extracted_on":"2018-03-08","last_seen_on":"2023-11-11","still_on_page":false},{"domain":"gremlin.com","uri":"http://gremlin.com/community/tutorials/shutdown-experiment-pack","extracted_on":"2019-04-14","last_seen_on":"2020-03-08","still_on_page":false},{"domain":"gremlin.com","uri":"http://gremlin.com/community/tutorials/cpu-experiment-pack","extracted_on":"2019-04-14","last_seen_on":"2020-03-07","still_on_page":false},{"domain":"gremlininc.com","uri":"http://gremlininc.com/community/tutorials/shutdown-experiment-pack","extracted_on":"2019-10-09","last_seen_on":"2020-01-12","still_on_page":false},{"domain":"gremlininc.com","uri":"http://gremlininc.com/community/tutorials/time-travel-experiment-pack","extracted_on":"2019-10-09","last_seen_on":"2020-01-12","still_on_page":false},{"domain":"gremlininc.com","uri":"http://gremlininc.com/contact","extracted_on":"2019-04-24","last_seen_on":"2020-01-12","still_on_page":false}],"first_name":null,"last_name":null,"position":null,"position_raw":null,"seniority":null,"department":"sales","linkedin":null,"twitter":null,"phone_number":null,"verification":{"date":null,"status":null}}]</t>
  </si>
  <si>
    <t>For you guys that might mean personalized failure injections... or personalized reliability scores.</t>
  </si>
  <si>
    <t>Gremlin</t>
  </si>
  <si>
    <t>/companies/gremlin/</t>
  </si>
  <si>
    <t>Break things on purpose.</t>
  </si>
  <si>
    <t>Kolton Andrus; Matthew Fornaciari</t>
  </si>
  <si>
    <t>hyperline.co</t>
  </si>
  <si>
    <t>[{"value":"yohan@hyperline.co","type":"personal","confidence":99,"sources":[{"domain":"linkedin.com","uri":"https://www.google.com/search?q=site:linkedin.com%20yohan%20bitbol%20hyperline","extracted_on":"2025-01-07","last_seen_on":"2025-01-07","still_on_page":true}],"first_name":"Yohan","last_name":"Bitbol","position":"Sales Director","position_raw":"Head of Sales","seniority":null,"department":"sales","linkedin":"https://www.linkedin.com/in/yohan-bitbol","twitter":null,"phone_number":null,"verification":{"date":"2025-02-01","status":"invalid"}}]</t>
  </si>
  <si>
    <t>For you guys that might mean personalized pricing tiers...or personalized usage limits.</t>
  </si>
  <si>
    <t>Hyperline</t>
  </si>
  <si>
    <t>/companies/hyperline/</t>
  </si>
  <si>
    <t>Hyperline introduces a radically simple pricing and billing solution that solves two of the most critical aspects of running a business: setting prices and getting paid. The company’s platform guides users to the right pricing models for their customers’ needs and ensures billing according to that model is seamless. This results in a better experience for customers and increased revenue for businesses.</t>
  </si>
  <si>
    <t>Lucas Bédout</t>
  </si>
  <si>
    <t>Team; Team; Julia Andre; Team</t>
  </si>
  <si>
    <t>linx.security</t>
  </si>
  <si>
    <t>For you guys that might mean personalized user access... or automated onboarding.</t>
  </si>
  <si>
    <t>Linx</t>
  </si>
  <si>
    <t>Linx Security</t>
  </si>
  <si>
    <t>/companies/linx-security/</t>
  </si>
  <si>
    <t>Linx is the modern Identity Security solution for modern enterprises</t>
  </si>
  <si>
    <t>Israel Duanis; Niv Goldenberg</t>
  </si>
  <si>
    <t>mistral.ai</t>
  </si>
  <si>
    <t>[{"value":"glengyel@mistral.ai","type":"personal","confidence":91,"sources":[{"domain":"linkedin.com","uri":"https://www.google.com/search?q=site:linkedin.com%20gianna%20lengyel%20mistral","extracted_on":"2025-01-13","last_seen_on":"2025-01-13","still_on_page":true}],"first_name":"Gianna","last_name":"Lengyel","position":"Business Development Director","position_raw":"Head of Business Development","seniority":null,"department":"sales","linkedin":"https://www.linkedin.com/in/gianna-maria-lengyel-9ba3a441","twitter":null,"phone_number":null,"verification":{"date":"2025-02-20","status":"accept_all"}}]</t>
  </si>
  <si>
    <t>For you guys that might mean personalized model configs... or personalized API endpoints.</t>
  </si>
  <si>
    <t>Mistral</t>
  </si>
  <si>
    <t>/companies/mistral/</t>
  </si>
  <si>
    <t>Assembling a world-class team to develop the best generative AI models.</t>
  </si>
  <si>
    <t>Team; Team; Jan Hammer; Julia Andre; Team</t>
  </si>
  <si>
    <t>nacelle.com</t>
  </si>
  <si>
    <t>[{"value":"sales@nacelle.com","type":"generic","confidence":78,"sources":[{"domain":"nacelle.com","uri":"http://nacelle.com/contact-us","extracted_on":"2023-08-28","last_seen_on":"2025-01-19","still_on_page":true}],"first_name":null,"last_name":null,"position":null,"position_raw":null,"seniority":null,"department":"sales","linkedin":null,"twitter":null,"phone_number":null,"verification":{"date":null,"status":null}}]</t>
  </si>
  <si>
    <t>For you guys that might mean personalized product recs... or personalized content blocks.</t>
  </si>
  <si>
    <t>Nacelle</t>
  </si>
  <si>
    <t>/companies/nacelle/</t>
  </si>
  <si>
    <t>The Headless Commerce Platform that boosts conversions. Your webstore with sub-second page load speeds, mobile-first functionality and a superior shopping experience.</t>
  </si>
  <si>
    <t>Brian Anderson</t>
  </si>
  <si>
    <t>okendo.io</t>
  </si>
  <si>
    <t>[{"value":"joseph.schulte@okendo.io","type":"personal","confidence":98,"sources":[{"domain":"linkedin.com","uri":"https://www.google.com/search?q=site:linkedin.com%20joseph%20schulte%20okendo","extracted_on":"2025-01-07","last_seen_on":"2025-01-07","still_on_page":true}],"first_name":"Joseph","last_name":"Schulte","position":"Account Executive","position_raw":"Account Executive","seniority":"executive","department":"sales","linkedin":"https://www.linkedin.com/in/joemschulte","twitter":null,"phone_number":null,"verification":{"date":"2025-02-18","status":"valid"}},{"value":"alex.north@okendo.io","type":"personal","confidence":97,"sources":[{"domain":"linkedin.com","uri":"https://www.google.com/search?q=site:linkedin.com%20alex%20north%20okendo","extracted_on":"2025-01-07","last_seen_on":"2025-01-07","still_on_page":true},{"domain":"okendo.io","uri":"http://okendo.io/resources/blog/luna-bronze-strategies-shopify-experts","extracted_on":"2024-11-18","last_seen_on":"2024-11-18","still_on_page":true}],"first_name":"Alex","last_name":"North","position":"Account Executive","position_raw":"Account Executive","seniority":"executive","department":"sales","linkedin":"https://www.linkedin.com/in/alex-north-332054126","twitter":null,"phone_number":null,"verification":{"date":"2025-02-18","status":"valid"}},{"value":"marketing@okendo.io","type":"generic","confidence":95,"sources":[{"domain":"okendo.io","uri":"http://okendo.io/resources/blog/6-podcasts-to-help-grow-your-ecommerce-business","extracted_on":"2023-01-30","last_seen_on":"2025-01-31","still_on_page":true},{"domain":"d14dxeizkuvh7v.cloudfront.net","uri":"http://d14dxeizkuvh7v.cloudfront.net/blog/6-podcasts-to-help-grow-your-ecommerce-business","extracted_on":"2021-10-07","last_seen_on":"2023-07-20","still_on_page":false}],"first_name":null,"last_name":null,"position":null,"position_raw":null,"seniority":null,"department":"sales","linkedin":null,"twitter":null,"phone_number":null,"verification":{"date":null,"status":null}},{"value":"matthew.reynolds@okendo.io","type":"personal","confidence":94,"sources":[{"domain":"linkedin.com","uri":"https://www.google.com/search?q=site:linkedin.com%20matthew%20reynolds%20okendo","extracted_on":"2025-01-03","last_seen_on":"2025-01-03","still_on_page":true}],"first_name":"Matthew","last_name":"Reynolds","position":"Account Executive Team Lead","position_raw":"AE Team Lead","seniority":"executive","department":"sales","linkedin":"https://www.linkedin.com/in/matthew-reynolds-906561a5","twitter":null,"phone_number":null,"verification":{"date":null,"status":null}},{"value":"kayley.podruski@okendo.io","type":"personal","confidence":93,"sources":[{"domain":"linkedin.com","uri":"https://www.google.com/search?q=site:linkedin.com%20kayley%20podruski%20okendo","extracted_on":"2025-01-03","last_seen_on":"2025-01-03","still_on_page":true}],"first_name":"Kayley","last_name":"Podruski","position":"Business Development Manager","position_raw":"Business Development, APAC","seniority":"senior","department":"sales","linkedin":"https://www.linkedin.com/in/podruskik","twitter":null,"phone_number":null,"verification":{"date":null,"status":null}}]</t>
  </si>
  <si>
    <t>For you guys that might mean personalized loyalty tiers... or personalized quiz flows.</t>
  </si>
  <si>
    <t>Okendo</t>
  </si>
  <si>
    <t>australasia</t>
  </si>
  <si>
    <t>/companies/okendo/</t>
  </si>
  <si>
    <t>The New Standard in Customer Reviews.</t>
  </si>
  <si>
    <t>Matt Goodman; Matt Garven</t>
  </si>
  <si>
    <t>pave.com</t>
  </si>
  <si>
    <t>[{"value":"kelsey@pave.com","type":"personal","confidence":94,"sources":[{"domain":"linkedin.com","uri":"https://www.google.com/search?q=site:linkedin.com%20kelsey%20marr%20pave","extracted_on":"2025-01-14","last_seen_on":"2025-01-14","still_on_page":true}],"first_name":"Kelsey","last_name":"Marr","position":"Account Executive","position_raw":"Mid-Market Account Executive","seniority":"executive","department":"sales","linkedin":"https://www.linkedin.com/in/kelsey-marr-6a8820b4","twitter":null,"phone_number":null,"verification":{"date":"2025-01-14","status":"accept_all"}},{"value":"meghan@pave.com","type":"personal","confidence":93,"sources":[{"domain":"linkedin.com","uri":"https://www.google.com/search?q=site:linkedin.com%20meghan%20ministri%20pave","extracted_on":"2025-01-13","last_seen_on":"2025-01-13","still_on_page":true}],"first_name":"Meghan","last_name":"Ministri","position":"Account Executive","position_raw":"Commercial Account Executive","seniority":"executive","department":"sales","linkedin":"https://www.linkedin.com/in/meghan-ministri-61b8b8123","twitter":null,"phone_number":null,"verification":{"date":"2025-01-13","status":"accept_all"}},{"value":"laron@pave.com","type":"personal","confidence":89,"sources":[{"domain":"linkedin.com","uri":"https://www.google.com/search?q=site:linkedin.com%20laron%20bullock%20pave","extracted_on":"2025-01-14","last_seen_on":"2025-01-14","still_on_page":true}],"first_name":"LaRon","last_name":"Bullock","position":"Account Executive","position_raw":"Account Executive","seniority":"executive","department":"sales","linkedin":"https://www.linkedin.com/in/laron-bullock","twitter":null,"phone_number":null,"verification":{"date":"2025-01-14","status":"accept_all"}}]</t>
  </si>
  <si>
    <t>For you guys that might mean personalized salary bands... or personalized offer letters.</t>
  </si>
  <si>
    <t>Pave</t>
  </si>
  <si>
    <t>talent</t>
  </si>
  <si>
    <t>/companies/pave/</t>
  </si>
  <si>
    <t>Make smarter compensation decisions</t>
  </si>
  <si>
    <t>Matt Schulman</t>
  </si>
  <si>
    <t>usepepper.com</t>
  </si>
  <si>
    <t>[{"value":"ben@usepepper.com","type":"personal","confidence":90,"sources":[{"domain":"linkedin.com","uri":"https://www.google.com/search?q=site:linkedin.com%20ben%20tedford%20usepepper","extracted_on":"2025-01-14","last_seen_on":"2025-01-14","still_on_page":true}],"first_name":"Ben","last_name":"Tedford","position":"Vice President of Business Development","position_raw":"Vice President of Business Development","seniority":"executive","department":"sales","linkedin":"https://www.linkedin.com/in/ben-tedford-9b64174b","twitter":null,"phone_number":null,"verification":{"date":"2025-02-21","status":"accept_all"}},{"value":"jminch@usepepper.com","type":"personal","confidence":89,"sources":[{"domain":"usepepper.com","uri":"http://usepepper.com/post/frosty-acres-member-sutherlands-foodservice-joins-the-pepper-e-commerce-bandwagon","extracted_on":"2023-09-07","last_seen_on":"2025-01-22","still_on_page":true},{"domain":"usepepper.com","uri":"http://usepepper.com/post/kuna-foodservice-joins-forces-with-pepper-to-elevate-digital-ordering-experience","extracted_on":"2023-12-08","last_seen_on":"2025-01-22","still_on_page":true},{"domain":"usepepper.com","uri":"http://usepepper.com/post/troia-foods-focuses-on-e-commerce-efforts-powered-by-pepper-to-provide-a-next-level-customer-experience","extracted_on":"2023-09-07","last_seen_on":"2025-01-22","still_on_page":true}],"first_name":"John","last_name":"Minch","position":"Business Development Manager","position_raw":"Business Development and Operations","seniority":"senior","department":"sales","linkedin":"https://www.linkedin.com/in/john-minch-0b432420","twitter":null,"phone_number":null,"verification":{"date":"2025-02-10","status":"accept_all"}},{"value":"sales@usepepper.com","type":"generic","confidence":78,"sources":[{"domain":"usepepper.com","uri":"http://usepepper.com/post/maximizing-impact-how-loffredo-fresh-foods-streamlined-promotions-for-an-extra-100k-in-revenue-per-week","extracted_on":"2024-10-22","last_seen_on":"2025-01-23","still_on_page":true}],"first_name":null,"last_name":null,"position":null,"position_raw":null,"seniority":null,"department":"sales","linkedin":null,"twitter":null,"phone_number":null,"verification":{"date":null,"status":null}}]</t>
  </si>
  <si>
    <t>For you guys that might mean personalized catalogs... or personalized order guides.</t>
  </si>
  <si>
    <t>Pepper</t>
  </si>
  <si>
    <t>/companies/pepper/</t>
  </si>
  <si>
    <t>The eCommerce Platform for Food Distributors</t>
  </si>
  <si>
    <t>Bowie Cheung</t>
  </si>
  <si>
    <t>plain.com</t>
  </si>
  <si>
    <t>[{"value":"youmna@plain.com","type":"personal","confidence":99,"sources":[{"domain":"plain.com","uri":"http://plain.com/blog","extracted_on":"2024-09-23","last_seen_on":"2024-09-23","still_on_page":true}],"first_name":"Youmna","last_name":"Sirgi","position":"Business Operations Manager","position_raw":"Founding Business Operations Manager","seniority":"senior","department":"sales","linkedin":"https://www.linkedin.com/in/youmna-sirgi","twitter":null,"phone_number":null,"verification":{"date":"2025-01-03","status":"valid"}},{"value":"sales@plain.com","type":"generic","confidence":96,"sources":[{"domain":"plain.com","uri":"http://plain.com/changelog/multiple-emails","extracted_on":"2024-09-23","last_seen_on":"2025-01-13","still_on_page":true},{"domain":"plain.com","uri":"http://plain.com/docs/headless-support-portal","extracted_on":"2024-09-23","last_seen_on":"2025-01-13","still_on_page":true},{"domain":"plain.com","uri":"http://plain.com/docs/thread-discussions","extracted_on":"2025-01-13","last_seen_on":"2025-01-13","still_on_page":true},{"domain":"plain.com","uri":"http://plain.com/docs/tiers","extracted_on":"2025-01-13","last_seen_on":"2025-01-13","still_on_page":true},{"domain":"plain.com","uri":"http://plain.com/docs/workflow-rules","extracted_on":"2025-01-13","last_seen_on":"2025-01-13","still_on_page":true}],"first_name":null,"last_name":null,"position":null,"position_raw":null,"seniority":null,"department":"sales","linkedin":null,"twitter":null,"phone_number":null,"verification":{"date":null,"status":null}}]</t>
  </si>
  <si>
    <t>For you guys that might mean personalized support channels... or workflow rules.</t>
  </si>
  <si>
    <t>Plain</t>
  </si>
  <si>
    <t>/companies/plaincom/</t>
  </si>
  <si>
    <t>The API-first customer support platform</t>
  </si>
  <si>
    <t>Matt Vagni; Simon Rohrbach</t>
  </si>
  <si>
    <t>Team; Team; Georgia Stevenson; Team</t>
  </si>
  <si>
    <t>reclaim.ai</t>
  </si>
  <si>
    <t>[{"value":"stewart@reclaim.ai","type":"personal","confidence":98,"sources":[{"domain":"linkedin.com","uri":"https://www.google.com/search?q=site:linkedin.com%20stewart%20wachs%20reclaim","extracted_on":"2025-01-07","last_seen_on":"2025-01-07","still_on_page":true}],"first_name":"Stewart","last_name":"Wachs","position":"Sales Director","position_raw":"Head of Sales","seniority":null,"department":"sales","linkedin":"https://www.linkedin.com/in/stewartwachs","twitter":null,"phone_number":null,"verification":{"date":"2025-01-30","status":"valid"}},{"value":"marketing@reclaim.ai","type":"generic","confidence":97,"sources":[{"domain":"help.reclaim.ai","uri":"http://help.reclaim.ai/en/articles/8370417-reclaim-affiliate-program","extracted_on":"2023-10-08","last_seen_on":"2025-01-08","still_on_page":true},{"domain":"help.reclaim.ai","uri":"http://help.reclaim.ai/en/articles/8370417-reclaim-ai-affiliate-program","extracted_on":"2024-07-08","last_seen_on":"2024-12-29","still_on_page":true}],"first_name":null,"last_name":null,"position":null,"position_raw":null,"seniority":null,"department":"sales","linkedin":null,"twitter":null,"phone_number":null,"verification":{"date":"2025-02-03","status":"valid"}}]</t>
  </si>
  <si>
    <t>For you guys that might mean personalized Task priorities... or Habit schedules.</t>
  </si>
  <si>
    <t>Reclaim</t>
  </si>
  <si>
    <t>Reclaim.ai</t>
  </si>
  <si>
    <t>Dropbox</t>
  </si>
  <si>
    <t>/companies/reclaimai/</t>
  </si>
  <si>
    <t>Make time when there is none</t>
  </si>
  <si>
    <t>Henry Shapiro; Patrick Lightbody</t>
  </si>
  <si>
    <t>safetyculture.com</t>
  </si>
  <si>
    <t>[{"value":"haley.waters@safetyculture.com","type":"personal","confidence":94,"sources":[{"domain":"linkedin.com","uri":"https://www.google.com/search?q=site:linkedin.com%20haley%20waters%20safetyculture","extracted_on":"2025-01-14","last_seen_on":"2025-01-14","still_on_page":true}],"first_name":"Haley","last_name":"Waters","position":"Sales Director","position_raw":"Director of Sales - Expansion","seniority":null,"department":"sales","linkedin":"https://www.linkedin.com/in/haley-waters-67182998","twitter":null,"phone_number":null,"verification":{"date":"2025-02-17","status":"accept_all"}},{"value":"beth.francis@safetyculture.com","type":"personal","confidence":94,"sources":[{"domain":"linkedin.com","uri":"https://www.google.com/search?q=site:linkedin.com%20beth%20francis%20safetyculture","extracted_on":"2025-01-14","last_seen_on":"2025-01-14","still_on_page":true}],"first_name":"Beth","last_name":"Francis","position":"Account Executive","position_raw":"Account Executive","seniority":"executive","department":"sales","linkedin":"https://www.linkedin.com/in/bethfrancis1","twitter":null,"phone_number":null,"verification":{"date":"2025-02-17","status":"accept_all"}},{"value":"joe.wood@safetyculture.com","type":"personal","confidence":94,"sources":[{"domain":"linkedin.com","uri":"https://www.google.com/search?q=site:linkedin.com%20joe%20wood%20safetyculture","extracted_on":"2025-01-14","last_seen_on":"2025-01-14","still_on_page":true}],"first_name":"Joe","last_name":"Wood","position":"Account Executive","position_raw":"Senior Account Executive","seniority":"executive","department":"sales","linkedin":"https://www.linkedin.com/in/joe-wood-2a172a39","twitter":null,"phone_number":null,"verification":{"date":"2025-01-22","status":"accept_all"}},{"value":"imani.brocklehurst@safetyculture.com","type":"personal","confidence":94,"sources":[{"domain":"linkedin.com","uri":"https://www.google.com/search?q=site:linkedin.com%20imani%20brocklehurst%20safetyculture","extracted_on":"2025-01-14","last_seen_on":"2025-01-14","still_on_page":true}],"first_name":"Imani","last_name":"Brocklehurst","position":"Account Executive","position_raw":"Account Executive","seniority":"executive","department":"sales","linkedin":"https://www.linkedin.com/in/imani-brocklehurst-2ba523101","twitter":null,"phone_number":null,"verification":{"date":"2025-01-22","status":"accept_all"}},{"value":"sam.brunton@safetyculture.com","type":"personal","confidence":94,"sources":[{"domain":"linkedin.com","uri":"https://www.google.com/search?q=site:linkedin.com%20sam%20brunton%20safetyculture","extracted_on":"2025-01-14","last_seen_on":"2025-01-14","still_on_page":true}],"first_name":"Sam","last_name":"Brunton","position":"Account Executive","position_raw":"Senior Account Executive","seniority":"executive","department":"sales","linkedin":"https://www.linkedin.com/in/sam-brunton-11a69358","twitter":null,"phone_number":null,"verification":{"date":"2025-01-21","status":"accept_all"}},{"value":"jordan.phipps@safetyculture.com","type":"personal","confidence":94,"sources":[{"domain":"linkedin.com","uri":"https://www.google.com/search?q=site:linkedin.com%20jordan%20phipps%20safetyculture","extracted_on":"2025-01-13","last_seen_on":"2025-01-13","still_on_page":true}],"first_name":"Jordan","last_name":"Phipps","position":"Senior Account Executive","position_raw":"Senior Account Executive - New Business - APAC","seniority":"executive","department":"sales","linkedin":"https://www.linkedin.com/in/jordan-phipps-15322419","twitter":null,"phone_number":null,"verification":{"date":"2025-02-05","status":"accept_all"}},{"value":"natalie.horn@safetyculture.com","type":"personal","confidence":94,"sources":[{"domain":"linkedin.com","uri":"https://www.google.com/search?q=site:linkedin.com%20natalie%20horn%20safetyculture","extracted_on":"2025-01-13","last_seen_on":"2025-01-13","still_on_page":true}],"first_name":"Natalie","last_name":"Horn","position":"Account Executive","position_raw":"Account Executive","seniority":"executive","department":"sales","linkedin":"https://www.linkedin.com/in/natalie-van-horn-6494354a","twitter":null,"phone_number":null,"verification":{"date":"2025-01-20","status":"accept_all"}},{"value":"jennifer.antrobus@safetyculture.com","type":"personal","confidence":94,"sources":[{"domain":"linkedin.com","uri":"https://www.google.com/search?q=site:linkedin.com%20jennifer%20antrobus%20safetyculture","extracted_on":"2025-01-13","last_seen_on":"2025-01-13","still_on_page":true}],"first_name":"Jennifer","last_name":"Antrobus","position":"Account Executive","position_raw":"Account Executive","seniority":"executive","department":"sales","linkedin":"https://www.linkedin.com/in/jenniferantrobus","twitter":null,"phone_number":null,"verification":{"date":"2025-01-21","status":"accept_all"}},{"value":"alan.zimny@safetyculture.com","type":"personal","confidence":94,"sources":[{"domain":"linkedin.com","uri":"https://www.google.com/search?q=site:linkedin.com%20alan%20zimny%20safetyculture","extracted_on":"2025-01-13","last_seen_on":"2025-01-13","still_on_page":true}],"first_name":"Alan","last_name":"Zimny","position":"Senior Account Executive","position_raw":"Senior Account Executive (Enterprise)","seniority":"executive","department":"sales","linkedin":"https://www.linkedin.com/in/alan-zimny-77496b43","twitter":null,"phone_number":null,"verification":{"date":"2025-01-13","status":"accept_all"}},{"value":"payton.reid@safetyculture.com","type":"personal","confidence":94,"sources":[{"domain":"linkedin.com","uri":"https://www.google.com/search?q=site:linkedin.com%20payton%20reid%20safetyculture","extracted_on":"2025-01-13","last_seen_on":"2025-01-13","still_on_page":true}],"first_name":"Payton","last_name":"Reid","position":"Account Executive","position_raw":"Account Executive","seniority":"executive","department":"sales","linkedin":"https://www.linkedin.com/in/payton-reid-a924b8152","twitter":null,"phone_number":null,"verification":{"date":"2025-01-13","status":"accept_all"}}]</t>
  </si>
  <si>
    <t>For you guys that might mean personalized inspection templates... or user permissions.</t>
  </si>
  <si>
    <t>SafetyCulture</t>
  </si>
  <si>
    <t>/companies/safetyculture/</t>
  </si>
  <si>
    <t>SafetyCulture provides mobile-first technology that puts safety and quality applications into workers&amp;#x27; hands. Companies rely on the SafetyCulture iAuditor app and platform to create smart checklists, conduct on-site inspections, analyze data and share insights in real time.</t>
  </si>
  <si>
    <t>Luke Anear</t>
  </si>
  <si>
    <t>spendesk.com</t>
  </si>
  <si>
    <t>[{"value":"thomas.joet@spendesk.com","type":"personal","confidence":99,"sources":[{"domain":"linkedin.com","uri":"https://www.google.com/search?q=site:linkedin.com%20thomas%20jo%C3%ABt%20spendesk","extracted_on":"2025-01-17","last_seen_on":"2025-01-17","still_on_page":true}],"first_name":"Thomas","last_name":"Joët","position":"Senior Product Manager","position_raw":"Senior Product Manager","seniority":"senior","department":"management","linkedin":"https://www.linkedin.com/in/thomasjoet","twitter":null,"phone_number":null,"verification":{"date":"2025-01-15","status":"valid"}},{"value":"margaux.herve@spendesk.com","type":"personal","confidence":99,"sources":[{"domain":"linkedin.com","uri":"https://www.google.com/search?q=site:linkedin.com%20margaux%20herve%20spendesk","extracted_on":"2025-01-17","last_seen_on":"2025-01-17","still_on_page":true}],"first_name":"Margaux","last_name":"Herve","position":"Business Development Manager","position_raw":"Sales Manager","seniority":"senior","department":"sales","linkedin":"https://www.linkedin.com/in/margaux-herv%c3%a9x","twitter":null,"phone_number":null,"verification":{"date":"2025-01-14","status":"valid"}},{"value":"nathan.harbour@spendesk.com","type":"personal","confidence":99,"sources":[{"domain":"linkedin.com","uri":"https://www.google.com/search?q=site:linkedin.com%20nathan%20harbour%20spendesk","extracted_on":"2025-01-17","last_seen_on":"2025-01-17","still_on_page":true}],"first_name":"Nathan","last_name":"Harbour","position":"Senior Customer Success Manager","position_raw":"Senior Customer Success Manager","seniority":"senior","department":"support","linkedin":"https://www.linkedin.com/in/nathan-harbour-4166661a4","twitter":null,"phone_number":null,"verification":{"date":"2025-01-17","status":"valid"}},{"value":"ines.marzo@spendesk.com","type":"personal","confidence":99,"sources":[{"domain":"linkedin.com","uri":"https://www.google.com/search?q=site:linkedin.com%20in%C3%A8s%20marzo%20spendesk","extracted_on":"2025-01-17","last_seen_on":"2025-01-17","still_on_page":true}],"first_name":"Inès","last_name":"Marzo","position":"Customer Onboarding Manager","position_raw":"Customer Onboarding Manager","seniority":"senior","department":"support","linkedin":"https://www.linkedin.com/in/in%c3%a8s-marzo-069594a4","twitter":null,"phone_number":null,"verification":{"date":"2025-01-17","status":"valid"}},{"value":"camille.guiraud@spendesk.com","type":"personal","confidence":99,"sources":[{"domain":"linkedin.com","uri":"https://www.google.com/search?q=site:linkedin.com%20camille%20guiraud%20spendesk","extracted_on":"2025-01-17","last_seen_on":"2025-01-17","still_on_page":true}],"first_name":"Camille","last_name":"Guiraud","position":"Client Onboarding Manager","position_raw":"Client Onboarding Manager (Grands comptes)","seniority":"senior","department":"support","linkedin":"https://www.linkedin.com/in/camille-guiraud-24662351","twitter":null,"phone_number":null,"verification":{"date":"2025-01-17","status":"valid"}},{"value":"luis.pedro@spendesk.com","type":"personal","confidence":99,"sources":[{"domain":"linkedin.com","uri":"https://www.google.com/search?q=site:linkedin.com%20lu%C3%ADs%20pedro%20spendesk","extracted_on":"2025-01-17","last_seen_on":"2025-01-17","still_on_page":true}],"first_name":"Luís","last_name":"Pedro","position":"Engineering Manager","position_raw":"Engineering Manager","seniority":"senior","department":"it","linkedin":"https://www.linkedin.com/in/luismdpedro","twitter":null,"phone_number":null,"verification":{"date":"2025-01-17","status":"valid"}},{"value":"kosovare.lenjani@spendesk.com","type":"personal","confidence":99,"sources":[{"domain":"linkedin.com","uri":"https://www.google.com/search?q=site:linkedin.com%20kosovare%20lenjani%20spendesk","extracted_on":"2025-01-07","last_seen_on":"2025-01-07","still_on_page":true}],"first_name":"Kosovare","last_name":"Lenjani","position":"Director of Sales","position_raw":"Head of Sales, Northern Europe","seniority":null,"department":"sales","linkedin":"https://www.linkedin.com/in/kosovare-lenjani-730233b5","twitter":null,"phone_number":null,"verification":{"date":"2025-01-07","status":"valid"}},{"value":"etienne.debains@spendesk.com","type":"personal","confidence":99,"sources":[{"domain":"linkedin.com","uri":"https://www.google.com/search?q=site:linkedin.com%20etienne%20debains%20spendesk","extracted_on":"2025-01-07","last_seen_on":"2025-01-07","still_on_page":true}],"first_name":"Etienne","last_name":"Debains","position":"Account Executive","position_raw":"Account Executive","seniority":"executive","department":"sales","linkedin":"https://www.linkedin.com/in/etiennedebains","twitter":null,"phone_number":null,"verification":{"date":"2025-01-20","status":"valid"}},{"value":"becky.dutta@spendesk.com","type":"personal","confidence":99,"sources":[{"domain":"spendesk.com","uri":"http://spendesk.com/en-eu/blog/spendesk-connect-2024","extracted_on":"2024-11-19","last_seen_on":"2024-11-19","still_on_page":true}],"first_name":"Becky","last_name":"Dutta","position":null,"position_raw":null,"seniority":null,"department":null,"linkedin":"https://www.linkedin.com/in/beckydutta","twitter":null,"phone_number":null,"verification":{"date":null,"status":null}},{"value":"julien.chriqui@spendesk.com","type":"personal","confidence":99,"sources":[{"domain":"spendesk.com","uri":"http://spendesk.com/en-eu/blog/spendesk-connect-2024","extracted_on":"2024-11-19","last_seen_on":"2024-11-19","still_on_page":true}],"first_name":"Julien","last_name":"Chriqui","position":null,"position_raw":null,"seniority":null,"department":null,"linkedin":"https://www.linkedin.com/in/julien-chriqui-0baa0522","twitter":null,"phone_number":null,"verification":{"date":null,"status":null}}]</t>
  </si>
  <si>
    <t>For you guys that might mean personalized card limits... or approval workflows.</t>
  </si>
  <si>
    <t>Spendesk</t>
  </si>
  <si>
    <t>/companies/spendesk/</t>
  </si>
  <si>
    <t>Spendesk rethinks the way employees make company purchases and the way businesses manage all expenses. Instead of wasting time on painful expense reports, tedious approval processes and sharing of company credit cards, Spendesk has developed an innovative solution that gives businesses all the control they require and employees the autonomy they need to get the job done.</t>
  </si>
  <si>
    <t>Rodolphe Ardant; Guilhem Bellion; Jordane Giuly</t>
  </si>
  <si>
    <t>stytch.com</t>
  </si>
  <si>
    <t>[{"value":"cassandra@stytch.com","type":"personal","confidence":99,"sources":[{"domain":"linkedin.com","uri":"https://www.google.com/search?q=site:linkedin.com%20cassandra%20roulund%20stytch","extracted_on":"2025-01-07","last_seen_on":"2025-01-07","still_on_page":true}],"first_name":"Cassandra","last_name":"Roulund","position":"Chief Human Resources Officer","position_raw":"Head of People","seniority":"executive","department":"hr","linkedin":"https://www.linkedin.com/in/cassandra-roulund-77309075","twitter":null,"phone_number":null,"verification":{"date":"2025-02-12","status":"valid"}},{"value":"lydia@stytch.com","type":"personal","confidence":99,"sources":[{"domain":"linkedin.com","uri":"https://www.google.com/search?q=site:linkedin.com%20lydia%20gorham%20stytch","extracted_on":"2025-01-07","last_seen_on":"2025-01-07","still_on_page":true}],"first_name":"Lydia","last_name":"Gorham","position":"Head of Product","position_raw":"Head of Product","seniority":"executive","department":"management","linkedin":"https://www.linkedin.com/in/lydia-gorham","twitter":null,"phone_number":null,"verification":{"date":"2025-02-24","status":"valid"}},{"value":"kelly@stytch.com","type":"personal","confidence":99,"sources":[{"domain":"stytch.com","uri":"http://stytch.com/blog/designing-passwords-in-the-sdks","extracted_on":"2024-11-16","last_seen_on":"2024-11-16","still_on_page":true}],"first_name":"Kelly","last_name":"Lim","position":"Product Designer","position_raw":"Product Designer","seniority":null,"department":"design","linkedin":"https://www.linkedin.com/in/adriennekellylim","twitter":null,"phone_number":null,"verification":{"date":null,"status":null}},{"value":"mary@stytch.com","type":"personal","confidence":99,"sources":[{"domain":"stytch.com","uri":"http://stytch.com/blog/category/company","extracted_on":"2024-11-15","last_seen_on":"2024-11-15","still_on_page":true}],"first_name":"Mary","last_name":"Grün","position":"Engineering Manager","position_raw":"Engineering Manager","seniority":"senior","department":"it","linkedin":"https://www.linkedin.com/in/mary-gruen-5a906b8a","twitter":null,"phone_number":null,"verification":{"date":null,"status":null}},{"value":"dgorcey@stytch.com","type":"personal","confidence":98,"sources":[{"domain":"linkedin.com","uri":"https://www.google.com/search?q=site:linkedin.com%20david%20gorcey%20stytch","extracted_on":"2025-01-07","last_seen_on":"2025-01-07","still_on_page":true}],"first_name":"David","last_name":"Gorcey","position":"Account Executive","position_raw":"Senior Account Executive","seniority":"executive","department":"sales","linkedin":"https://www.linkedin.com/in/gorcey","twitter":null,"phone_number":null,"verification":{"date":"2025-02-17","status":"valid"}},{"value":"basia@stytch.com","type":"personal","confidence":98,"sources":[{"domain":"stytch.com","uri":"http://stytch.com/blog/embedded-auth-vs-universal-login","extracted_on":"2024-11-15","last_seen_on":"2024-11-15","still_on_page":true}],"first_name":"Basia","last_name":"Sudol","position":"Solutions Engineer","position_raw":"Solutions Engineer","seniority":null,"department":"it","linkedin":"https://www.linkedin.com/in/basia-sudol-801977101","twitter":null,"phone_number":null,"verification":{"date":"2025-01-20","status":"valid"}},{"value":"alex@stytch.com","type":"personal","confidence":98,"sources":[{"domain":"stytch.com","uri":"http://stytch.com/blog/category/company","extracted_on":"2024-11-15","last_seen_on":"2024-11-15","still_on_page":true}],"first_name":"Alex","last_name":"Zaldastani","position":"Software Engineer","position_raw":"Software Engineer","seniority":null,"department":"it","linkedin":"https://www.linkedin.com/in/alexzaldastani","twitter":null,"phone_number":null,"verification":{"date":null,"status":null}},{"value":"julianna@stytch.com","type":"personal","confidence":98,"sources":[{"domain":"linkedin.com","uri":"https://www.google.com/search?q=site:linkedin.com%20julianna%20lamb%20stytch","extracted_on":"2025-01-07","last_seen_on":"2025-01-07","still_on_page":true},{"domain":"devops.com","uri":"http://devops.com/author/julianna-lamb","extracted_on":"2023-08-08","last_seen_on":"2024-12-21","still_on_page":true},{"domain":"stytch.com","uri":"http://stytch.com/blog/engineering-the-engineering-team","extracted_on":"2024-11-16","last_seen_on":"2024-11-16","still_on_page":true},{"domain":"stytch.com","uri":"http://stytch.com/blog/major-updates-to-stytch-b2b-authentication","extracted_on":"2024-11-15","last_seen_on":"2024-11-15","still_on_page":true},{"domain":"ivoox.com","uri":"http://ivoox.com/podcast-developer-s-journey_sq_f1334613_1.html","extracted_on":"2022-04-22","last_seen_on":"2022-07-22","still_on_page":false},{"domain":"stitcher.com","uri":"http://stitcher.com/podcast/developers-journey","extracted_on":"2022-03-18","last_seen_on":"2022-07-20","still_on_page":false}],"first_name":"Julianna","last_name":"Lamb","position":"Co-Founder and Chief Technology Officer","position_raw":"Co-Founder &amp; CTO","seniority":"executive","department":"executive","linkedin":"https://www.linkedin.com/in/juliannaelamb","twitter":null,"phone_number":null,"verification":{"date":"2025-01-03","status":"valid"}},{"value":"isaacejeh@stytch.com","type":"personal","confidence":97,"sources":[{"domain":"stytch.com","uri":"http://stytch.com/blog/webhooks-security-best-practices","extracted_on":"2024-11-15","last_seen_on":"2024-11-15","still_on_page":true}],"first_name":"Isaac","last_name":"Ejeh","position":"Developer Marketing Manager","position_raw":"Developer Marketing","seniority":"senior","department":"it","linkedin":"https://www.linkedin.com/in/isaac-ejeh","twitter":null,"phone_number":null,"verification":{"date":"2025-02-04","status":"valid"}},{"value":"grace@stytch.com","type":"personal","confidence":97,"sources":[{"domain":"stytch.com","uri":"http://stytch.com/blog/category/company","extracted_on":"2024-11-15","last_seen_on":"2024-11-15","still_on_page":true}],"first_name":"Grace","last_name":"Baelen-King","position":"Software Engineer","position_raw":"Software Engineer","seniority":null,"department":"it","linkedin":"https://www.linkedin.com/in/gracebaelenking","twitter":null,"phone_number":null,"verification":{"date":"2025-02-23","status":"valid"}}]</t>
  </si>
  <si>
    <t>For you guys that might mean personalized SSO IdPs... or SCIM settings.</t>
  </si>
  <si>
    <t>Stytch</t>
  </si>
  <si>
    <t>/companies/stytch/</t>
  </si>
  <si>
    <t>User infrastructure for modern applications. Stytch&amp;#x27;s APIs make it simple to seamlessly onboard, authenticate, and engage users.</t>
  </si>
  <si>
    <t>Julianna Lamb; Reed McGinley-Stempel</t>
  </si>
  <si>
    <t>sublime.security</t>
  </si>
  <si>
    <t>[{"value":"madison@sublime.security","type":"personal","confidence":99,"sources":[{"domain":"linkedin.com","uri":"https://www.google.com/search?q=site:linkedin.com%20madison%20caldwell%20sublime","extracted_on":"2025-01-03","last_seen_on":"2025-01-03","still_on_page":true}],"first_name":"Madison","last_name":"Caldwell","position":"Software Engineer","position_raw":"Software Engineer","seniority":null,"department":"it","linkedin":"https://www.linkedin.com/in/madiwritescode","twitter":null,"phone_number":null,"verification":{"date":null,"status":null}},{"value":"manuel@sublime.security","type":"personal","confidence":99,"sources":[{"domain":"linkedin.com","uri":"https://www.google.com/search?q=site:linkedin.com%20manuel%20robles%20sublime","extracted_on":"2025-01-03","last_seen_on":"2025-01-03","still_on_page":true}],"first_name":"Manuel","last_name":"Robles","position":null,"position_raw":null,"seniority":null,"department":null,"linkedin":"https://www.linkedin.com/in/mwudka","twitter":null,"phone_number":null,"verification":{"date":null,"status":null}},{"value":"cameron@sublime.security","type":"personal","confidence":99,"sources":[{"domain":"sublime.security","uri":"https://sublime.security/feeds/core/detection-rules/attachment-eml-with-suspicious-link-and-engaging-language-unsolicited-2038ffcc/","extracted_on":"2024-11-27","last_seen_on":"2024-11-27","still_on_page":true}],"first_name":"Cameron","last_name":"Dunn","position":"Software Engineer","position_raw":"Software Engineer","seniority":null,"department":"it","linkedin":"https://www.linkedin.com/in/cameron-dunn-10aa0246","twitter":null,"phone_number":null,"verification":{"date":"2025-01-03","status":"valid"}},{"value":"christine@sublime.security","type":"personal","confidence":98,"sources":[{"domain":"linkedin.com","uri":"https://www.google.com/search?q=site:linkedin.com%20christine%20huynh%20sublime","extracted_on":"2025-01-07","last_seen_on":"2025-01-07","still_on_page":true}],"first_name":"Christine","last_name":"Huynh","position":"Marketing Director","position_raw":"Head of Marketing","seniority":null,"department":"marketing","linkedin":"https://www.linkedin.com/in/txchristine","twitter":null,"phone_number":null,"verification":{"date":"2025-02-14","status":"valid"}},{"value":"josh@sublime.security","type":"personal","confidence":98,"sources":[{"domain":"linkedin.com","uri":"https://www.google.com/search?q=site:linkedin.com%20josh%20kamdjou%20sublime","extracted_on":"2025-01-03","last_seen_on":"2025-01-03","still_on_page":true}],"first_name":"Josh","last_name":"Kamdjou","position":"CEO","position_raw":"Founder &amp; CEO","seniority":"executive","department":"executive","linkedin":"https://www.linkedin.com/in/jkamdjou","twitter":null,"phone_number":null,"verification":{"date":"2025-01-04","status":"valid"}},{"value":"justin@sublime.security","type":"personal","confidence":98,"sources":[{"domain":"linkedin.com","uri":"https://www.google.com/search?q=site:linkedin.com%20justin%20wredberg%20sublime","extracted_on":"2025-01-03","last_seen_on":"2025-01-03","still_on_page":true}],"first_name":"Justin","last_name":"Wredberg","position":null,"position_raw":null,"seniority":null,"department":null,"linkedin":"https://www.linkedin.com/in/justinwredberg","twitter":null,"phone_number":null,"verification":{"date":null,"status":null}},{"value":"ian@sublime.security","type":"personal","confidence":97,"sources":[{"domain":"linkedin.com","uri":"https://www.google.com/search?q=site:linkedin.com%20ian%20thiel%20sublime","extracted_on":"2025-01-03","last_seen_on":"2025-01-03","still_on_page":true}],"first_name":"Ian","last_name":"Thiel","position":"Co-Founder","position_raw":"Co-Founder","seniority":null,"department":"executive","linkedin":"https://www.linkedin.com/in/ianthiel","twitter":null,"phone_number":null,"verification":{"date":"2025-01-04","status":"valid"}},{"value":"john@sublime.security","type":"personal","confidence":97,"sources":[{"domain":"linkedin.com","uri":"https://www.google.com/search?q=site:linkedin.com%20john%20price%20sublime","extracted_on":"2025-01-03","last_seen_on":"2025-01-03","still_on_page":true}],"first_name":"John","last_name":"Price","position":null,"position_raw":null,"seniority":null,"department":null,"linkedin":"https://www.linkedin.com/in/pricejc","twitter":null,"phone_number":null,"verification":{"date":null,"status":null}},{"value":"curtis@sublime.security","type":"personal","confidence":97,"sources":[{"domain":"linkedin.com","uri":"https://www.google.com/search?q=site:linkedin.com%20curtis%20shelton%20sublime","extracted_on":"2025-01-03","last_seen_on":"2025-01-03","still_on_page":true}],"first_name":"Curtis","last_name":"Shelton","position":null,"position_raw":null,"seniority":null,"department":null,"linkedin":"https://www.linkedin.com/in/curtis-shelton-76342355","twitter":null,"phone_number":null,"verification":{"date":null,"status":null}},{"value":"bobby@sublime.security","type":"personal","confidence":96,"sources":[{"domain":"linkedin.com","uri":"https://www.google.com/search?q=site:linkedin.com%20bobby%20filar%20sublime","extracted_on":"2025-01-07","last_seen_on":"2025-01-07","still_on_page":true}],"first_name":"Bobby","last_name":"Filar","position":"Head of Data Science","position_raw":"Head of Data Science","seniority":"executive","department":"it","linkedin":"https://www.linkedin.com/in/bobby-filar-5625488","twitter":null,"phone_number":null,"verification":{"date":null,"status":null}}]</t>
  </si>
  <si>
    <t>For you guys that might mean personalized detections... or ASR rules.</t>
  </si>
  <si>
    <t>Sublime</t>
  </si>
  <si>
    <t>Sublime Security</t>
  </si>
  <si>
    <t>/companies/sublime-security/</t>
  </si>
  <si>
    <t>Josh Kamdjou; Ian Thiel</t>
  </si>
  <si>
    <t>Team; Team; Shardul Shah; Jahanvi Sardana; Team</t>
  </si>
  <si>
    <t>tekion.com</t>
  </si>
  <si>
    <t>[{"value":"msingh@tekion.com","type":"personal","confidence":99,"sources":[{"domain":"linkedin.com","uri":"https://www.google.com/search?q=site:linkedin.com%20muskan%20singh%20tekion","extracted_on":"2025-01-17","last_seen_on":"2025-01-17","still_on_page":true}],"first_name":"Muskan","last_name":"Singh","position":"Product Manager","position_raw":"Product Manager","seniority":"senior","department":"management","linkedin":"https://www.linkedin.com/in/muskan-vijay-singh","twitter":null,"phone_number":null,"verification":{"date":"2025-01-17","status":"valid"}},{"value":"tschroeder@tekion.com","type":"personal","confidence":99,"sources":[{"domain":"linkedin.com","uri":"https://www.google.com/search?q=site:linkedin.com%20tyrel%20schr%C3%B6der%20tekion","extracted_on":"2025-01-17","last_seen_on":"2025-01-17","still_on_page":true}],"first_name":"Tyrel","last_name":"Schröder","position":"Senior Hardware Development Manager","position_raw":"Senior Manager Hardware Development","seniority":"senior","department":"management","linkedin":"https://www.linkedin.com/in/tyrel-schroeder-9b7349a6","twitter":null,"phone_number":null,"verification":{"date":"2025-01-17","status":"valid"}},{"value":"asingh@tekion.com","type":"personal","confidence":99,"sources":[{"domain":"linkedin.com","uri":"https://www.google.com/search?q=site:linkedin.com%20abhinav%20singh%20tekion","extracted_on":"2025-01-17","last_seen_on":"2025-01-17","still_on_page":true}],"first_name":"Abhinav","last_name":"Singh","position":"Product Manager","position_raw":"Product Manager","seniority":"senior","department":"management","linkedin":"https://www.linkedin.com/in/abhinav-anand-singh","twitter":null,"phone_number":null,"verification":{"date":"2024-12-31","status":"valid"}},{"value":"jgriffith@tekion.com","type":"personal","confidence":99,"sources":[{"domain":"linkedin.com","uri":"https://www.google.com/search?q=site:linkedin.com%20jacqueline%20griffith%20tekion","extracted_on":"2025-01-17","last_seen_on":"2025-01-17","still_on_page":true}],"first_name":"Jacqueline","last_name":"Griffith","position":"Implementation Manager","position_raw":"Implementation Success Manager","seniority":"senior","department":"management","linkedin":"https://www.linkedin.com/in/jacqueline-griffith-44444249","twitter":null,"phone_number":null,"verification":{"date":"2025-01-17","status":"valid"}},{"value":"pdilet@tekion.com","type":"personal","confidence":99,"sources":[{"domain":"linkedin.com","uri":"https://www.google.com/search?q=site:linkedin.com%20philippe%20dilet%20tekion","extracted_on":"2025-01-17","last_seen_on":"2025-01-17","still_on_page":true}],"first_name":"Philippe","last_name":"Dilet","position":"Associate Product Manager","position_raw":"EMEA Associate Product Manager","seniority":"senior","department":"management","linkedin":"https://www.linkedin.com/in/philippedilet","twitter":null,"phone_number":null,"verification":{"date":"2025-01-17","status":"valid"}},{"value":"sjain@tekion.com","type":"personal","confidence":99,"sources":[{"domain":"linkedin.com","uri":"https://www.google.com/search?q=site:linkedin.com%20suhail%20jain%20tekion","extracted_on":"2025-01-17","last_seen_on":"2025-01-17","still_on_page":true}],"first_name":"Suhail","last_name":"Jain","position":"Engineering Manager","position_raw":"Engineering Manager","seniority":"senior","department":"it","linkedin":"https://www.linkedin.com/in/suhail-jain-636954128","twitter":null,"phone_number":null,"verification":{"date":null,"status":null}},{"value":"vsolanki@tekion.com","type":"personal","confidence":99,"sources":[{"domain":"linkedin.com","uri":"https://www.google.com/search?q=site:linkedin.com%20vraj%20solanki%20tekion","extracted_on":"2025-01-17","last_seen_on":"2025-01-17","still_on_page":true}],"first_name":"Vraj","last_name":"Solanki","position":"Engineering Manager","position_raw":"Senior Engineering Manager","seniority":"senior","department":"it","linkedin":"https://www.linkedin.com/in/vraj-solanki-ba202598","twitter":null,"phone_number":null,"verification":{"date":"2025-01-17","status":"valid"}},{"value":"rajk@tekion.com","type":"personal","confidence":99,"sources":[{"domain":"linkedin.com","uri":"https://www.google.com/search?q=site:linkedin.com%20raj%20karthick%20tekion","extracted_on":"2025-01-17","last_seen_on":"2025-01-17","still_on_page":true}],"first_name":"Raj","last_name":"Karthick","position":"Engineering Manager","position_raw":"Engineering Manager","seniority":"senior","department":"it","linkedin":"https://www.linkedin.com/in/raj-karthick-05360a54","twitter":null,"phone_number":null,"verification":{"date":"2025-01-17","status":"valid"}},{"value":"akalya@tekion.com","type":"personal","confidence":99,"sources":[{"domain":"linkedin.com","uri":"https://www.google.com/search?q=site:linkedin.com%20ashish%20kalya%20tekion","extracted_on":"2025-01-17","last_seen_on":"2025-01-17","still_on_page":true}],"first_name":"Ashish","last_name":"Kalya","position":"Senior Product Manager","position_raw":"Senior Manager, Product Management","seniority":"senior","department":"management","linkedin":"https://www.linkedin.com/in/ashish-kalya-a2501630","twitter":null,"phone_number":null,"verification":{"date":"2025-01-17","status":"valid"}},{"value":"jdudley@tekion.com","type":"personal","confidence":99,"sources":[{"domain":"linkedin.com","uri":"https://www.google.com/search?q=site:linkedin.com%20jordan%20dudley%20tekion","extracted_on":"2025-01-17","last_seen_on":"2025-01-17","still_on_page":true}],"first_name":"Jordan","last_name":"Dudley","position":"Implementation Manager","position_raw":"Implementation Manager","seniority":"senior","department":"management","linkedin":"https://www.linkedin.com/in/jordan-dudley-104014b6","twitter":null,"phone_number":null,"verification":{"date":"2025-01-17","status":"valid"}}]</t>
  </si>
  <si>
    <t>For you guys that might mean personalized vehicle configurations... or financing options.</t>
  </si>
  <si>
    <t>Tekion</t>
  </si>
  <si>
    <t>/companies/tekion/</t>
  </si>
  <si>
    <t>The first and fastest cloud-native automotive retail platform.</t>
  </si>
  <si>
    <t>Guru Sankararaman; Jay Vijayan</t>
  </si>
  <si>
    <t>toolbx.com</t>
  </si>
  <si>
    <t>[{"value":"info@toolbx.com","type":"generic","confidence":82,"sources":[{"domain":"fr.toolbx.com","uri":"http://fr.toolbx.com/privacy-policy","extracted_on":"2023-10-16","last_seen_on":"2025-01-16","still_on_page":true},{"domain":"toolbx.com","uri":"http://toolbx.com/data-sharing-terms","extracted_on":"2023-07-18","last_seen_on":"2024-12-08","still_on_page":true},{"domain":"toolbx.com","uri":"http://toolbx.com/privacy-policy","extracted_on":"2022-07-14","last_seen_on":"2024-12-08","still_on_page":true},{"domain":"toolbx.com","uri":"http://toolbx.com/terms-conditions","extracted_on":"2020-06-16","last_seen_on":"2024-12-08","still_on_page":true},{"domain":"toolbx.com","uri":"http://toolbx.com/terms-of-service","extracted_on":"2023-07-18","last_seen_on":"2024-12-08","still_on_page":true},{"domain":"apksos.com","uri":"http://apksos.com/app/com.toolbx.toolbx","extracted_on":"2022-10-19","last_seen_on":"2023-04-19","still_on_page":false},{"domain":"toolbx.com","uri":"http://toolbx.com/toolbx-rewards-terms-conditions","extracted_on":"2021-08-28","last_seen_on":"2023-04-18","still_on_page":false}],"first_name":null,"last_name":null,"position":null,"position_raw":null,"seniority":null,"department":"support","linkedin":null,"twitter":null,"phone_number":null,"verification":{"date":null,"status":null}},{"value":"careers@toolbx.com","type":"generic","confidence":10,"sources":[{"domain":"uiuxjobsboard.com","uri":"http://uiuxjobsboard.com/job/38221-ui-ux-designer-toronto-canada","extracted_on":"2021-09-03","last_seen_on":"2024-03-06","still_on_page":false}],"first_name":null,"last_name":null,"position":null,"position_raw":null,"seniority":null,"department":"hr","linkedin":null,"twitter":null,"phone_number":null,"verification":{"date":null,"status":null}}]</t>
  </si>
  <si>
    <t>For you guys that might mean personalized product catalogs... or customer-specific pricing.</t>
  </si>
  <si>
    <t>TOOLBX</t>
  </si>
  <si>
    <t>Toolbx</t>
  </si>
  <si>
    <t>/companies/toolbx/</t>
  </si>
  <si>
    <t>The Digital experience platform for modern building suppliers - TOOLBX enables Independent building suppiers to streamline payments, simplify AR, grow online sales and improve the customer experience. All integrated with their ERP.</t>
  </si>
  <si>
    <t>Chris Stringer; Erik Bornstein</t>
  </si>
  <si>
    <t>workbounce.com</t>
  </si>
  <si>
    <t>[{"value":"abc@workbounce.com","type":"generic","confidence":10,"sources":[{"domain":"workbounce.com","uri":"http://workbounce.com/videos/demo","extracted_on":"2024-06-25","last_seen_on":"2024-06-25","still_on_page":false}],"first_name":null,"last_name":null,"position":null,"position_raw":null,"seniority":null,"department":null,"linkedin":null,"twitter":null,"phone_number":null,"verification":{"date":null,"status":null}}]</t>
  </si>
  <si>
    <t>For you guys that might mean personalized integrations... or custom topics.</t>
  </si>
  <si>
    <t>Workbounce</t>
  </si>
  <si>
    <t>/companies/workbounce/</t>
  </si>
  <si>
    <t>Win deals and wow customers</t>
  </si>
  <si>
    <t>Rowan Bailey; Adam Smith</t>
  </si>
  <si>
    <t>Team; Team; Hannah Seal; Team</t>
  </si>
  <si>
    <t>xata.io</t>
  </si>
  <si>
    <t>[{"value":"yannis@xata.io","type":"personal","confidence":99,"sources":[{"domain":"linkedin.com","uri":"https://www.google.com/search?q=site:linkedin.com%20yannis%20peyret%20xata","extracted_on":"2025-01-03","last_seen_on":"2025-01-03","still_on_page":true}],"first_name":"Yannis","last_name":"Peyret","position":"Vice President of Finance and Operations","position_raw":"VP Finance and Operations","seniority":"executive","department":"finance","linkedin":"https://www.linkedin.com/in/yannispeyret","twitter":null,"phone_number":null,"verification":{"date":"2025-02-21","status":"valid"}},{"value":"alexf@xata.io","type":"personal","confidence":99,"sources":[{"domain":"linkedin.com","uri":"https://www.google.com/search?q=site:linkedin.com%20alex%20francoeur%20xata","extracted_on":"2025-01-07","last_seen_on":"2025-01-07","still_on_page":true},{"domain":"xata.io","uri":"http://xata.io/blog","extracted_on":"2024-09-20","last_seen_on":"2024-09-20","still_on_page":true}],"first_name":"Alex","last_name":"Francoeur","position":"Head of Product","position_raw":"Head of Product","seniority":"executive","department":"management","linkedin":"https://www.linkedin.com/in/alex-francoeur-50b6a018","twitter":null,"phone_number":null,"verification":{"date":"2025-01-07","status":"valid"}},{"value":"andrew@xata.io","type":"personal","confidence":99,"sources":[{"domain":"xata.io","uri":"http://xata.io/blog","extracted_on":"2024-09-20","last_seen_on":"2024-09-20","still_on_page":true}],"first_name":"Andrew","last_name":"Farries","position":"Senior Software Engineer","position_raw":"Senior Software Engineer","seniority":"senior","department":"it","linkedin":"https://www.linkedin.com/in/andrew-farries-ba7884263","twitter":null,"phone_number":null,"verification":{"date":null,"status":null}},{"value":"simona@xata.io","type":"personal","confidence":98,"sources":[{"domain":"xata.io","uri":"http://xata.io/blog","extracted_on":"2024-09-20","last_seen_on":"2024-09-20","still_on_page":true}],"first_name":"Simona","last_name":"Pencea","position":"Staff Software Engineer","position_raw":"Staff Software Engineer","seniority":null,"department":"it","linkedin":"https://www.linkedin.com/in/simona-pencea-069a366","twitter":null,"phone_number":null,"verification":{"date":null,"status":null}},{"value":"tudor@xata.io","type":"personal","confidence":98,"sources":[{"domain":"linkedin.com","uri":"https://www.google.com/search?q=site:linkedin.com%20tudor%20golubenco%20xata","extracted_on":"2025-01-07","last_seen_on":"2025-01-07","still_on_page":true},{"domain":"xata.io","uri":"http://xata.io/blog","extracted_on":"2024-09-20","last_seen_on":"2024-09-20","still_on_page":true}],"first_name":"Tudor","last_name":"Golubenco","position":"Chief Technology Officer","position_raw":"Chief Technology Officer","seniority":"executive","department":"it","linkedin":"https://www.linkedin.com/in/tudorgolubenco","twitter":null,"phone_number":null,"verification":{"date":"2025-02-21","status":"valid"}},{"value":"richard@xata.io","type":"personal","confidence":97,"sources":[{"domain":"xata.io","uri":"http://xata.io/blog","extracted_on":"2024-09-20","last_seen_on":"2024-09-20","still_on_page":true}],"first_name":"Richard","last_name":"Gill","position":"Software Engineer","position_raw":"Software Engineer","seniority":null,"department":"it","linkedin":"https://www.linkedin.com/in/richardgill3","twitter":null,"phone_number":null,"verification":{"date":"2025-01-27","status":"valid"}},{"value":"elizabet@xata.io","type":"personal","confidence":97,"sources":[{"domain":"xata.io","uri":"http://xata.io/blog","extracted_on":"2024-09-20","last_seen_on":"2024-09-20","still_on_page":true}],"first_name":"Elizabet","last_name":"Oliveira","position":"Senior Product Designer","position_raw":"Senior Product Designer","seniority":"senior","department":"design","linkedin":"https://www.linkedin.com/in/elizabetoliveira","twitter":null,"phone_number":null,"verification":{"date":"2025-01-28","status":"valid"}},{"value":"lea@xata.io","type":"personal","confidence":96,"sources":[{"domain":"tabloidnasional.com","uri":"http://tabloidnasional.com/tech/xata-adds-file-attachments-to-serverless-database-offering","extracted_on":"2023-11-04","last_seen_on":"2025-02-17","still_on_page":true},{"domain":"medianewswatch.com","uri":"http://medianewswatch.com/tech/xata-adds-file-attachments-to-serverless-database-offering","extracted_on":"2023-09-01","last_seen_on":"2024-09-10","still_on_page":false},{"domain":"bahamasnews.net","uri":"http://bahamasnews.net/news/273949217/xata-adds-file-attachments-to-serverless-database-offering","extracted_on":"2023-09-04","last_seen_on":"2024-06-10","still_on_page":false},{"domain":"havananews.net","uri":"http://havananews.net/news/273949217/xata-adds-file-attachments-to-serverless-database-offering","extracted_on":"2023-09-03","last_seen_on":"2023-12-15","still_on_page":false},{"domain":"canberranews.net","uri":"http://canberranews.net/news/273949217/xata-adds-file-attachments-to-serverless-database-offering","extracted_on":"2023-09-01","last_seen_on":"2023-12-14","still_on_page":false},{"domain":"aucklandnews.net","uri":"http://aucklandnews.net/news/273949217/xata-adds-file-attachments-to-serverless-database-offering","extracted_on":"2023-09-01","last_seen_on":"2023-09-01","still_on_page":false},{"domain":"christchurchnews.net","uri":"http://christchurchnews.net/news/273949217/xata-adds-file-attachments-to-serverless-database-offering","extracted_on":"2023-09-01","last_seen_on":"2023-09-01","still_on_page":false},{"domain":"lifestyle.us983.com","uri":"http://lifestyle.us983.com/story/49571222/xata-adds-file-attachments-to-serverless-database-offering","extracted_on":"2023-08-30","last_seen_on":"2023-08-30","still_on_page":false}],"first_name":null,"last_name":null,"position":null,"position_raw":null,"seniority":null,"department":null,"linkedin":null,"twitter":null,"phone_number":null,"verification":{"date":null,"status":null}},{"value":"security@xata.io","type":"generic","confidence":96,"sources":[{"domain":"xata.io","uri":"http://xata.io/security","extracted_on":"2023-06-06","last_seen_on":"2024-12-21","still_on_page":true}],"first_name":null,"last_name":null,"position":null,"position_raw":null,"seniority":null,"department":"support","linkedin":null,"twitter":null,"phone_number":null,"verification":{"date":null,"status":null}},{"value":"gulcin@xata.io","type":"personal","confidence":95,"sources":[{"domain":"xata.io","uri":"http://xata.io/blog/oss-vienna-happy-hour","extracted_on":"2024-09-20","last_seen_on":"2024-12-20","still_on_page":true}],"first_name":null,"last_name":null,"position":null,"position_raw":null,"seniority":null,"department":null,"linkedin":null,"twitter":null,"phone_number":null,"verification":{"date":"2025-02-04","status":"valid"}}]</t>
  </si>
  <si>
    <t>For you guys that might mean personalized schemas or branching...</t>
  </si>
  <si>
    <t>Xata</t>
  </si>
  <si>
    <t>/companies/xata/</t>
  </si>
  <si>
    <t>Next-generation database for serverless and low-code apps</t>
  </si>
  <si>
    <t>Monica Sarbu</t>
  </si>
  <si>
    <t>elementl.com</t>
  </si>
  <si>
    <t>[{"value":"marco@elementl.com","type":"personal","confidence":99,"sources":[{"domain":"githubrecord.com","uri":"http://githubrecord.com/salazarm","extracted_on":"2023-02-13","last_seen_on":"2023-08-29","still_on_page":false}],"first_name":"Marco","last_name":"Salazar","position":null,"position_raw":null,"seniority":null,"department":null,"linkedin":null,"twitter":null,"phone_number":null,"verification":{"date":null,"status":null}},{"value":"schrockn@elementl.com","type":"personal","confidence":99,"sources":[{"domain":"pypi.org","uri":"http://pypi.org/project/elementl","extracted_on":"2019-06-15","last_seen_on":"2022-03-10","still_on_page":true},{"domain":"githubrecord.com","uri":"http://githubrecord.com/petehunt","extracted_on":"2023-02-13","last_seen_on":"2023-02-15","still_on_page":false},{"domain":"gitmemory.com","uri":"http://gitmemory.com/keyz","extracted_on":"2020-06-26","last_seen_on":"2020-10-27","still_on_page":false}],"first_name":"Nicholas","last_name":"Schrock","position":null,"position_raw":null,"seniority":null,"department":null,"linkedin":null,"twitter":null,"phone_number":null,"verification":{"date":null,"status":null}},{"value":"sandy@elementl.com","type":"personal","confidence":98,"sources":[{"domain":"readnote.org","uri":"http://readnote.org/authors/sandy-ryza","extracted_on":"2024-05-23","last_seen_on":"2024-05-23","still_on_page":true},{"domain":"dagster.io","uri":"http://dagster.io/blog/software-defined-assets","extracted_on":"2022-03-31","last_seen_on":"2023-08-28","still_on_page":false},{"domain":"githubrecord.com","uri":"http://githubrecord.com/salazarm","extracted_on":"2023-02-13","last_seen_on":"2023-08-28","still_on_page":false},{"domain":"githubrecord.com","uri":"http://githubrecord.com/petehunt","extracted_on":"2022-11-13","last_seen_on":"2022-11-13","still_on_page":false},{"domain":"gitmemory.com","uri":"http://gitmemory.com/pull%5bbot%5d","extracted_on":"2021-11-23","last_seen_on":"2021-11-23","still_on_page":false}],"first_name":"Sandy","last_name":"Ryza","position":"Software Engineer","position_raw":"Software Engineer","seniority":null,"department":"it","linkedin":null,"twitter":null,"phone_number":null,"verification":{"date":null,"status":null}},{"value":"daniel@elementl.com","type":"personal","confidence":97,"sources":[{"domain":"githubrecord.com","uri":"http://githubrecord.com/salazarm","extracted_on":"2023-02-13","last_seen_on":"2023-08-28","still_on_page":false},{"domain":"githubrecord.com","uri":"http://githubrecord.com/keyz","extracted_on":"2023-05-27","last_seen_on":"2023-05-27","still_on_page":false},{"domain":"githubrecord.com","uri":"http://githubrecord.com/petehunt","extracted_on":"2022-11-13","last_seen_on":"2022-11-13","still_on_page":false}],"first_name":null,"last_name":null,"position":null,"position_raw":null,"seniority":null,"department":null,"linkedin":null,"twitter":null,"phone_number":null,"verification":{"date":null,"status":null}},{"value":"pete@elementl.com","type":"personal","confidence":97,"sources":[{"domain":"dagster.io","uri":"http://dagster.io/blog/pete-hunt-path-to-elementl","extracted_on":"2022-07-07","last_seen_on":"2025-01-07","still_on_page":true},{"domain":"githubrecord.com","uri":"http://githubrecord.com/petehunt","extracted_on":"2023-08-13","last_seen_on":"2023-08-15","still_on_page":false}],"first_name":null,"last_name":null,"position":null,"position_raw":null,"seniority":null,"department":null,"linkedin":null,"twitter":null,"phone_number":null,"verification":{"date":"2025-02-21","status":"valid"}},{"value":"fraser@elementl.com","type":"personal","confidence":96,"sources":[{"domain":"dagster.io","uri":"http://dagster.io/blog/elementl-series-b","extracted_on":"2023-06-08","last_seen_on":"2025-01-07","still_on_page":true}],"first_name":null,"last_name":null,"position":null,"position_raw":null,"seniority":null,"department":null,"linkedin":null,"twitter":null,"phone_number":null,"verification":{"date":null,"status":null}},{"value":"claire@elementl.com","type":"personal","confidence":96,"sources":[{"domain":"githubrecord.com","uri":"http://githubrecord.com/salazarm","extracted_on":"2023-08-28","last_seen_on":"2023-08-28","still_on_page":false},{"domain":"githubrecord.com","uri":"http://githubrecord.com/keyz","extracted_on":"2023-05-27","last_seen_on":"2023-05-27","still_on_page":false}],"first_name":null,"last_name":null,"position":null,"position_raw":null,"seniority":null,"department":null,"linkedin":null,"twitter":null,"phone_number":null,"verification":{"date":null,"status":null}},{"value":"owen@elementl.com","type":"personal","confidence":95,"sources":[{"domain":"githubrecord.com","uri":"http://githubrecord.com/salazarm","extracted_on":"2023-08-28","last_seen_on":"2023-08-28","still_on_page":false}],"first_name":null,"last_name":null,"position":null,"position_raw":null,"seniority":null,"department":null,"linkedin":null,"twitter":null,"phone_number":null,"verification":{"date":null,"status":null}},{"value":"sales@elementl.com","type":"generic","confidence":77,"sources":[{"domain":"dagster.io","uri":"http://dagster.io/blog/soc2-compliance-dagster-blog","extracted_on":"2022-10-01","last_seen_on":"2025-01-07","still_on_page":true},{"domain":"docs.dagster.io","uri":"http://docs.dagster.io/dagster-cloud/deployment/serverless","extracted_on":"2022-10-21","last_seen_on":"2023-07-21","still_on_page":false}],"first_name":null,"last_name":null,"position":null,"position_raw":null,"seniority":null,"department":"sales","linkedin":null,"twitter":null,"phone_number":null,"verification":{"date":null,"status":null}},{"value":"notices@elementl.com","type":"generic","confidence":75,"sources":[{"domain":"dagster.io","uri":"http://dagster.io/terms","extracted_on":"2022-07-09","last_seen_on":"2025-01-07","still_on_page":true}],"first_name":null,"last_name":null,"position":null,"position_raw":null,"seniority":null,"department":null,"linkedin":null,"twitter":null,"phone_number":null,"verification":{"date":null,"status":null}}]</t>
  </si>
  <si>
    <t>For you guys that might mean personalized data pipelines or workflows.</t>
  </si>
  <si>
    <t>Elementl</t>
  </si>
  <si>
    <t>/companies/elementl/</t>
  </si>
  <si>
    <t>The data orchestrator for machine learning, analytics, and ETL.</t>
  </si>
  <si>
    <t>Nick Schrock</t>
  </si>
  <si>
    <t>outbrain.com</t>
  </si>
  <si>
    <t>For you guys that might mean personalized placements... or CTRs.</t>
  </si>
  <si>
    <t>Outbrain</t>
  </si>
  <si>
    <t>asia; north-america</t>
  </si>
  <si>
    <t>media</t>
  </si>
  <si>
    <t>/companies/outbrain/</t>
  </si>
  <si>
    <t>Outbrain is the Internet’s leading personalised content discovery platform. By recommending news, blogs and other content to a receptive reader, at the right moment, Outbrain enables publishers to boost traffic and marketers to reach audiences at their most engaged.</t>
  </si>
  <si>
    <t>Yaron Galai; Ori Lahav</t>
  </si>
  <si>
    <t>Team; Team; Shardul Shah; Dominique Vidal; Team</t>
  </si>
  <si>
    <t>phaidra.ai</t>
  </si>
  <si>
    <t>[{"value":"parker.reed@phaidra.ai","type":"personal","confidence":99,"sources":[{"domain":"linkedin.com","uri":"https://www.google.com/search?q=site:linkedin.com%20parker%20reed%20phaidra","extracted_on":"2025-01-07","last_seen_on":"2025-01-07","still_on_page":true}],"first_name":"Parker","last_name":"Reed","position":"Legal Director","position_raw":"Head of Legal","seniority":null,"department":"legal","linkedin":"https://www.linkedin.com/in/parker-reed-804b77b2","twitter":null,"phone_number":null,"verification":{"date":"2025-01-23","status":"valid"}},{"value":"andrew.soby@phaidra.ai","type":"personal","confidence":99,"sources":[{"domain":"linkedin.com","uri":"https://www.google.com/search?q=site:linkedin.com%20andrew%20soby%20phaidra","extracted_on":"2025-01-03","last_seen_on":"2025-01-03","still_on_page":true}],"first_name":"Andrew","last_name":"Soby","position":"Software Engineer","position_raw":"Software Engineer","seniority":null,"department":"it","linkedin":"https://www.linkedin.com/in/sobyandrew","twitter":null,"phone_number":null,"verification":{"date":null,"status":null}},{"value":"charisis.brouzioutis@phaidra.ai","type":"personal","confidence":99,"sources":[{"domain":"linkedin.com","uri":"https://www.google.com/search?q=site:linkedin.com%20charisis%20brouzioutis%20phaidra","extracted_on":"2025-01-03","last_seen_on":"2025-01-03","still_on_page":true}],"first_name":"Charisis","last_name":"Brouzioutis","position":"Director of Engineering","position_raw":"Head of Engineering, ML Applications","seniority":null,"department":"it","linkedin":"https://www.linkedin.com/in/charisis","twitter":null,"phone_number":null,"verification":{"date":null,"status":null}},{"value":"olivia.bolton@phaidra.ai","type":"personal","confidence":99,"sources":[{"domain":"linkedin.com","uri":"https://www.google.com/search?q=site:linkedin.com%20olivia%20bolton%20phaidra","extracted_on":"2025-01-03","last_seen_on":"2025-01-03","still_on_page":true}],"first_name":"Olivia","last_name":"Bolton","position":"People Operations Specialist","position_raw":"People Operations Specialist","seniority":"senior","department":"operations","linkedin":"https://www.linkedin.com/in/olivia-bolton-b3b075102","twitter":null,"phone_number":null,"verification":{"date":"2025-01-16","status":"valid"}},{"value":"christine.phillips@phaidra.ai","type":"personal","confidence":99,"sources":[{"domain":"phaidra.ai","uri":"http://phaidra.ai/blog/autonomous-ai-control-of-mission-critical-cooling-at-merck","extracted_on":"2024-10-31","last_seen_on":"2024-10-31","still_on_page":true}],"first_name":"Christine","last_name":"Phillips","position":"Business Process Manager","position_raw":"Business Process Manager","seniority":"senior","department":"sales","linkedin":"https://www.linkedin.com/in/christine-phillips-7487962a","twitter":null,"phone_number":null,"verification":{"date":null,"status":null}},{"value":"fiona.liu@phaidra.ai","type":"personal","confidence":98,"sources":[{"domain":"linkedin.com","uri":"https://www.google.com/search?q=site:linkedin.com%20fiona%20liu%20phaidra","extracted_on":"2025-01-17","last_seen_on":"2025-01-17","still_on_page":true}],"first_name":"Fiona","last_name":"Liu","position":"Product Manager","position_raw":"Product Manager, Data + AI Platforms","seniority":"senior","department":"management","linkedin":"https://www.linkedin.com/in/fionaliu01","twitter":null,"phone_number":null,"verification":{"date":"2025-01-17","status":"valid"}},{"value":"michael.sweeney@phaidra.ai","type":"personal","confidence":98,"sources":[{"domain":"linkedin.com","uri":"https://www.google.com/search?q=site:linkedin.com%20michael%20sweeney%20phaidra","extracted_on":"2025-01-03","last_seen_on":"2025-01-03","still_on_page":true}],"first_name":"Michael","last_name":"Sweeney","position":"Director of Corporate Development","position_raw":"Corporate Development Officer","seniority":null,"department":"management","linkedin":"https://www.linkedin.com/in/michael-sweeney-mba-0a447114","twitter":null,"phone_number":null,"verification":{"date":null,"status":null}},{"value":"craig.harvey@phaidra.ai","type":"personal","confidence":98,"sources":[{"domain":"linkedin.com","uri":"https://www.google.com/search?q=site:linkedin.com%20craig%20harvey%20phaidra","extracted_on":"2025-01-03","last_seen_on":"2025-01-03","still_on_page":true}],"first_name":"Craig","last_name":"Harvey","position":"Security Operations Manager","position_raw":"Security Operations Manager","seniority":"senior","department":"management","linkedin":"https://www.linkedin.com/in/craigmichaelharvey","twitter":null,"phone_number":null,"verification":{"date":null,"status":null}},{"value":"ily.phelps@phaidra.ai","type":"personal","confidence":98,"sources":[{"domain":"linkedin.com","uri":"https://www.google.com/search?q=site:linkedin.com%20ily%20phelps%20phaidra","extracted_on":"2025-01-03","last_seen_on":"2025-01-03","still_on_page":true}],"first_name":"Ily","last_name":"Phelps","position":"Senior Brand Designer","position_raw":"Senior Brand Experience Designer","seniority":"senior","department":"design","linkedin":"https://www.linkedin.com/in/ilyphelps","twitter":null,"phone_number":null,"verification":{"date":null,"status":null}},{"value":"ben.tacka@phaidra.ai","type":"personal","confidence":98,"sources":[{"domain":"phaidra.ai","uri":"http://phaidra.ai/blog/the-4th-industrial-revolution-building-a-hyper-efficient-sustainable-future","extracted_on":"2024-09-05","last_seen_on":"2025-01-25","still_on_page":true},{"domain":"phaidra.ai","uri":"http://phaidra.ai/blog/artificial-intelligence-terminology","extracted_on":"2024-04-12","last_seen_on":"2025-01-24","still_on_page":true}],"first_name":"Ben","last_name":"Tacka","position":"Business Development Manager","position_raw":"Business Development Lead","seniority":"senior","department":"sales","linkedin":"https://www.linkedin.com/in/ben-tacka","twitter":null,"phone_number":null,"verification":{"date":"2025-01-09","status":"valid"}}]</t>
  </si>
  <si>
    <t>For you guys that might mean personalized cooling setpoints... or PUE targets.</t>
  </si>
  <si>
    <t>Phaidra</t>
  </si>
  <si>
    <t>/companies/phaidra/</t>
  </si>
  <si>
    <t>The AI-powered virtual plant operator that helps mission-critical facilities like data centers improve energy efficiency, plant stability, and sustainability.</t>
  </si>
  <si>
    <t>Jim Gao; Katie Hoffman; Vedavyas Panneershelvam</t>
  </si>
  <si>
    <t>sofiasalud.com</t>
  </si>
  <si>
    <t>[{"value":"hola@sofiasalud.com","type":"generic","confidence":95,"sources":[{"domain":"sofiasalud.com","uri":"http://sofiasalud.com","extracted_on":"2024-06-25","last_seen_on":"2024-12-26","still_on_page":true},{"domain":"sofiasalud.com","uri":"http://sofiasalud.com/blog","extracted_on":"2023-07-01","last_seen_on":"2024-12-26","still_on_page":true},{"domain":"sofiasalud.com","uri":"http://sofiasalud.com/otros/aviso-de-privacidad","extracted_on":"2023-10-01","last_seen_on":"2024-12-26","still_on_page":true},{"domain":"sofiasalud.com","uri":"http://sofiasalud.com/otros/terminos-y-condiciones","extracted_on":"2023-10-01","last_seen_on":"2024-12-26","still_on_page":true},{"domain":"sofiasalud.com","uri":"http://sofiasalud.com/otros/une","extracted_on":"2023-10-01","last_seen_on":"2024-12-26","still_on_page":true},{"domain":"mundoventure.com","uri":"http://mundoventure.com/startup-de-la-semana-sofia","extracted_on":"2023-06-15","last_seen_on":"2023-10-30","still_on_page":false}],"first_name":null,"last_name":null,"position":null,"position_raw":null,"seniority":null,"department":null,"linkedin":null,"twitter":null,"phone_number":null,"verification":{"date":null,"status":null}},{"value":"ayuda@sofiasalud.com","type":"generic","confidence":89,"sources":[{"domain":"sofiasalud.com","uri":"http://sofiasalud.com/otros/aviso-de-privacidad","extracted_on":"2023-03-31","last_seen_on":"2024-12-26","still_on_page":true},{"domain":"sofiasalud.com","uri":"http://sofiasalud.com/otros/terminos-y-condiciones","extracted_on":"2023-03-31","last_seen_on":"2024-12-26","still_on_page":true},{"domain":"website.sofiasalud.com","uri":"http://website.sofiasalud.com/cotizador","extracted_on":"2021-09-06","last_seen_on":"2023-03-06","still_on_page":false},{"domain":"sofiasalud.com","uri":"http://sofiasalud.com/aviso-de-privacidad","extracted_on":"2021-01-09","last_seen_on":"2021-01-09","still_on_page":false},{"domain":"sofiasalud.com","uri":"http://sofiasalud.com/terminos-y-condiciones-de-uso","extracted_on":"2020-12-30","last_seen_on":"2021-01-09","still_on_page":false}],"first_name":null,"last_name":null,"position":null,"position_raw":null,"seniority":null,"department":null,"linkedin":null,"twitter":null,"phone_number":null,"verification":{"date":null,"status":null}},{"value":"titularune@sofiasalud.com","type":"personal","confidence":88,"sources":[{"domain":"sofiasalud.com","uri":"http://sofiasalud.com/otros/une","extracted_on":"2023-03-31","last_seen_on":"2024-12-26","still_on_page":true}],"first_name":null,"last_name":null,"position":null,"position_raw":null,"seniority":null,"department":null,"linkedin":null,"twitter":null,"phone_number":null,"verification":{"date":null,"status":null}},{"value":"contacto@sofiasalud.com","type":"generic","confidence":75,"sources":[{"domain":"sofiasalud.com","uri":"http://sofiasalud.com/otros/terminos-y-condiciones","extracted_on":"2023-03-31","last_seen_on":"2024-12-26","still_on_page":true}],"first_name":null,"last_name":null,"position":null,"position_raw":null,"seniority":null,"department":"support","linkedin":null,"twitter":null,"phone_number":null,"verification":{"date":null,"status":null}}]</t>
  </si>
  <si>
    <t>For you guys that might mean personalized coverage tiers... or network access.</t>
  </si>
  <si>
    <t>Sofia</t>
  </si>
  <si>
    <t>Sofía</t>
  </si>
  <si>
    <t>latam</t>
  </si>
  <si>
    <t>/companies/sofia/</t>
  </si>
  <si>
    <t>Sofía is a Mexican healthtech company that aims to change how people approach healthcare through extraordinary experiences, products, and services, impacting the health of millions.</t>
  </si>
  <si>
    <t>Arturo Sanchez Correa; Manuel Andere; Sebastián Jiménez Bonnet</t>
  </si>
  <si>
    <t>Team; Team; Neil Rimer; Hannah Seal; Team</t>
  </si>
  <si>
    <t>sylvera.com</t>
  </si>
  <si>
    <t>For you guys that might mean personalized project ratings... or supply data.</t>
  </si>
  <si>
    <t>Sylvera</t>
  </si>
  <si>
    <t>data; fintech</t>
  </si>
  <si>
    <t>/companies/sylvera/</t>
  </si>
  <si>
    <t>Sylvera is the world’s first carbon offset ratings provider that leverages geospatial data, machine learning and proprietary climate data to create a reliable and transparent assessment of carbon offset projects.</t>
  </si>
  <si>
    <t>Allister Furey; Sam Gill</t>
  </si>
  <si>
    <t>Team; Team; Carlos Gonzalez-Cadenas; Julia Andre; Team</t>
  </si>
  <si>
    <t>en.tacto.ai</t>
  </si>
  <si>
    <t>For you guys that might mean personalized supplier onboarding... or risk assessments.</t>
  </si>
  <si>
    <t>Tacto</t>
  </si>
  <si>
    <t>/companies/tacto/</t>
  </si>
  <si>
    <t>Tacto is an AI-based supply-chain operating system tailored specifically to the needs of mid-sized industrial companies.</t>
  </si>
  <si>
    <t>André Petry; Johannes Groll; Nico Bentenrieder</t>
  </si>
  <si>
    <t>weaviate.io</t>
  </si>
  <si>
    <t>[{"value":"rohan@weaviate.io","type":"personal","confidence":99,"sources":[{"domain":"linkedin.com","uri":"https://www.google.com/search?q=site:linkedin.com%20rohan%20thomas%20weaviate","extracted_on":"2025-01-07","last_seen_on":"2025-01-07","still_on_page":true}],"first_name":"Rohan","last_name":"Thomas","position":"Account Executive","position_raw":"Account Executive","seniority":"executive","department":"sales","linkedin":"https://www.linkedin.com/in/rohan-thomas-b91853119","twitter":null,"phone_number":null,"verification":{"date":"2025-01-07","status":"valid"}},{"value":"philip@weaviate.io","type":"personal","confidence":99,"sources":[{"domain":"linkedin.com","uri":"https://www.google.com/search?q=site:linkedin.com%20philip%20vollet%20weaviate","extracted_on":"2025-01-07","last_seen_on":"2025-01-07","still_on_page":true}],"first_name":"Philip","last_name":"Vollet","position":"Director of Developer Relations","position_raw":"Head of Developer Growth","seniority":null,"department":"communication","linkedin":"https://www.linkedin.com/in/philipvollet","twitter":null,"phone_number":null,"verification":{"date":null,"status":null}},{"value":"luke@weaviate.io","type":"personal","confidence":99,"sources":[{"domain":"linkedin.com","uri":"https://www.google.com/search?q=site:linkedin.com%20luke%20mccurry%20weaviate","extracted_on":"2025-01-07","last_seen_on":"2025-01-07","still_on_page":true}],"first_name":"Luke","last_name":"McCurry","position":"Account Executive","position_raw":"Commercial Account Executive","seniority":"executive","department":"sales","linkedin":"https://www.linkedin.com/in/lukemccurry","twitter":null,"phone_number":null,"verification":{"date":"2025-01-07","status":"valid"}},{"value":"ben@weaviate.io","type":"personal","confidence":99,"sources":[{"domain":"linkedin.com","uri":"https://www.google.com/search?q=site:linkedin.com%20ben%20sabrin%20weaviate","extracted_on":"2025-01-03","last_seen_on":"2025-01-03","still_on_page":true}],"first_name":"Ben","last_name":"Sabrin","position":"Vice President of Global Sales","position_raw":"Head of Global Sales","seniority":"executive","department":"sales","linkedin":"https://www.linkedin.com/in/bsabrin","twitter":null,"phone_number":null,"verification":{"date":"2025-01-26","status":"valid"}},{"value":"jobi@weaviate.io","type":"personal","confidence":99,"sources":[{"domain":"linkedin.com","uri":"https://www.google.com/search?q=site:linkedin.com%20jobi%20george%20weaviate","extracted_on":"2025-01-07","last_seen_on":"2025-01-07","still_on_page":true},{"domain":"weaviate.io","uri":"https://careers.weaviate.io/people/1846574-jobi-george","extracted_on":"2024-12-01","last_seen_on":"2024-12-01","still_on_page":true}],"first_name":"Jobi","last_name":"George","position":"Director of Partnerships","position_raw":"Head of Partnerships","seniority":null,"department":"management","linkedin":"https://www.linkedin.com/in/jobigeorge","twitter":null,"phone_number":null,"verification":{"date":null,"status":null}},{"value":"victoria@weaviate.io","type":"personal","confidence":99,"sources":[{"domain":"weaviate.io","uri":"http://weaviate.io/blog/verba-open-source-rag-app","extracted_on":"2024-09-12","last_seen_on":"2024-09-12","still_on_page":true}],"first_name":"Victoria","last_name":"Slocum","position":"Machine Learning Engineer","position_raw":"Machine Learning Engineer","seniority":null,"department":"it","linkedin":"https://www.linkedin.com/in/victoria-slocum-3b4471183","twitter":null,"phone_number":null,"verification":{"date":"2025-02-03","status":"valid"}},{"value":"abdel@weaviate.io","type":"personal","confidence":99,"sources":[{"domain":"weaviate.io","uri":"http://weaviate.io/podcast","extracted_on":"2024-09-12","last_seen_on":"2024-09-12","still_on_page":true}],"first_name":"Abdel","last_name":"Rodriguez","position":"Research Scientist","position_raw":"Vector Index Researcher","seniority":null,"department":"education","linkedin":"https://www.linkedin.com/in/abdel-rodriguez-36533b53","twitter":null,"phone_number":null,"verification":{"date":null,"status":null}},{"value":"parker@weaviate.io","type":"personal","confidence":99,"sources":[{"domain":"weaviate.io","uri":"http://weaviate.io/podcast","extracted_on":"2024-09-12","last_seen_on":"2024-09-12","still_on_page":true}],"first_name":"Parker","last_name":"Duckworth","position":"Software Engineer","position_raw":"Core Engineer","seniority":null,"department":"it","linkedin":"https://www.linkedin.com/in/parkerduckworth","twitter":null,"phone_number":null,"verification":{"date":"2025-01-06","status":"valid"}},{"value":"andre@weaviate.io","type":"personal","confidence":98,"sources":[{"domain":"linkedin.com","uri":"https://www.google.com/search?q=site:linkedin.com%20andre%20duis%20weaviate","extracted_on":"2025-01-07","last_seen_on":"2025-01-07","still_on_page":true}],"first_name":"Andre","last_name":"Duis","position":"Cloud Strategy Director","position_raw":"Head of Cloud Strategy","seniority":null,"department":"management","linkedin":"https://www.linkedin.com/in/andre-duis","twitter":null,"phone_number":null,"verification":{"date":null,"status":null}},{"value":"griffin@weaviate.io","type":"personal","confidence":98,"sources":[{"domain":"linkedin.com","uri":"https://www.google.com/search?q=site:linkedin.com%20griffin%20foster%20weaviate","extracted_on":"2025-01-07","last_seen_on":"2025-01-07","still_on_page":true}],"first_name":"Griffin","last_name":"Foster","position":"Account Executive","position_raw":"Enterprise Account Executive","seniority":"executive","department":"sales","linkedin":"https://www.linkedin.com/in/griffin-foster-aa279b109","twitter":null,"phone_number":null,"verification":{"date":"2025-01-07","status":"valid"}}]</t>
  </si>
  <si>
    <t>For you guys that might mean personalized vector embeddings... or search filters.</t>
  </si>
  <si>
    <t>Weaviate</t>
  </si>
  <si>
    <t>/companies/weaviate/</t>
  </si>
  <si>
    <t>The AI Native Vector Database</t>
  </si>
  <si>
    <t>Bob van Luijt; Etienne Dilocker</t>
  </si>
  <si>
    <t>montonio.com</t>
  </si>
  <si>
    <t>[{"value":"mark@montonio.com","type":"personal","confidence":94,"sources":[{"domain":"linkedin.com","uri":"https://www.google.com/search?q=site:linkedin.com%20mark%20kink%20montonio","extracted_on":"2025-01-14","last_seen_on":"2025-01-14","still_on_page":true}],"first_name":"Mark","last_name":"Kink","position":"Sales Director","position_raw":"Head of Sales","seniority":null,"department":"sales","linkedin":"https://www.linkedin.com/in/mark-erik-kink-464768179","twitter":null,"phone_number":null,"verification":{"date":"2025-02-07","status":"accept_all"}},{"value":"rasmus@montonio.com","type":"personal","confidence":94,"sources":[{"domain":"linkedin.com","uri":"https://www.google.com/search?q=site:linkedin.com%20rasmus%20%C3%B5isma%20montonio","extracted_on":"2025-01-14","last_seen_on":"2025-01-14","still_on_page":true}],"first_name":"Rasmus","last_name":"Õisma","position":"Co-Founder","position_raw":"Co-Founder &amp; management board member","seniority":null,"department":"executive","linkedin":"https://www.linkedin.com/in/rasmus-%c3%b5isma-781aa9122","twitter":null,"phone_number":null,"verification":{"date":"2025-01-14","status":"accept_all"}},{"value":"kristofer@montonio.com","type":"personal","confidence":94,"sources":[{"domain":"linkedin.com","uri":"https://www.google.com/search?q=site:linkedin.com%20kristofer%20turmen%20montonio","extracted_on":"2025-01-13","last_seen_on":"2025-01-13","still_on_page":true}],"first_name":"Kristofer","last_name":"Turmen","position":"Chief Technology Officer","position_raw":"Co-Founder, CTO","seniority":"executive","department":"it","linkedin":"https://www.linkedin.com/in/kristofer-turmen","twitter":null,"phone_number":null,"verification":{"date":"2025-02-10","status":"accept_all"}},{"value":"mike@montonio.com","type":"personal","confidence":93,"sources":[{"domain":"linkedin.com","uri":"https://www.google.com/search?q=site:linkedin.com%20mike%20oliinyk%20montonio","extracted_on":"2025-01-13","last_seen_on":"2025-01-13","still_on_page":true}],"first_name":"Mike","last_name":"Oliinyk","position":"Vice President of Product","position_raw":"VP Product","seniority":"executive","department":"executive","linkedin":"https://www.linkedin.com/in/moliinyk","twitter":null,"phone_number":null,"verification":{"date":"2025-01-27","status":"accept_all"}},{"value":"vita@montonio.com","type":"personal","confidence":93,"sources":[{"domain":"linkedin.com","uri":"https://www.google.com/search?q=site:linkedin.com%20vita%20gvazdauskait%C4%97%20montonio","extracted_on":"2025-01-13","last_seen_on":"2025-01-13","still_on_page":true}],"first_name":"Vita","last_name":"Gvazdauskaitė","position":"Head of Anti-Money Laundering","position_raw":"Head of AML","seniority":"executive","department":"management","linkedin":"https://www.linkedin.com/in/vita-gvazdauskait%c4%97-cams-10427316b","twitter":null,"phone_number":null,"verification":{"date":"2025-01-13","status":"accept_all"}},{"value":"stella@montonio.com","type":"personal","confidence":93,"sources":[{"domain":"linkedin.com","uri":"https://www.google.com/search?q=site:linkedin.com%20stella%20kert%20montonio","extracted_on":"2025-01-13","last_seen_on":"2025-01-13","still_on_page":true}],"first_name":"Stella","last_name":"Kert","position":"Finance Director","position_raw":"Head of Finance","seniority":null,"department":"finance","linkedin":"https://www.linkedin.com/in/stella-kert-9357979","twitter":null,"phone_number":null,"verification":{"date":"2025-01-13","status":"accept_all"}},{"value":"karel@montonio.com","type":"personal","confidence":92,"sources":[{"domain":"linkedin.com","uri":"https://www.google.com/search?q=site:linkedin.com%20karel%20nappus%20montonio","extracted_on":"2025-01-14","last_seen_on":"2025-01-14","still_on_page":true}],"first_name":"Karel","last_name":"Nappus","position":"Chief Operating Officer","position_raw":"Co-founder &amp; Chief Operating Officer","seniority":"executive","department":"executive","linkedin":"https://www.linkedin.com/in/karelnappus","twitter":null,"phone_number":null,"verification":{"date":"2025-02-10","status":"accept_all"}},{"value":"stephen.oneill@montonio.com","type":"personal","confidence":92,"sources":[{"domain":"montonio.com","uri":"http://montonio.com/blog/montonio-appoints-johan-nord-as-ceo","extracted_on":"2024-08-18","last_seen_on":"2024-12-11","still_on_page":true},{"domain":"montonio.com","uri":"http://montonio.com/et/blog/montonio-maarab-uueks-tegevjuhiks-johan-nordi","extracted_on":"2024-08-18","last_seen_on":"2024-12-11","still_on_page":true},{"domain":"montonio.com","uri":"http://montonio.com/pl/blog/montonio-powoluje-johana-norda-na-stanowisko-ceo","extracted_on":"2024-08-18","last_seen_on":"2024-12-11","still_on_page":true},{"domain":"montonio.com","uri":"http://montonio.com/pl/blog/montonio-wzmacnia-uslugi-fintech-o-rozszerzona-licencje-litewskiej-instytucji-platniczej-dodaje-nowe-metody-platnosci-w-polsce","extracted_on":"2023-08-07","last_seen_on":"2024-12-11","still_on_page":true},{"domain":"imalopolska.eu","uri":"http://imalopolska.eu/montonio-18-miesiecy-w-polsce-kamien-milowy-w-kontekscie-strategicznego-wzrostu","extracted_on":"2024-01-24","last_seen_on":"2024-10-24","still_on_page":false},{"domain":"imalopolska.eu","uri":"http://imalopolska.eu/author/imapolska/page/914","extracted_on":"2024-07-27","last_seen_on":"2024-07-28","still_on_page":false},{"domain":"imalopolska.eu","uri":"http://imalopolska.eu/author/imapolska/page/915","extracted_on":"2024-07-28","last_seen_on":"2024-07-28","still_on_page":false},{"domain":"montonio.com","uri":"http://montonio.com/blog/montonio-enhances-fintech-services-with-an-extended-lithuanian-payment-institution-license-adds-new-payment-methods-in-poland","extracted_on":"2023-08-07","last_seen_on":"2023-08-07","still_on_page":false}],"first_name":"Stephen","last_name":"Oneill","position":null,"position_raw":null,"seniority":null,"department":null,"linkedin":null,"twitter":null,"phone_number":null,"verification":{"date":"2025-01-14","status":"accept_all"}},{"value":"henrik@montonio.com","type":"personal","confidence":91,"sources":[{"domain":"linkedin.com","uri":"https://www.google.com/search?q=site:linkedin.com%20henrik%20rank%20montonio","extracted_on":"2025-01-14","last_seen_on":"2025-01-14","still_on_page":true}],"first_name":"Henrik","last_name":"Rank","position":"Co-Founder","position_raw":"Co-Founder &amp; Engineering Manager","seniority":null,"department":"executive","linkedin":"https://www.linkedin.com/in/henrik-rank","twitter":null,"phone_number":null,"verification":{"date":"2025-01-14","status":"accept_all"}},{"value":"stephen@montonio.com","type":"personal","confidence":91,"sources":[{"domain":"linkedin.com","uri":"https://www.google.com/search?q=site:linkedin.com%20stephen%20o%27neill%20montonio","extracted_on":"2025-01-14","last_seen_on":"2025-01-14","still_on_page":true}],"first_name":"Stephen","last_name":"O'Neill","position":"Vice President of Marketing","position_raw":"Vice President Marketing","seniority":"executive","department":"marketing","linkedin":"https://www.linkedin.com/in/stephen-o-neill-24093934","twitter":null,"phone_number":null,"verification":{"date":"2025-01-21","status":"accept_all"}}]</t>
  </si>
  <si>
    <t>For you guys that might mean personalized payment methods... or shipping carriers.</t>
  </si>
  <si>
    <t>Montonio</t>
  </si>
  <si>
    <t>/companies/montonio/</t>
  </si>
  <si>
    <t>Montonio is an all-in-one platform for online merchants to accept payments, offer financing and handle the entire post-checkout experience from shipping to returns and refunds.</t>
  </si>
  <si>
    <t>Markus Lember; Karl Kristjan Kalluste; Karel Nappus; Rasmus Õisma; Henrik Rank; Kristofer Turmen</t>
  </si>
  <si>
    <t>openx.com</t>
  </si>
  <si>
    <t>[{"value":"amanda.story@openx.com","type":"personal","confidence":99,"sources":[{"domain":"linkedin.com","uri":"https://www.google.com/search?q=site:linkedin.com%20amanda%20story%20openx","extracted_on":"2025-01-17","last_seen_on":"2025-01-17","still_on_page":true}],"first_name":"Amanda","last_name":"Story","position":"Technical Account Manager","position_raw":"Technical Account Manager","seniority":"senior","department":"sales","linkedin":"https://www.linkedin.com/in/amanda-story-4149175b","twitter":null,"phone_number":null,"verification":{"date":"2025-01-17","status":"valid"}},{"value":"evan.tarlow@openx.com","type":"personal","confidence":99,"sources":[{"domain":"linkedin.com","uri":"https://www.google.com/search?q=site:linkedin.com%20evan%20tarlow%20openx","extracted_on":"2025-01-07","last_seen_on":"2025-01-07","still_on_page":true}],"first_name":"Evan","last_name":"Tarlow","position":"Account Executive","position_raw":"Senior Account Executive","seniority":"executive","department":"sales","linkedin":"https://www.linkedin.com/in/evan-tarlow-5799a766","twitter":null,"phone_number":null,"verification":{"date":null,"status":null}},{"value":"andrew.goode@openx.com","type":"personal","confidence":99,"sources":[{"domain":"linkedin.com","uri":"https://www.google.com/search?q=site:linkedin.com%20andrew%20goode%20openx","extracted_on":"2025-01-07","last_seen_on":"2025-01-07","still_on_page":true}],"first_name":"Andrew","last_name":"Goode","position":"Vice President of Strategy","position_raw":"Vice President Strategy","seniority":"executive","department":"executive","linkedin":"https://www.linkedin.com/in/andygoode","twitter":null,"phone_number":null,"verification":{"date":"2025-02-17","status":"valid"}},{"value":"olivia.velazquez@openx.com","type":"personal","confidence":99,"sources":[{"domain":"linkedin.com","uri":"https://www.google.com/search?q=site:linkedin.com%20olivia%20velazquez%20openx","extracted_on":"2025-01-07","last_seen_on":"2025-01-07","still_on_page":true}],"first_name":"Olivia","last_name":"Velazquez","position":"Executive Assistant","position_raw":"Executive Assistant to SVP, Buyer Development, SVP, Publisher and Demand Platforms, &amp; VP, Marketing","seniority":"executive","department":"operations","linkedin":"https://www.linkedin.com/in/olivia-velazquez-1141ab1a3","twitter":null,"phone_number":null,"verification":{"date":null,"status":null}},{"value":"andrew.shapiro@openx.com","type":"personal","confidence":99,"sources":[{"domain":"linkedin.com","uri":"https://www.google.com/search?q=site:linkedin.com%20andrew%20shapiro%20openx","extracted_on":"2025-01-07","last_seen_on":"2025-01-07","still_on_page":true}],"first_name":"Andrew","last_name":"Shapiro","position":"Director of Product Management","position_raw":"Director of Product Management","seniority":null,"department":"management","linkedin":"https://www.linkedin.com/in/andrewpetershapiro","twitter":null,"phone_number":null,"verification":{"date":"2025-01-07","status":"valid"}},{"value":"nick.mclellan@openx.com","type":"personal","confidence":99,"sources":[{"domain":"linkedin.com","uri":"https://www.google.com/search?q=site:linkedin.com%20nick%20mclellan%20openx","extracted_on":"2025-01-07","last_seen_on":"2025-01-07","still_on_page":true}],"first_name":"Nick","last_name":"McLellan","position":"Sales Director","position_raw":"EMEA Sales Director","seniority":null,"department":"sales","linkedin":"https://www.linkedin.com/in/nick-mclellan-b76a394b","twitter":null,"phone_number":null,"verification":{"date":"2025-02-18","status":"valid"}},{"value":"bijan.ziaei@openx.com","type":"personal","confidence":99,"sources":[{"domain":"linkedin.com","uri":"https://www.google.com/search?q=site:linkedin.com%20bijan%20ziaei%20openx","extracted_on":"2025-01-07","last_seen_on":"2025-01-07","still_on_page":true}],"first_name":"Bijan","last_name":"Ziaei","position":"Director of Account Management","position_raw":"Director of Account Management, Buyer Development","seniority":null,"department":"sales","linkedin":"https://www.linkedin.com/in/bijan-ziaei-60061861","twitter":null,"phone_number":null,"verification":{"date":"2025-02-16","status":"valid"}},{"value":"craig.becher@openx.com","type":"personal","confidence":99,"sources":[{"domain":"linkedin.com","uri":"https://www.google.com/search?q=site:linkedin.com%20craig%20becher%20openx","extracted_on":"2025-01-07","last_seen_on":"2025-01-07","still_on_page":true}],"first_name":"Craig","last_name":"Becher","position":"Director of Sales","position_raw":"Director of Sales Strategy and Commercialization","seniority":null,"department":"sales","linkedin":"https://www.linkedin.com/in/craigbecher","twitter":null,"phone_number":null,"verification":{"date":"2025-01-07","status":"valid"}},{"value":"rowena.taylor@openx.com","type":"personal","confidence":99,"sources":[{"domain":"linkedin.com","uri":"https://www.google.com/search?q=site:linkedin.com%20rowena%20taylor%20openx","extracted_on":"2025-01-07","last_seen_on":"2025-01-07","still_on_page":true}],"first_name":"Rowena","last_name":"Taylor","position":"Vice President, Publisher Partnerships","position_raw":"VP Publisher Partnerships, EMEA","seniority":null,"department":"executive","linkedin":"https://www.linkedin.com/in/rowena-taylor-2390b750","twitter":null,"phone_number":null,"verification":{"date":"2025-01-07","status":"valid"}},{"value":"andy.hammond@openx.com","type":"personal","confidence":99,"sources":[{"domain":"linkedin.com","uri":"https://www.google.com/search?q=site:linkedin.com%20andy%20hammond%20openx","extracted_on":"2025-01-07","last_seen_on":"2025-01-07","still_on_page":true}],"first_name":"Andy","last_name":"Hammond","position":"Senior Director, Advanced TV","position_raw":"Senior Director, Advanced TV","seniority":null,"department":null,"linkedin":"https://www.linkedin.com/in/andy-hammond-9501382","twitter":null,"phone_number":null,"verification":{"date":"2025-02-16","status":"valid"}}]</t>
  </si>
  <si>
    <t>For you guys that might mean personalized PMPs... or deal IDs.</t>
  </si>
  <si>
    <t>OpenX</t>
  </si>
  <si>
    <t>/companies/openx/</t>
  </si>
  <si>
    <t>A global leader in digital and mobile ad tech, OpenX enables digital media companies to unleash their full economic power by maximising ad revenue. OpenX solutions provide a unique SaaS platform which combines ad serving, a real-time bidding exchange, yield optimisation and content valuation.</t>
  </si>
  <si>
    <t>savvywealth.com</t>
  </si>
  <si>
    <t>[{"value":"brian.boswell@savvywealth.com","type":"personal","confidence":99,"sources":[{"domain":"linkedin.com","uri":"https://www.google.com/search?q=site:linkedin.com%20brian%20boswell%20savvywealth","extracted_on":"2025-01-17","last_seen_on":"2025-01-17","still_on_page":true}],"first_name":"Brian","last_name":"Boswell","position":"Wealth Manager","position_raw":"Wealth Manager","seniority":"senior","department":"finance","linkedin":"https://www.linkedin.com/in/brianboswell","twitter":null,"phone_number":null,"verification":{"date":null,"status":null}},{"value":"eleni@savvywealth.com","type":"personal","confidence":99,"sources":[{"domain":"linkedin.com","uri":"https://www.google.com/search?q=site:linkedin.com%20eleni%20stefanopoulos%20savvywealth","extracted_on":"2025-01-03","last_seen_on":"2025-01-03","still_on_page":true}],"first_name":"Eleni","last_name":"Stefanopoulos","position":"Senior Growth Associate","position_raw":"Senior Strategic Growth Associate","seniority":null,"department":null,"linkedin":"https://www.linkedin.com/in/elenistefanopoulos","twitter":null,"phone_number":null,"verification":{"date":null,"status":null}},{"value":"lauren.george@savvywealth.com","type":"personal","confidence":99,"sources":[{"domain":"linkedin.com","uri":"https://www.google.com/search?q=site:linkedin.com%20lauren%20george%20savvywealth","extracted_on":"2025-01-03","last_seen_on":"2025-01-03","still_on_page":true}],"first_name":"Lauren","last_name":"George","position":"Strategic Growth Advisor","position_raw":"Sr. Strategic Growth Advisor","seniority":null,"department":"operations","linkedin":"https://www.linkedin.com/in/lauren-george-9aa26410b","twitter":null,"phone_number":null,"verification":{"date":null,"status":null}},{"value":"dustin.parsons@savvywealth.com","type":"personal","confidence":99,"sources":[{"domain":"savvywealth.com","uri":"http://savvywealth.com/advisor/dustin-parsons","extracted_on":"2024-11-08","last_seen_on":"2024-11-08","still_on_page":true}],"first_name":"Dustin","last_name":"Parsons","position":"Wealth Manager","position_raw":"Principal Wealth Manager","seniority":"senior","department":"finance","linkedin":"https://www.linkedin.com/in/dustin-parsons-aams%e2%84%a2-84908227","twitter":null,"phone_number":null,"verification":{"date":null,"status":null}},{"value":"rohan@savvywealth.com","type":"personal","confidence":99,"sources":[{"domain":"savvywealth.com","uri":"http://savvywealth.com/about","extracted_on":"2024-11-08","last_seen_on":"2024-11-08","still_on_page":true}],"first_name":"Rohan","last_name":"Reddy","position":"Software Engineer","position_raw":"Software Engineer","seniority":null,"department":"it","linkedin":"https://www.linkedin.com/in/rohan-reddy-583b00111","twitter":null,"phone_number":null,"verification":{"date":"2025-01-13","status":"valid"}},{"value":"maya@savvywealth.com","type":"personal","confidence":99,"sources":[{"domain":"savvywealth.com","uri":"http://savvywealth.com/advisors","extracted_on":"2024-11-08","last_seen_on":"2024-11-08","still_on_page":true},{"domain":"savvywealth.com","uri":"http://savvywealth.com/clients","extracted_on":"2024-11-08","last_seen_on":"2024-11-08","still_on_page":true}],"first_name":"Maya","last_name":"Joelson","position":"Investment Strategist","position_raw":"Global Investment Strategist and Founding Wealth Advisor","seniority":null,"department":"finance","linkedin":"https://www.linkedin.com/in/maya-joelson-759358","twitter":null,"phone_number":null,"verification":{"date":"2025-01-13","status":"valid"}},{"value":"freddy@savvywealth.com","type":"personal","confidence":99,"sources":[{"domain":"savvywealth.com","uri":"http://savvywealth.com/about","extracted_on":"2024-11-08","last_seen_on":"2024-11-08","still_on_page":true},{"domain":"savvywealth.com","uri":"http://savvywealth.com/team","extracted_on":"2023-06-05","last_seen_on":"2023-06-05","still_on_page":false}],"first_name":"Freddy","last_name":"Chen","position":"Engineering Lead","position_raw":"Engineering Lead","seniority":null,"department":"it","linkedin":"https://www.linkedin.com/in/freddychen","twitter":null,"phone_number":null,"verification":{"date":null,"status":null}},{"value":"albert.pinedo@savvywealth.com","type":"personal","confidence":98,"sources":[{"domain":"linkedin.com","uri":"https://www.google.com/search?q=site:linkedin.com%20albert%20pinedo%20savvywealth","extracted_on":"2025-01-17","last_seen_on":"2025-01-17","still_on_page":true}],"first_name":"Albert","last_name":"Pinedo","position":"Wealth Manager","position_raw":"Wealth Manager - CPWA® Certified Private Wealth Advisor® Professional","seniority":"senior","department":"finance","linkedin":"https://www.linkedin.com/in/albert-pinedo-cpwa%c2%ae-3356ab25","twitter":null,"phone_number":null,"verification":{"date":"2025-01-17","status":"valid"}},{"value":"jacqueline@savvywealth.com","type":"personal","confidence":98,"sources":[{"domain":"linkedin.com","uri":"https://www.google.com/search?q=site:linkedin.com%20jacqueline%20tully%20savvywealth","extracted_on":"2025-01-03","last_seen_on":"2025-01-03","still_on_page":true}],"first_name":"Jacqueline","last_name":"Tully","position":"Growth Specialist","position_raw":"Growth Specialist","seniority":null,"department":null,"linkedin":"https://www.linkedin.com/in/jacqueline-tully-85b52a218","twitter":null,"phone_number":null,"verification":{"date":"2025-02-24","status":"valid"}},{"value":"brad.morgan@savvywealth.com","type":"personal","confidence":98,"sources":[{"domain":"savvywealth.com","uri":"http://savvywealth.com/blog-posts/brad-morgan-headlines-next-cohort-of-financial-advisors-to-join-savvy-advisors","extracted_on":"2024-11-08","last_seen_on":"2024-11-08","still_on_page":true}],"first_name":"Brad","last_name":"Morgan","position":"Wealth Advisor","position_raw":"Principal Wealth Advisor","seniority":null,"department":"finance","linkedin":"https://www.linkedin.com/in/bmorgan4","twitter":null,"phone_number":null,"verification":{"date":"2025-01-13","status":"valid"}}]</t>
  </si>
  <si>
    <t>For you guys that might mean personalized financial roadmaps... or investment portfolios.</t>
  </si>
  <si>
    <t>Savvy</t>
  </si>
  <si>
    <t>/companies/savvy/</t>
  </si>
  <si>
    <t>Modern Wealth Management for Modern Professionals</t>
  </si>
  <si>
    <t>Ritik Malhotra</t>
  </si>
  <si>
    <t>swile.co</t>
  </si>
  <si>
    <t>[{"value":"sandra.martins@swile.co","type":"personal","confidence":99,"sources":[{"domain":"idcfrance.fr","uri":"http://idcfrance.fr/exemples","extracted_on":"2021-06-10","last_seen_on":"2025-02-09","still_on_page":true}],"first_name":"Sandra","last_name":"Martins","position":"Inside Sales Manager","position_raw":"Inside Sales Manager","seniority":"senior","department":"sales","linkedin":"https://www.linkedin.com/in/sandra-martins-5216b2108","twitter":null,"phone_number":null,"verification":{"date":"2025-02-20","status":"valid"}},{"value":"partenariats@swile.co","type":"generic","confidence":98,"sources":[{"domain":"socialcse.fr","uri":"http://socialcse.fr/swile-cest-loffre-titres-resto-qui-change-la-donne","extracted_on":"2024-02-29","last_seen_on":"2024-11-29","still_on_page":true}],"first_name":null,"last_name":null,"position":null,"position_raw":null,"seniority":null,"department":null,"linkedin":null,"twitter":null,"phone_number":null,"verification":{"date":"2025-01-22","status":"valid"}},{"value":"dpo@swile.co","type":"generic","confidence":98,"sources":[{"domain":"soon-universe.com","uri":"http://soon-universe.com/politique-de-confidentialit%c3%a9","extracted_on":"2022-08-30","last_seen_on":"2025-02-09","still_on_page":true},{"domain":"bimpli.com","uri":"http://bimpli.com/conditions-generales-dutilisation","extracted_on":"2024-07-23","last_seen_on":"2024-12-08","still_on_page":true},{"domain":"comiteo.net","uri":"http://comiteo.net/mentions-legales","extracted_on":"2024-02-01","last_seen_on":"2024-10-14","still_on_page":false},{"domain":"cadostore.com","uri":"http://cadostore.com/cookies","extracted_on":"2024-09-16","last_seen_on":"2024-09-16","still_on_page":false},{"domain":"swile.co","uri":"http://swile.co/en/legal/cookies","extracted_on":"2023-01-18","last_seen_on":"2024-06-26","still_on_page":false},{"domain":"swile.co","uri":"http://swile.co/en/legal/privacy","extracted_on":"2023-01-18","last_seen_on":"2024-06-26","still_on_page":false},{"domain":"swile.co","uri":"http://swile.co/en/legal/terms-meal-vouchers-user","extracted_on":"2023-10-18","last_seen_on":"2024-06-26","still_on_page":false},{"domain":"swile.co","uri":"http://swile.co/fr-fr/legal/cgps-mobilite-beneficiaires","extracted_on":"2024-06-26","last_seen_on":"2024-06-26","still_on_page":false},{"domain":"swile.co","uri":"http://swile.co/fr-fr/legal/privacy","extracted_on":"2023-10-18","last_seen_on":"2024-06-26","still_on_page":false},{"domain":"athome-community.fr","uri":"http://athome-community.fr/legal","extracted_on":"2022-09-23","last_seen_on":"2022-10-14","still_on_page":false}],"first_name":null,"last_name":null,"position":null,"position_raw":null,"seniority":null,"department":null,"linkedin":null,"twitter":null,"phone_number":null,"verification":{"date":null,"status":null}},{"value":"presse@swile.co","type":"generic","confidence":97,"sources":[{"domain":"swile.co","uri":"http://swile.co/en/press","extracted_on":"2023-10-18","last_seen_on":"2024-12-29","still_on_page":true},{"domain":"swile.co","uri":"http://swile.co/fr-fr/press","extracted_on":"2023-10-18","last_seen_on":"2024-12-28","still_on_page":true},{"domain":"swile.co","uri":"http://swile.co/pt-br/imprensa","extracted_on":"2023-01-18","last_seen_on":"2024-12-28","still_on_page":true},{"domain":"boxystore.co","uri":"http://boxystore.co/en/media-kit","extracted_on":"2023-10-26","last_seen_on":"2024-04-26","still_on_page":false},{"domain":"boxystore.co","uri":"http://boxystore.co/media-kit","extracted_on":"2023-10-26","last_seen_on":"2024-04-26","still_on_page":false},{"domain":"getboxy.co","uri":"http://getboxy.co/en/media-kit","extracted_on":"2022-12-08","last_seen_on":"2023-09-07","still_on_page":false},{"domain":"getboxy.co","uri":"http://getboxy.co/media-kit","extracted_on":"2022-12-08","last_seen_on":"2023-09-07","still_on_page":false}],"first_name":null,"last_name":null,"position":null,"position_raw":null,"seniority":null,"department":"communication","linkedin":null,"twitter":null,"phone_number":null,"verification":{"date":null,"status":null}},{"value":"hello@swile.co","type":"generic","confidence":96,"sources":[{"domain":"cfdtcovea.fr","uri":"http://cfdtcovea.fr/swile-la-plateforme-qui-regroupe-tes-avantages","extracted_on":"2023-01-30","last_seen_on":"2025-01-30","still_on_page":true},{"domain":"cfdtcovea.fr","uri":"http://cfdtcovea.fr/titres-cultures-swile-se-faire-plaisir-a-moindre-cout","extracted_on":"2024-01-22","last_seen_on":"2025-01-23","still_on_page":true},{"domain":"swile.co","uri":"http://swile.co/fr-fr/legal/cgps-mobilite-beneficiaires","extracted_on":"2024-06-26","last_seen_on":"2024-12-30","still_on_page":true},{"domain":"swile.co","uri":"http://swile.co/fr-fr/legal/cgu-plateforme-swile-utilisateurs","extracted_on":"2024-09-29","last_seen_on":"2024-12-29","still_on_page":true},{"domain":"swile.co","uri":"http://swile.co/fr-fr/legal/cgv-plateforme-cadeaux-beneficiaires","extracted_on":"2024-06-26","last_seen_on":"2024-12-27","still_on_page":true},{"domain":"swile.co","uri":"http://swile.co/en/legal/terms-meal-vouchers-user","extracted_on":"2023-10-18","last_seen_on":"2024-12-26","still_on_page":true},{"domain":"swile.co","uri":"http://swile.co/fr-fr/legal/guide-utilisation-titres-restaurant","extracted_on":"2024-06-26","last_seen_on":"2024-12-26","still_on_page":true},{"domain":"parsers.vc","uri":"http://parsers.vc/startup/swile.co","extracted_on":"2022-11-20","last_seen_on":"2024-12-14","still_on_page":true},{"domain":"france-contact.fr","uri":"http://france-contact.fr/service-client-swile","extracted_on":"2023-08-28","last_seen_on":"2023-08-28","still_on_page":false}],"first_name":null,"last_name":null,"position":null,"position_raw":null,"seniority":null,"department":"support","linkedin":null,"twitter":null,"phone_number":null,"verification":{"date":"2025-02-21","status":"valid"}},{"value":"thedaily@swile.co","type":"generic","confidence":95,"sources":[{"domain":"thedaily.swile.co","uri":"http://thedaily.swile.co/futur-entreprise-benoit-serre","extracted_on":"2024-08-21","last_seen_on":"2025-02-21","still_on_page":true},{"domain":"thedaily.swile.co","uri":"http://thedaily.swile.co/manifesto","extracted_on":"2024-05-05","last_seen_on":"2025-02-08","still_on_page":true},{"domain":"thedaily.swile.co","uri":"http://thedaily.swile.co/arret-menstruel-facteur-degalite-professionnelle","extracted_on":"2024-05-05","last_seen_on":"2025-02-07","still_on_page":true},{"domain":"thedaily.swile.co","uri":"http://thedaily.swile.co/category/culture-taf","extracted_on":"2024-05-05","last_seen_on":"2025-02-07","still_on_page":true},{"domain":"thedaily.swile.co","uri":"http://thedaily.swile.co/category/societe","extracted_on":"2024-05-05","last_seen_on":"2025-02-05","still_on_page":true}],"first_name":null,"last_name":null,"position":null,"position_raw":null,"seniority":null,"department":null,"linkedin":null,"twitter":null,"phone_number":null,"verification":{"date":null,"status":null}},{"value":"anais.budin@swile.co","type":"personal","confidence":94,"sources":[{"domain":"cdg34.fr","uri":"http://cdg34.fr/actualites/detail/marche-titre-resto","extracted_on":"2024-10-13","last_seen_on":"2025-02-12","still_on_page":true}],"first_name":"Anaïs","last_name":"Budin","position":"Account Manager","position_raw":"Chargée d'Affaires Secteur Public","seniority":"senior","department":"sales","linkedin":"https://www.linkedin.com/in/ana%c3%afs-budin-408a67b3","twitter":null,"phone_number":null,"verification":{"date":"2025-02-09","status":"valid"}},{"value":"sustainability@swile.co","type":"generic","confidence":76,"sources":[{"domain":"swile.co","uri":"http://swile.co/en/csr","extracted_on":"2023-01-18","last_seen_on":"2024-12-26","still_on_page":true},{"domain":"swile.co","uri":"http://swile.co/fr-fr/csr","extracted_on":"2023-10-18","last_seen_on":"2024-12-26","still_on_page":true}],"first_name":null,"last_name":null,"position":null,"position_raw":null,"seniority":null,"department":null,"linkedin":null,"twitter":null,"phone_number":null,"verification":{"date":null,"status":null}}]</t>
  </si>
  <si>
    <t>For you guys that might mean personalized budgets or card settings.</t>
  </si>
  <si>
    <t>Swile</t>
  </si>
  <si>
    <t>/companies/swile/</t>
  </si>
  <si>
    <t>The must-have app for life at work</t>
  </si>
  <si>
    <t>Loïc Soubeyrand</t>
  </si>
  <si>
    <t>Team; Team; Martin Mignot; Dominique Vidal; Team</t>
  </si>
  <si>
    <t>vizcom.ai</t>
  </si>
  <si>
    <t>[{"value":"eden@vizcom.ai","type":"personal","confidence":99,"sources":[{"domain":"linkedin.com","uri":"https://www.google.com/search?q=site:linkedin.com%20eden%20mcfadden%20vizcom","extracted_on":"2025-01-03","last_seen_on":"2025-01-03","still_on_page":true}],"first_name":"Eden","last_name":"Mcfadden","position":null,"position_raw":null,"seniority":null,"department":null,"linkedin":"https://www.linkedin.com/in/edenmcfadden","twitter":null,"phone_number":null,"verification":{"date":"2025-01-20","status":"valid"}},{"value":"kaelan@vizcom.ai","type":"personal","confidence":99,"sources":[{"domain":"hacolyte.com","uri":"http://hacolyte.com/item/38099086","extracted_on":"2023-11-15","last_seen_on":"2025-02-24","still_on_page":true},{"domain":"lookremote.work","uri":"http://lookremote.work/jobs/senior-fullstack-software-engineer-vizcom","extracted_on":"2024-07-13","last_seen_on":"2025-01-29","still_on_page":true},{"domain":"linkedin.com","uri":"https://www.google.com/search?q=site:linkedin.com%20kaelan%20richards%20vizcom","extracted_on":"2025-01-08","last_seen_on":"2025-01-08","still_on_page":true},{"domain":"read.cv","uri":"http://read.cv/kadokaelan","extracted_on":"2023-08-28","last_seen_on":"2024-12-01","still_on_page":true},{"domain":"read.cv","uri":"http://read.cv/teams/vizcom","extracted_on":"2023-04-03","last_seen_on":"2024-12-01","still_on_page":true},{"domain":"remotify.me","uri":"http://remotify.me/remote-job/37239/remote-senior-fullstack-software-engineer","extracted_on":"2023-11-18","last_seen_on":"2024-05-19","still_on_page":false},{"domain":"uprightremotejobs.com","uri":"http://uprightremotejobs.com/job/64ba50332c00cf016c39b531","extracted_on":"2023-10-10","last_seen_on":"2024-04-17","still_on_page":false},{"domain":"workallremote.com","uri":"http://workallremote.com/vizcom-senior-fullstack-software-engineer","extracted_on":"2024-01-23","last_seen_on":"2024-01-23","still_on_page":false},{"domain":"hnhiring.com","uri":"http://hnhiring.com/locations/remote","extracted_on":"2022-12-01","last_seen_on":"2024-01-02","still_on_page":false},{"domain":"hnhiring.com","uri":"http://hnhiring.com/locations/sf","extracted_on":"2023-11-02","last_seen_on":"2024-01-02","still_on_page":false},{"domain":"remoteworkers.net","uri":"http://remoteworkers.net/remote-jobs/programming/senior-fullstack-software-engineer-at-vizcom","extracted_on":"2023-07-22","last_seen_on":"2023-10-23","still_on_page":false},{"domain":"weworkremotely.com","uri":"http://weworkremotely.com/remote-jobs/vizcom-senior-fullstack-software-engineer","extracted_on":"2023-07-31","last_seen_on":"2023-07-31","still_on_page":false}],"first_name":"Kaelan","last_name":"Richards","position":"Co-Founder","position_raw":"Co-Founder and CTO","seniority":null,"department":"executive","linkedin":"https://www.linkedin.com/in/kaelanr","twitter":null,"phone_number":null,"verification":{"date":"2025-01-20","status":"valid"}},{"value":"scott@vizcom.ai","type":"personal","confidence":98,"sources":[{"domain":"linkedin.com","uri":"https://www.google.com/search?q=site:linkedin.com%20scott%20robertson%20vizcom","extracted_on":"2025-01-03","last_seen_on":"2025-01-03","still_on_page":true}],"first_name":"Scott","last_name":"Robertson","position":null,"position_raw":null,"seniority":null,"department":null,"linkedin":"https://www.linkedin.com/in/scott-robertson-a60a094","twitter":null,"phone_number":null,"verification":{"date":"2025-01-20","status":"valid"}},{"value":"aishwarya@vizcom.ai","type":"personal","confidence":98,"sources":[{"domain":"vizcom.ai","uri":"https://www.vizcom.ai/careers","extracted_on":"2024-09-21","last_seen_on":"2024-09-21","still_on_page":true}],"first_name":"Aishwarya","last_name":"Bagaria","position":null,"position_raw":null,"seniority":null,"department":null,"linkedin":"https://www.linkedin.com/in/aishwarya-bagaria","twitter":null,"phone_number":null,"verification":{"date":"2025-01-28","status":"valid"}},{"value":"alisa@vizcom.ai","type":"personal","confidence":97,"sources":[{"domain":"linkedin.com","uri":"https://www.google.com/search?q=site:linkedin.com%20alisa%20parrett%20vizcom","extracted_on":"2025-01-03","last_seen_on":"2025-01-03","still_on_page":true}],"first_name":"Alisa","last_name":"Parrett","position":"Director of Operations","position_raw":"Head of Operations","seniority":null,"department":"executive","linkedin":"https://www.linkedin.com/in/aparrett","twitter":null,"phone_number":null,"verification":{"date":"2025-02-17","status":"valid"}},{"value":"brooke@vizcom.ai","type":"personal","confidence":97,"sources":[{"domain":"linkedin.com","uri":"https://www.google.com/search?q=site:linkedin.com%20brooke%20harrington%20vizcom","extracted_on":"2025-01-03","last_seen_on":"2025-01-03","still_on_page":true}],"first_name":"Brooke","last_name":"Harrington","position":"Product Designer","position_raw":"Head of Product Design","seniority":null,"department":"design","linkedin":"https://www.linkedin.com/in/brookeharrington","twitter":null,"phone_number":null,"verification":{"date":"2025-01-28","status":"valid"}},{"value":"steve@vizcom.ai","type":"personal","confidence":96,"sources":[{"domain":"linkedin.com","uri":"https://www.google.com/search?q=site:linkedin.com%20steve%20caditz%20vizcom","extracted_on":"2025-01-03","last_seen_on":"2025-01-03","still_on_page":true}],"first_name":"Steve","last_name":"Caditz","position":null,"position_raw":null,"seniority":null,"department":null,"linkedin":"https://www.linkedin.com/in/stevencaditz","twitter":null,"phone_number":null,"verification":{"date":null,"status":null}},{"value":"jordan@vizcom.ai","type":"personal","confidence":96,"sources":[{"domain":"linkedin.com","uri":"https://www.google.com/search?q=site:linkedin.com%20jordan%20taylor%20vizcom","extracted_on":"2025-01-07","last_seen_on":"2025-01-07","still_on_page":true},{"domain":"bestgentools.ai","uri":"http://bestgentools.ai/tools/vizcom","extracted_on":"2023-08-08","last_seen_on":"2024-12-01","still_on_page":true},{"domain":"read.cv","uri":"http://read.cv/teams/vizcom","extracted_on":"2023-04-03","last_seen_on":"2024-12-01","still_on_page":true},{"domain":"growthjunkie.com","uri":"http://growthjunkie.com/tag/product-design","extracted_on":"2023-11-23","last_seen_on":"2024-11-30","still_on_page":true},{"domain":"todaysfarmer.ca","uri":"http://todaysfarmer.ca/newsfile/151999-vizcom-announces-the-closing-of-their-5-million-usd-seed-round/wcm/a705eb0f-1968-4266-bf51-d26b6e67967d/amp","extracted_on":"2023-01-23","last_seen_on":"2023-05-12","still_on_page":false},{"domain":"gananoquereporter.com","uri":"http://gananoquereporter.com/newsfile/151999-vizcom-announces-the-closing-of-their-5-million-usd-seed-round","extracted_on":"2023-01-23","last_seen_on":"2023-04-30","still_on_page":false},{"domain":"todaysfarmer.ca","uri":"http://todaysfarmer.ca/newsfile/151999-vizcom-announces-the-closing-of-their-5-million-usd-seed-round","extracted_on":"2023-01-23","last_seen_on":"2023-04-25","still_on_page":false},{"domain":"backgroundsgiant.com","uri":"http://backgroundsgiant.com/the-visual-design-company-that-is-seeking-to-expedite-the-process-of-having-an-idea-and-bringing-it-to-life","extracted_on":"2023-02-18","last_seen_on":"2023-02-18","still_on_page":false},{"domain":"backgroundsgiant.com","uri":"http://backgroundsgiant.com/the-visual-design-company-that-is-seeking-to-expedite-the-process-of-having-an-idea-and-bringing-it-to-life-2","extracted_on":"2023-02-18","last_seen_on":"2023-02-18","still_on_page":false}],"first_name":"Jordan","last_name":"Taylor","position":"CEO","position_raw":"Co-Founder &amp; CEO","seniority":"executive","department":"executive","linkedin":"https://www.linkedin.com/in/jordan-taylor-4490797a","twitter":null,"phone_number":null,"verification":{"date":"2025-02-20","status":"valid"}},{"value":"emil@vizcom.ai","type":"personal","confidence":95,"sources":[{"domain":"linkedin.com","uri":"https://www.google.com/search?q=site:linkedin.com%20emil%20lukas%20vizcom","extracted_on":"2025-01-07","last_seen_on":"2025-01-07","still_on_page":true}],"first_name":"Emil","last_name":"Lukas","position":"Product Implementation Executive","position_raw":"Executive of Product Implementation","seniority":"executive","department":"executive","linkedin":"https://www.linkedin.com/in/emil-lukas-160a46158","twitter":null,"phone_number":null,"verification":{"date":"2025-01-07","status":"valid"}},{"value":"amy@vizcom.ai","type":"personal","confidence":94,"sources":[{"domain":"linkedin.com","uri":"https://www.google.com/search?q=site:linkedin.com%20amy%20cun%20vizcom","extracted_on":"2025-01-03","last_seen_on":"2025-01-03","still_on_page":true}],"first_name":"Amy","last_name":"Cun","position":"UX Designer","position_raw":"Enterprise UX Design &amp; Sales Specialist","seniority":null,"department":"design","linkedin":"https://www.linkedin.com/in/amy-cun-475a64103","twitter":null,"phone_number":null,"verification":{"date":"2025-02-24","status":"unknown"}}]</t>
  </si>
  <si>
    <t>For you guys that might mean personalized textures or lighting.</t>
  </si>
  <si>
    <t>Vizcom</t>
  </si>
  <si>
    <t>/companies/vizcom/</t>
  </si>
  <si>
    <t>Deploying AI to transform the future of industrial product visualization and design at the speed of thought.</t>
  </si>
  <si>
    <t>Jordan Taylor; Kaelan Richards</t>
  </si>
  <si>
    <t>wetravel.com</t>
  </si>
  <si>
    <t>[{"value":"mary@wetravel.com","type":"personal","confidence":94,"sources":[{"domain":"linkedin.com","uri":"https://www.google.com/search?q=site:linkedin.com%20mary%20grant%20wetravel","extracted_on":"2025-01-14","last_seen_on":"2025-01-14","still_on_page":true}],"first_name":"Mary","last_name":"Grant","position":"Account Executive","position_raw":"Senior Account Executive","seniority":"executive","department":"sales","linkedin":"https://www.linkedin.com/in/mary-grant-230970131","twitter":null,"phone_number":null,"verification":{"date":"2025-02-20","status":"accept_all"}},{"value":"jeremy@wetravel.com","type":"personal","confidence":94,"sources":[{"domain":"linkedin.com","uri":"https://www.google.com/search?q=site:linkedin.com%20jeremy%20laplante%20wetravel","extracted_on":"2025-01-14","last_seen_on":"2025-01-14","still_on_page":true}],"first_name":"Jeremy","last_name":"LaPlante","position":"Vice President of Growth","position_raw":"VP of Growth","seniority":"executive","department":"executive","linkedin":"https://www.linkedin.com/in/jeremy-laplante-08037319","twitter":null,"phone_number":null,"verification":{"date":"2025-02-08","status":"accept_all"}},{"value":"trista@wetravel.com","type":"personal","confidence":94,"sources":[{"domain":"linkedin.com","uri":"https://www.google.com/search?q=site:linkedin.com%20trista%20williams%20wetravel","extracted_on":"2025-01-14","last_seen_on":"2025-01-14","still_on_page":true}],"first_name":"Trista","last_name":"Williams","position":"Account Executive","position_raw":"Account Executive","seniority":"executive","department":"sales","linkedin":"https://www.linkedin.com/in/tristagwilliams","twitter":null,"phone_number":null,"verification":{"date":"2025-02-08","status":"accept_all"}},{"value":"brandon@wetravel.com","type":"personal","confidence":94,"sources":[{"domain":"linkedin.com","uri":"https://www.google.com/search?q=site:linkedin.com%20brandon%20thompson%20wetravel","extracted_on":"2025-01-14","last_seen_on":"2025-01-14","still_on_page":true}],"first_name":"Brandon","last_name":"Thompson","position":"Account Executive","position_raw":"Account Executive","seniority":"executive","department":"sales","linkedin":"https://www.linkedin.com/in/brandon-thompson-42b45b123","twitter":null,"phone_number":null,"verification":{"date":"2025-02-08","status":"accept_all"}},{"value":"mattia@wetravel.com","type":"personal","confidence":94,"sources":[{"domain":"linkedin.com","uri":"https://www.google.com/search?q=site:linkedin.com%20mattia%20gubbini%20wetravel","extracted_on":"2025-01-14","last_seen_on":"2025-01-14","still_on_page":true}],"first_name":"Mattia","last_name":"Gubbini","position":"Account Executive","position_raw":"Account Executive","seniority":"executive","department":"sales","linkedin":"https://www.linkedin.com/in/mattia-gubbini-1a6480161","twitter":null,"phone_number":null,"verification":{"date":"2025-02-08","status":"accept_all"}},{"value":"alexander@wetravel.com","type":"personal","confidence":94,"sources":[{"domain":"linkedin.com","uri":"https://www.google.com/search?q=site:linkedin.com%20alexander%20spear%20wetravel","extracted_on":"2025-01-14","last_seen_on":"2025-01-14","still_on_page":true}],"first_name":"Alexander","last_name":"Spear","position":"Sales Enablement Manager","position_raw":"Head of Sales Enablement","seniority":"senior","department":"sales","linkedin":"https://www.linkedin.com/in/aspearski","twitter":null,"phone_number":null,"verification":{"date":"2025-02-11","status":"accept_all"}},{"value":"johannes@wetravel.com","type":"personal","confidence":94,"sources":[{"domain":"linkedin.com","uri":"https://www.google.com/search?q=site:linkedin.com%20johannes%20k%C3%B6ppel%20wetravel","extracted_on":"2025-01-14","last_seen_on":"2025-01-14","still_on_page":true}],"first_name":"Johannes","last_name":"Köppel","position":"Chief Product Officer","position_raw":"Chief Product Officer / Co-Founder","seniority":"executive","department":"executive","linkedin":"https://www.linkedin.com/in/johanneskoeppel","twitter":null,"phone_number":null,"verification":{"date":"2025-02-08","status":"accept_all"}},{"value":"javier@wetravel.com","type":"personal","confidence":94,"sources":[{"domain":"linkedin.com","uri":"https://www.google.com/search?q=site:linkedin.com%20javier%20rivera%20wetravel","extracted_on":"2025-01-14","last_seen_on":"2025-01-14","still_on_page":true}],"first_name":"Javier","last_name":"Rivera","position":"Account Executive","position_raw":"Account Executive","seniority":"executive","department":"sales","linkedin":"https://www.linkedin.com/in/javier-andr%c3%a9-ch%c3%a9vez-rivera-b7484a217","twitter":null,"phone_number":null,"verification":{"date":"2025-02-08","status":"accept_all"}},{"value":"benjie@wetravel.com","type":"personal","confidence":94,"sources":[{"domain":"linkedin.com","uri":"https://www.google.com/search?q=site:linkedin.com%20benjie%20olafsson%20wetravel","extracted_on":"2025-02-17","last_seen_on":"2025-02-17","still_on_page":true}],"first_name":"Benjie","last_name":"Olafsson","position":"Account Executive","position_raw":"Account Executive","seniority":"executive","department":"sales","linkedin":"https://www.linkedin.com/in/benjie-rose-olafsson-21990a53","twitter":null,"phone_number":null,"verification":{"date":"2025-02-17","status":"accept_all"}},{"value":"colton@wetravel.com","type":"personal","confidence":94,"sources":[{"domain":"linkedin.com","uri":"https://www.google.com/search?q=site:linkedin.com%20colton%20dehart%20wetravel","extracted_on":"2025-01-13","last_seen_on":"2025-01-13","still_on_page":true}],"first_name":"Colton","last_name":"Dehart","position":"Account Executive","position_raw":"Account Executive","seniority":"executive","department":"sales","linkedin":"https://www.linkedin.com/in/colton-dehart-514775a5","twitter":null,"phone_number":null,"verification":{"date":"2025-01-13","status":"accept_all"}}]</t>
  </si>
  <si>
    <t>For you guys that might mean personalized trip itineraries... or payment plans.</t>
  </si>
  <si>
    <t>WeTravel</t>
  </si>
  <si>
    <t>/companies/wetravel/</t>
  </si>
  <si>
    <t>A complete booking and payment solution for multi-day and group travel companies of all sizes.</t>
  </si>
  <si>
    <t>Johannes Koeppel</t>
  </si>
  <si>
    <t>ramp.com</t>
  </si>
  <si>
    <t>[{"value":"mdugger@ramp.com","type":"personal","confidence":94,"sources":[{"domain":"faqs.org","uri":"http://faqs.org/faqs/libertarian/party/officials/state","extracted_on":"2018-11-01","last_seen_on":"2024-12-30","still_on_page":true}],"first_name":"Mike","last_name":"Dugger","position":null,"position_raw":null,"seniority":null,"department":null,"linkedin":null,"twitter":null,"phone_number":null,"verification":{"date":"2025-02-20","status":"accept_all"}},{"value":"dwilliamson@ramp.com","type":"personal","confidence":94,"sources":[{"domain":"pbs.org","uri":"http://pbs.org/about/blogs/news/pbsorg-launches-video-search-capabilities","extracted_on":"2016-11-18","last_seen_on":"2025-02-18","still_on_page":true},{"domain":"cnbc.com","uri":"http://cnbc.com/id/100154688","extracted_on":"2018-03-16","last_seen_on":"2025-02-16","still_on_page":true},{"domain":"streamingmedia.com","uri":"http://streamingmedia.com/pressrelease/ramp-delivers-scalable-and-automated-video-content-spotlighting-with-release-of-ramp-metaq_31963.aspx","extracted_on":"2016-11-10","last_seen_on":"2024-12-17","still_on_page":true},{"domain":"businesswire.com","uri":"http://businesswire.com/news/home/20120625005466/en/ramp-announces-brightcove-video-cloud-integration-generation","extracted_on":"2015-07-28","last_seen_on":"2023-08-21","still_on_page":true},{"domain":"about.lunchbox.pbs.org","uri":"http://about.lunchbox.pbs.org/blogs/news/pbsorg-launches-video-search-capabilities","extracted_on":"2017-05-10","last_seen_on":"2020-11-05","still_on_page":false},{"domain":"travelagewest.com","uri":"http://travelagewest.com/press-releases/travelage-west-selects-ramp-for-content-optimization","extracted_on":"2016-11-04","last_seen_on":"2018-02-15","still_on_page":false},{"domain":"ramp.com","uri":"http://ramp.com/press-release/ramp-adds-key-marketing-sales-executives-to-support-aggressive-growth","extracted_on":"2016-09-19","last_seen_on":"2017-09-12","still_on_page":false},{"domain":"ramp.com","uri":"http://ramp.com/press-release/ramp-announces-general-availability-of-mediacloud-for-sharepoint","extracted_on":"2016-09-19","last_seen_on":"2017-09-12","still_on_page":false},{"domain":"ramp.com","uri":"http://ramp.com/press-release/ramp-issued-two-new-patents-supporting-core-mediacloud-platform","extracted_on":"2015-04-27","last_seen_on":"2016-11-19","still_on_page":false},{"domain":"ramp.com","uri":"http://ramp.com/press-release/ramp-issued-two-new-patents-supporting-core-mediacloud-platform/","extracted_on":"2015-08-28","last_seen_on":"2016-10-06","still_on_page":false}],"first_name":"Denise","last_name":"Williamson","position":null,"position_raw":null,"seniority":null,"department":null,"linkedin":null,"twitter":null,"phone_number":"+1 857 202 3538","verification":{"date":"2025-02-12","status":"accept_all"}},{"value":"ssasser@ramp.com","type":"personal","confidence":93,"sources":[{"domain":"allcaliforniaattorneys.com","uri":"http://allcaliforniaattorneys.com/attorney/305114/scott-aaron-sasser","extracted_on":"2023-06-14","last_seen_on":"2024-12-17","still_on_page":true}],"first_name":"Scott","last_name":"Sasser","position":"Director of Legal Operations","position_raw":"Head of Legal Operations","seniority":null,"department":"legal","linkedin":"https://www.linkedin.com/in/scottasasser","twitter":null,"phone_number":null,"verification":{"date":"2025-02-20","status":"accept_all"}},{"value":"trisha@ramp.com","type":"personal","confidence":93,"sources":[{"domain":"spie.org","uri":"http://spie.org/publications/proceedings/volume/10278","extracted_on":"2018-03-07","last_seen_on":"2025-01-10","still_on_page":true},{"domain":"spiedigitallibrary.org","uri":"http://spiedigitallibrary.org/conference-proceedings-of-spie/10278.toc","extracted_on":"2018-08-27","last_seen_on":"2024-11-29","still_on_page":true},{"domain":"spie.org","uri":"http://spie.org/publications/proceedings/paper/10.1117/12.192207","extracted_on":"2018-12-30","last_seen_on":"2023-10-13","still_on_page":false}],"first_name":"Trisha","last_name":"Knutson","position":"Assistant","position_raw":"Assistant","seniority":null,"department":"operations","linkedin":"https://www.linkedin.com/in/trisha-l-knutson-b811b4279","twitter":null,"phone_number":null,"verification":{"date":"2025-02-12","status":"accept_all"}},{"value":"jschneider@ramp.com","type":"personal","confidence":92,"sources":[{"domain":"techbreakfastclub.com","uri":"http://techbreakfastclub.com/p/tech-breakfast-club-election-edition","extracted_on":"2024-12-23","last_seen_on":"2024-12-23","still_on_page":true}],"first_name":"Joley","last_name":"Schneider","position":"Business Development Manager","position_raw":"New Business Development","seniority":"senior","department":"sales","linkedin":"https://www.linkedin.com/in/joley-schneider-1289b6138","twitter":null,"phone_number":null,"verification":{"date":"2025-02-20","status":"accept_all"}},{"value":"cchung@ramp.com","type":"personal","confidence":92,"sources":[{"domain":"read.cv","uri":"http://read.cv/coffeethecat","extracted_on":"2024-12-01","last_seen_on":"2024-12-01","still_on_page":true}],"first_name":"Christian","last_name":"Chung","position":"Technical Recruiter","position_raw":"Technical Recruiting","seniority":null,"department":"it","linkedin":"https://www.linkedin.com/in/christian-chung-a30a04183","twitter":null,"phone_number":null,"verification":{"date":"2025-02-24","status":"accept_all"}},{"value":"support@ramp.com","type":"generic","confidence":91,"sources":[{"domain":"warszawa-rolety.pl","uri":"http://warszawa-rolety.pl/viewtopic/0c8671-ramp-credit-card","extracted_on":"2021-05-23","last_seen_on":"2025-02-24","still_on_page":true},{"domain":"extpose.com","uri":"http://extpose.com/ext/261479","extracted_on":"2023-05-11","last_seen_on":"2025-02-12","still_on_page":true},{"domain":"ramp.com","uri":"http://ramp.com/blog/10-productivity-hacks-for-ramp-cardholders","extracted_on":"2023-02-02","last_seen_on":"2025-01-27","still_on_page":true},{"domain":"ramp.com","uri":"http://ramp.com/blog/tips-and-tricks-for-ramp-admins-supercharge-your-workflows","extracted_on":"2023-05-03","last_seen_on":"2025-01-26","still_on_page":true},{"domain":"support.freshteam.com","uri":"http://support.freshteam.com/support/solutions/articles/19000138199-integrating-ramp-with-freshteam","extracted_on":"2022-12-31","last_seen_on":"2025-01-21","still_on_page":true},{"domain":"apps.xero.com","uri":"http://apps.xero.com/us/function/payments/app/ramp","extracted_on":"2023-04-19","last_seen_on":"2025-01-20","still_on_page":true},{"domain":"subscribed.fyi","uri":"http://subscribed.fyi/blog/ramp-verification-boost-your-efficiency-and-velocity-with-custom-badges","extracted_on":"2023-12-08","last_seen_on":"2025-01-11","still_on_page":true},{"domain":"parsers.vc","uri":"http://parsers.vc/startup/ramp.com","extracted_on":"2022-05-31","last_seen_on":"2025-01-10","still_on_page":true},{"domain":"loannexus.com","uri":"http://loannexus.com/platform/listings/ramp","extracted_on":"2021-12-24","last_seen_on":"2025-01-08","still_on_page":true},{"domain":"apps.xero.com","uri":"http://apps.xero.com/us/function/bills-expenses/app/ramp","extracted_on":"2022-09-30","last_seen_on":"2024-12-30","still_on_page":true},{"domain":"thesmbguide.com","uri":"http://thesmbguide.com/ramp","extracted_on":"2023-01-09","last_seen_on":"2024-12-20","still_on_page":true},{"domain":"wiki.rightatschool.com","uri":"http://wiki.rightatschool.com/books/ramp/page/what-should-i-do-if-my-card-is-declined","extracted_on":"2023-03-12","last_seen_on":"2024-12-14","still_on_page":true},{"domain":"ramp.com","uri":"http://ramp.com/ramp-verification","extracted_on":"2024-02-06","last_seen_on":"2024-12-06","still_on_page":true},{"domain":"apps.xero.com","uri":"http://apps.xero.com/us/industry/franchises/app/ramp","extracted_on":"2023-10-20","last_seen_on":"2024-10-22","still_on_page":false},{"domain":"smcoins.net","uri":"http://smcoins.net/currencies/is-ramp-safe-crypto","extracted_on":"2023-12-11","last_seen_on":"2024-03-13","still_on_page":false},{"domain":"ramp.com","uri":"http://ramp.com/blog/a-note-to-the-ramp-community-regarding-svb","extracted_on":"2023-05-03","last_seen_on":"2024-02-08","still_on_page":false},{"domain":"beta.paganresearch.io","uri":"http://beta.paganresearch.io/details/ramp","extracted_on":"2021-04-14","last_seen_on":"2024-02-03","still_on_page":false},{"domain":"q2developer.com","uri":"http://q2developer.com/marketplace/apps/ramp/marketing/support","extracted_on":"2023-01-26","last_seen_on":"2024-01-26","still_on_page":false},{"domain":"vierlanden.eu","uri":"http://vierlanden.eu/blog/ramp-expense-management-reviews.html","extracted_on":"2024-01-09","last_seen_on":"2024-01-09","still_on_page":false},{"domain":"bomak-berlin.de","uri":"http://bomak-berlin.de/en/ramp-finance.html","extracted_on":"2023-08-13","last_seen_on":"2023-08-13","still_on_page":false},{"domain":"parsers.vc","uri":"http://parsers.vc/fund/techstars.com","extracted_on":"2022-05-31","last_seen_on":"2022-05-31","still_on_page":false},{"domain":"support.ramp.com","uri":"http://support.ramp.com/hc/en-us","extracted_on":"2021-06-06","last_seen_on":"2021-09-06","still_on_page":false},{"domain":"support.ramp.com","uri":"http://support.ramp.com/hc/en-us/articles/360027272594-how-does-ramp-help-my-company-save-money-","extracted_on":"2021-06-06","last_seen_on":"2021-09-06","still_on_page":false},{"domain":"support.ramp.com","uri":"http://support.ramp.com/hc/en-us/articles/360042570374-how-can-ramp-help-my-business-save-time-","extracted_on":"2021-06-06","last_seen_on":"2021-09-06","still_on_page":false},{"domain":"support.ramp.com","uri":"http://support.ramp.com/hc/en-us/articles/360043056073-how-much-does-ramp-cost-","extracted_on":"2021-09-06","last_seen_on":"2021-09-06","still_on_page":false},{"domain":"support.ramp.com","uri":"http://support.ramp.com/hc/en-us/sections/360004905514--about-ramp","extracted_on":"2021-06-06","last_seen_on":"2021-09-06","still_on_page":false},{"domain":"brightcove.com","uri":"http://brightcove.com/ja/partners/ramp","extracted_on":"2019-06-09","last_seen_on":"2021-08-11","still_on_page":false},{"domain":"marketing.ramp.com","uri":"http://marketing.ramp.com/platform-agreement","extracted_on":"2021-05-12","last_seen_on":"2021-05-22","still_on_page":false},{"domain":"brightcove.com","uri":"http://brightcove.com/es/partners/ramp","extracted_on":"2019-09-21","last_seen_on":"2021-02-09","still_on_page":false},{"domain":"brightcove.com","uri":"http://brightcove.com/ko/partners/ramp","extracted_on":"2019-06-07","last_seen_on":"2021-02-09","still_on_page":false}],"first_name":null,"last_name":null,"position":null,"position_raw":null,"seniority":null,"department":"support","linkedin":null,"twitter":null,"phone_number":null,"verification":{"date":"2025-02-20","status":"accept_all"}},{"value":"info@ramp.com","type":"generic","confidence":90,"sources":[{"domain":"marketwired.com","uri":"http://marketwired.com/press-release/ramp-host-webinar-with-cmswire-making-video-communication-easier-with-microsoft-sharepoint-1973604.htm","extracted_on":"2019-01-07","last_seen_on":"2019-01-07","still_on_page":true},{"domain":"globenewswire.com","uri":"http://globenewswire.com/news-release/2015/03/11/923164/0/en/ramp-releases-metaplayer-4-the-next-gen-video-experience.html","extracted_on":"2019-08-11","last_seen_on":"2022-01-28","still_on_page":true},{"domain":"globenewswire.com","uri":"http://globenewswire.com/news-release/2014/09/23/923149/0/en/ramp-ceo-to-speak-at-next-video-conference-expo.html","extracted_on":"2019-07-14","last_seen_on":"2022-06-06","still_on_page":true},{"domain":"businesswire.com","uri":"http://businesswire.com/news/home/20120625005466/en/ramp-announces-brightcove-video-cloud-integration-generation","extracted_on":"2019-01-30","last_seen_on":"2023-08-21","still_on_page":true},{"domain":"globenewswire.com","uri":"http://globenewswire.com/news-release/2015/02/03/923162/0/en/ramp-a-sponsor-and-presenter-at-sptechcon-the-sharepoint-technology-conference.html","extracted_on":"2019-10-19","last_seen_on":"2024-09-15","still_on_page":true},{"domain":"streamingmedia.com","uri":"http://streamingmedia.com/conferences/west2013/exhibitors.aspx","extracted_on":"2023-06-08","last_seen_on":"2024-12-09","still_on_page":true},{"domain":"johnaustinblog.blogspot.com","uri":"http://johnaustinblog.blogspot.com/2010/06","extracted_on":"2018-08-28","last_seen_on":"2024-12-10","still_on_page":true},{"domain":"cnbc.com","uri":"http://cnbc.com/id/100154688","extracted_on":"2018-12-12","last_seen_on":"2025-02-16","still_on_page":true},{"domain":"adtechdaily.com","uri":"http://adtechdaily.com/2010/01/04/ramp-announces-new-customers-following-launch-of-content-optimization-platform","extracted_on":"2020-01-12","last_seen_on":"2025-01-19","still_on_page":true},{"domain":"klessblog.blogspot.com","uri":"http://klessblog.blogspot.com/2009","extracted_on":"2018-09-12","last_seen_on":"2025-01-15","still_on_page":true},{"domain":"klessblog.blogspot.com","uri":"http://klessblog.blogspot.com/2009/12","extracted_on":"2018-09-29","last_seen_on":"2024-12-21","still_on_page":true},{"domain":"streamingmedia.com","uri":"http://streamingmedia.com/pressrelease/ramp-delivers-scalable-and-automated-video-content-spotlighting-with-release-of-ramp-metaq_31963.aspx","extracted_on":"2017-07-14","last_seen_on":"2024-12-17","still_on_page":true},{"domain":"johnaustinblog.blogspot.com","uri":"http://johnaustinblog.blogspot.com/2010/06/magazines-going-from-dimensional-to.html","extracted_on":"2017-08-30","last_seen_on":"2024-12-17","still_on_page":true},{"domain":"klessblog.blogspot.com","uri":"http://klessblog.blogspot.com/2009/12/streaming-media-west-red-2009-carpet_10.html","extracted_on":"2017-10-17","last_seen_on":"2024-12-20","still_on_page":true},{"domain":"fairhavencapital.com","uri":"http://fairhavencapital.com/news/page/20","extracted_on":"2021-01-10","last_seen_on":"2022-01-12","still_on_page":false},{"domain":"fairhavencapital.com","uri":"http://fairhavencapital.com/author/admin/page/12","extracted_on":"2021-01-09","last_seen_on":"2022-01-12","still_on_page":false},{"domain":"fairhavencapital.com","uri":"http://fairhavencapital.com/category/news/page/20","extracted_on":"2020-07-04","last_seen_on":"2022-01-13","still_on_page":false},{"domain":"fairhavencapital.com","uri":"http://fairhavencapital.com/2013/06","extracted_on":"2019-12-22","last_seen_on":"2022-02-08","still_on_page":false},{"domain":"watchwith.com","uri":"http://watchwith.com/press-room-ramp","extracted_on":"2020-11-09","last_seen_on":"2022-02-09","still_on_page":false},{"domain":"knifelesstechsystems.com","uri":"http://knifelesstechsystems.com/page/525","extracted_on":"2022-12-21","last_seen_on":"2022-12-21","still_on_page":false},{"domain":"cerrochapelco.com","uri":"http://cerrochapelco.com/page/139","extracted_on":"2022-12-26","last_seen_on":"2022-12-26","still_on_page":false},{"domain":"cerrochapelco.com","uri":"http://cerrochapelco.com/page/140","extracted_on":"2022-12-27","last_seen_on":"2022-12-27","still_on_page":false},{"domain":"knifelesstechsystems.com","uri":"http://knifelesstechsystems.com/page/583","extracted_on":"2023-03-22","last_seen_on":"2023-03-22","still_on_page":false},{"domain":"cerrochapelco.com","uri":"http://cerrochapelco.com/page/165","extracted_on":"2023-03-27","last_seen_on":"2023-03-27","still_on_page":false},{"domain":"cerrochapelco.com","uri":"http://cerrochapelco.com/page/168","extracted_on":"2023-04-14","last_seen_on":"2023-04-14","still_on_page":false},{"domain":"klessblog.blogspot.com","uri":"http://klessblog.blogspot.com/search/label/discovery","extracted_on":"2018-11-09","last_seen_on":"2024-04-09","still_on_page":false},{"domain":"bobmixon.com","uri":"http://bobmixon.com/svspug-leveraging-saas-applications-using-the-sharepoint-app-model-2202014","extracted_on":"2023-02-25","last_seen_on":"2023-08-24","still_on_page":false},{"domain":"knifelesstechsystems.com","uri":"http://knifelesstechsystems.com/page/492","extracted_on":"2023-12-24","last_seen_on":"2023-12-24","still_on_page":false},{"domain":"cerrochapelco.com","uri":"http://cerrochapelco.com/page/120","extracted_on":"2024-01-14","last_seen_on":"2024-01-14","still_on_page":false},{"domain":"klessblog.blogspot.com","uri":"http://klessblog.blogspot.com/search/label/engagement","extracted_on":"2018-11-09","last_seen_on":"2024-03-22","still_on_page":false}],"first_name":null,"last_name":null,"position":null,"position_raw":null,"seniority":null,"department":"support","linkedin":null,"twitter":null,"phone_number":null,"verification":{"date":"2025-02-20","status":"accept_all"}},{"value":"hinh.tran@ramp.com","type":"personal","confidence":89,"sources":[{"domain":"allcaliforniaattorneys.com","uri":"http://allcaliforniaattorneys.com/attorney/330411/hinh-doan-tran","extracted_on":"2023-06-14","last_seen_on":"2025-01-05","still_on_page":true}],"first_name":"Hinh","last_name":"Tran","position":"Senior Counsel","position_raw":"Senior Counsel, Product &amp; Regulatory","seniority":"senior","department":"legal","linkedin":"https://www.linkedin.com/in/hinhdtran","twitter":null,"phone_number":null,"verification":{"date":"2025-02-06","status":"accept_all"}},{"value":"dan@ramp.com","type":"personal","confidence":89,"sources":[{"domain":"ramp.com","uri":"http://ramp.com/invoice-maker","extracted_on":"2024-06-10","last_seen_on":"2025-01-25","still_on_page":true},{"domain":"ramp.com","uri":"http://ramp.com/invoice-generator","extracted_on":"2023-05-03","last_seen_on":"2024-12-06","still_on_page":true},{"domain":"marketing.ramp.com","uri":"http://marketing.ramp.com/invoice-generator","extracted_on":"2023-06-06","last_seen_on":"2023-09-06","still_on_page":false}],"first_name":"Dan","last_name":"Gilbert","position":null,"position_raw":null,"seniority":null,"department":null,"linkedin":"https://www.linkedin.com/in/drtangible","twitter":null,"phone_number":null,"verification":{"date":"2025-02-06","status":"accept_all"}}]</t>
  </si>
  <si>
    <t>For you guys that might mean personalized card controls... or spend limits.</t>
  </si>
  <si>
    <t>Ramp</t>
  </si>
  <si>
    <t>konghq.com</t>
  </si>
  <si>
    <t>[{"value":"sales@konghq.com","type":"generic","confidence":79,"sources":[{"domain":"konghq.com","uri":"http://konghq.com/blog/engineering/observability-and-advanced-analytics-dynatrace","extracted_on":"2024-12-07","last_seen_on":"2024-12-07","still_on_page":true}],"first_name":null,"last_name":null,"position":null,"position_raw":null,"seniority":null,"department":"sales","linkedin":null,"twitter":null,"phone_number":null,"verification":{"date":null,"status":null}},{"value":"colin@konghq.com","type":"personal","confidence":68,"sources":[{"domain":"wiki.edgexfoundry.org","uri":"http://wiki.edgexfoundry.org/download/attachments/88211475/edgex%20foundry%20tsc%20meeting%205_26_2021.pdf","extracted_on":"2024-01-23","last_seen_on":"2024-08-10","still_on_page":false},{"domain":"wiki.edgexfoundry.org","uri":"http://wiki.edgexfoundry.org/download/attachments/88211475/edgex%20foundry%20tsc%20meeting%206_2_2021.pdf","extracted_on":"2024-01-23","last_seen_on":"2024-08-09","still_on_page":false},{"domain":"wiki.edgexfoundry.org","uri":"http://wiki.edgexfoundry.org/download/attachments/88211475/edgex%20foundry%20tsc%20meeting%205_19_2021.pdf","extracted_on":"2024-01-23","last_seen_on":"2024-08-07","still_on_page":false},{"domain":"wiki.edgexfoundry.org","uri":"http://wiki.edgexfoundry.org/display/fa/security+working+group","extracted_on":"2023-10-23","last_seen_on":"2024-07-29","still_on_page":false},{"domain":"wiki.edgexfoundry.org","uri":"http://wiki.edgexfoundry.org/download/attachments/88211475/edgex%20foundry%20tsc%20meeting%206_16_2021.pdf","extracted_on":"2024-01-23","last_seen_on":"2024-07-26","still_on_page":false}],"first_name":"Stevan","last_name":"Colin","position":"Enterprise Account Director","position_raw":"Enterprise ADR 2","seniority":null,"department":"sales","linkedin":"https://www.linkedin.com/in/stevancolin","twitter":null,"phone_number":null,"verification":{"date":"2025-01-28","status":"accept_all"}},{"value":"marketing-design@konghq.com","type":"generic","confidence":63,"sources":[{"domain":"konghq.com","uri":"http://konghq.com/brand","extracted_on":"2018-11-11","last_seen_on":"2023-07-30","still_on_page":false}],"first_name":null,"last_name":null,"position":null,"position_raw":null,"seniority":null,"department":"sales","linkedin":null,"twitter":null,"phone_number":null,"verification":{"date":null,"status":null}}]</t>
  </si>
  <si>
    <t>For you guys that might mean personalized routes... or plugins.</t>
  </si>
  <si>
    <t>Kong</t>
  </si>
  <si>
    <t>/companies/kong/</t>
  </si>
  <si>
    <t>Quickly build API-centric applications. Leverage the latest microservice and container design patterns. And tie it all together with the Kong microservice API gateway.</t>
  </si>
  <si>
    <t>Augusto Marietti; Marco Palladino</t>
  </si>
  <si>
    <t>personio.com</t>
  </si>
  <si>
    <t>[{"value":"andrew.byrnes@personio.com","type":"personal","confidence":99,"sources":[{"domain":"linkedin.com","uri":"https://www.google.com/search?q=site:linkedin.com%20andrew%20byrnes%20personio","extracted_on":"2025-01-07","last_seen_on":"2025-01-07","still_on_page":true}],"first_name":"Andrew","last_name":"Byrnes","position":"HR Business Partner","position_raw":"People Partner","seniority":null,"department":"sales","linkedin":"https://www.linkedin.com/in/andrew-byrnes-25b98723","twitter":null,"phone_number":null,"verification":{"date":"2025-01-07","status":"valid"}},{"value":"clare.nolan@personio.com","type":"personal","confidence":99,"sources":[{"domain":"linkedin.com","uri":"https://www.google.com/search?q=site:linkedin.com%20clare%20nolan%20personio","extracted_on":"2025-01-17","last_seen_on":"2025-01-17","still_on_page":true}],"first_name":"Clare","last_name":"Nolan","position":"Senior Business Manager","position_raw":"Senior Business Manager","seniority":"senior","department":"sales","linkedin":"https://www.linkedin.com/in/nolanclare","twitter":null,"phone_number":null,"verification":{"date":"2025-01-17","status":"valid"}},{"value":"kai.kraus@personio.com","type":"personal","confidence":99,"sources":[{"domain":"linkedin.com","uri":"https://www.google.com/search?q=site:linkedin.com%20kai%20kraus%20personio","extracted_on":"2025-01-17","last_seen_on":"2025-01-17","still_on_page":true}],"first_name":"Kai","last_name":"Kraus","position":"Sales Strategy and Operations Manager","position_raw":"Lead Revenue Strategy &amp; Ops","seniority":"senior","department":"sales","linkedin":"https://www.linkedin.com/in/kai-stephan-kraus-75711b6a","twitter":null,"phone_number":null,"verification":{"date":"2025-01-17","status":"valid"}},{"value":"laura.weiss@personio.com","type":"personal","confidence":99,"sources":[{"domain":"linkedin.com","uri":"https://www.google.com/search?q=site:linkedin.com%20laura%20wei%C3%9F%20personio","extracted_on":"2025-01-17","last_seen_on":"2025-01-17","still_on_page":true}],"first_name":"Laura","last_name":"Weiß","position":"Business Process Manager","position_raw":"Business Process Manager","seniority":"senior","department":"sales","linkedin":"https://www.linkedin.com/in/laura-wei%c3%9f-8612b2191","twitter":null,"phone_number":null,"verification":{"date":"2025-01-17","status":"valid"}},{"value":"jordan.farry@personio.com","type":"personal","confidence":99,"sources":[{"domain":"linkedin.com","uri":"https://www.google.com/search?q=site:linkedin.com%20jordan%20farry%20personio","extracted_on":"2025-01-17","last_seen_on":"2025-01-17","still_on_page":true}],"first_name":"Jordan","last_name":"Farry","position":"Sales Manager","position_raw":"Sales Manager, Northern Europe","seniority":"senior","department":"sales","linkedin":"https://www.linkedin.com/in/jordan-farry-sales","twitter":null,"phone_number":null,"verification":{"date":"2025-01-17","status":"valid"}},{"value":"patricia.lorenzo@personio.com","type":"personal","confidence":99,"sources":[{"domain":"linkedin.com","uri":"https://www.google.com/search?q=site:linkedin.com%20patricia%20lorenzo%20personio","extracted_on":"2025-01-08","last_seen_on":"2025-01-08","still_on_page":true}],"first_name":"Patricia","last_name":"Lorenzo","position":"Senior Account Executive","position_raw":"Senior Account Development Executive | UK&amp;I Market","seniority":"executive","department":"sales","linkedin":"https://www.linkedin.com/in/patricia-gil-de-lorenzo","twitter":null,"phone_number":null,"verification":{"date":"2025-01-08","status":"valid"}},{"value":"fabian.schuhmacher@personio.com","type":"personal","confidence":99,"sources":[{"domain":"linkedin.com","uri":"https://www.google.com/search?q=site:linkedin.com%20fabian%20schuhmacher%20personio","extracted_on":"2025-01-08","last_seen_on":"2025-01-08","still_on_page":true}],"first_name":"Fabian","last_name":"Schuhmacher","position":"Account Executive","position_raw":"Account Executive - Medium Business","seniority":"executive","department":"sales","linkedin":"https://www.linkedin.com/in/fabian-schuhmacher","twitter":null,"phone_number":null,"verification":{"date":"2025-02-17","status":"valid"}},{"value":"simon.hofmann@personio.com","type":"personal","confidence":99,"sources":[{"domain":"linkedin.com","uri":"https://www.google.com/search?q=site:linkedin.com%20simon%20hofmann%20personio","extracted_on":"2025-01-08","last_seen_on":"2025-01-08","still_on_page":true}],"first_name":"Simon","last_name":"Hofmann","position":"Account Executive","position_raw":"Account Executive","seniority":"executive","department":"sales","linkedin":"https://www.linkedin.com/in/simon-hofmann-5a40511a6","twitter":null,"phone_number":null,"verification":{"date":"2025-01-08","status":"valid"}},{"value":"kevin.schuetz@personio.com","type":"personal","confidence":99,"sources":[{"domain":"linkedin.com","uri":"https://www.google.com/search?q=site:linkedin.com%20kevin%20sch%C3%BCtz%20personio","extracted_on":"2025-01-08","last_seen_on":"2025-01-08","still_on_page":true}],"first_name":"Kevin","last_name":"Schütz","position":"Account Executive","position_raw":"Account Executive","seniority":"executive","department":"sales","linkedin":"https://www.linkedin.com/in/kevin-schuetz","twitter":null,"phone_number":null,"verification":{"date":"2025-01-08","status":"valid"}},{"value":"florian.schwarz@personio.com","type":"personal","confidence":99,"sources":[{"domain":"linkedin.com","uri":"https://www.google.com/search?q=site:linkedin.com%20florian%20schwarz%20personio","extracted_on":"2025-01-08","last_seen_on":"2025-01-08","still_on_page":true}],"first_name":"Florian","last_name":"Schwarz","position":"Account Executive","position_raw":"Senior Account Director | Public, Utilities &amp; Banking Sector","seniority":"executive","department":"sales","linkedin":"https://www.linkedin.com/in/florian-schwarz-5037b5a8","twitter":null,"phone_number":null,"verification":{"date":"2025-02-15","status":"valid"}}]</t>
  </si>
  <si>
    <t>For you guys that might mean personalized workflows... or personalized integrations.</t>
  </si>
  <si>
    <t>Personio</t>
  </si>
  <si>
    <t>/companies/personio/</t>
  </si>
  <si>
    <t>Personio is the HR operating system that lets HR managers store, process, and manage all employee data through one holistic solution.</t>
  </si>
  <si>
    <t>Hanno Renner; Arseniy Vershinin; Roman Schumacher</t>
  </si>
  <si>
    <t>servicetitan.com</t>
  </si>
  <si>
    <t>[{"value":"jgeier@servicetitan.com","type":"personal","confidence":94,"sources":[{"domain":"linkedin.com","uri":"https://www.google.com/search?q=site:linkedin.com%20jessica%20geier%20servicetitan","extracted_on":"2025-01-14","last_seen_on":"2025-01-14","still_on_page":true}],"first_name":"Jessica","last_name":"Geier","position":"HR Business Partner Director","position_raw":"Director, HR Business Partner","seniority":null,"department":"sales","linkedin":"https://www.linkedin.com/in/jessica-murray-geier","twitter":null,"phone_number":null,"verification":{"date":"2025-02-13","status":"accept_all"}},{"value":"sflynn@servicetitan.com","type":"personal","confidence":94,"sources":[{"domain":"linkedin.com","uri":"https://www.google.com/search?q=site:linkedin.com%20shannon%20flynn%20servicetitan","extracted_on":"2025-01-14","last_seen_on":"2025-01-14","still_on_page":true}],"first_name":"Shannon","last_name":"Flynn","position":"HR Business Partner","position_raw":"HR Business Partner","seniority":null,"department":"sales","linkedin":"https://www.linkedin.com/in/shannon-flynn-phr-71b065136","twitter":null,"phone_number":null,"verification":{"date":"2025-02-13","status":"accept_all"}},{"value":"atoledo@servicetitan.com","type":"personal","confidence":94,"sources":[{"domain":"linkedin.com","uri":"https://www.google.com/search?q=site:linkedin.com%20aaron%20toledo%20servicetitan","extracted_on":"2025-01-14","last_seen_on":"2025-01-14","still_on_page":true}],"first_name":"Aaron","last_name":"Toledo","position":"Director of Business Operations","position_raw":"Director, Business Operations &amp; Strategy","seniority":null,"department":"sales","linkedin":"https://www.linkedin.com/in/aaron-de-toledo-603b8563","twitter":null,"phone_number":null,"verification":{"date":"2025-01-14","status":"accept_all"}},{"value":"kthomas@servicetitan.com","type":"personal","confidence":94,"sources":[{"domain":"linkedin.com","uri":"https://www.google.com/search?q=site:linkedin.com%20kyle%20thomas%20servicetitan","extracted_on":"2025-01-14","last_seen_on":"2025-01-14","still_on_page":true}],"first_name":"Kyle","last_name":"Thomas","position":"Director of Sales Development","position_raw":"Head of Convex Sales Development","seniority":null,"department":"sales","linkedin":"https://www.linkedin.com/in/kyle-thomas-477076155","twitter":null,"phone_number":null,"verification":{"date":"2025-02-13","status":"accept_all"}},{"value":"mzhu@servicetitan.com","type":"personal","confidence":94,"sources":[{"domain":"linkedin.com","uri":"https://www.google.com/search?q=site:linkedin.com%20maggie%20zhu%20servicetitan","extracted_on":"2025-01-13","last_seen_on":"2025-01-13","still_on_page":true}],"first_name":"Maggie","last_name":"Zhu","position":"HR Business Partner","position_raw":"HR Business Partner","seniority":null,"department":"sales","linkedin":"https://www.linkedin.com/in/maggiezhu26","twitter":null,"phone_number":null,"verification":{"date":"2025-01-13","status":"accept_all"}},{"value":"josinski@servicetitan.com","type":"personal","confidence":94,"sources":[{"domain":"linkedin.com","uri":"https://www.google.com/search?q=site:linkedin.com%20jen%20osinski%20servicetitan","extracted_on":"2025-01-13","last_seen_on":"2025-01-13","still_on_page":true}],"first_name":"Jen","last_name":"Osinski","position":"Senior HR Business Partner","position_raw":"Sr. HR Business Partner","seniority":"senior","department":"sales","linkedin":"https://www.linkedin.com/in/jen-ben-osinski-phr-6659b1101","twitter":null,"phone_number":null,"verification":{"date":"2025-01-13","status":"accept_all"}},{"value":"awenninger@servicetitan.com","type":"personal","confidence":94,"sources":[{"domain":"linkedin.com","uri":"https://www.google.com/search?q=site:linkedin.com%20alex%20wenninger%20servicetitan","extracted_on":"2025-01-14","last_seen_on":"2025-01-14","still_on_page":true}],"first_name":"Alex","last_name":"Wenninger","position":"Field Sales Executive","position_raw":"Field Sales Account Executive","seniority":"executive","department":"sales","linkedin":"https://www.linkedin.com/in/alex-wenninger-1a649427","twitter":null,"phone_number":null,"verification":{"date":"2025-02-06","status":"accept_all"}},{"value":"kpritchett@servicetitan.com","type":"personal","confidence":94,"sources":[{"domain":"linkedin.com","uri":"https://www.google.com/search?q=site:linkedin.com%20kaleb%20pritchett%20servicetitan","extracted_on":"2025-01-14","last_seen_on":"2025-01-14","still_on_page":true}],"first_name":"Kaleb","last_name":"Pritchett","position":"Account Executive","position_raw":"Account Executive","seniority":"executive","department":"sales","linkedin":"https://www.linkedin.com/in/kaleb-pritchett-58ab4a101","twitter":null,"phone_number":null,"verification":{"date":"2025-02-06","status":"accept_all"}},{"value":"chorwitz@servicetitan.com","type":"personal","confidence":94,"sources":[{"domain":"linkedin.com","uri":"https://www.google.com/search?q=site:linkedin.com%20carly%20horwitz%20servicetitan","extracted_on":"2025-01-14","last_seen_on":"2025-01-14","still_on_page":true}],"first_name":"Carly","last_name":"Horwitz","position":"Account Executive","position_raw":"Senior Account Executive","seniority":"executive","department":"sales","linkedin":"https://www.linkedin.com/in/carly-right","twitter":null,"phone_number":null,"verification":{"date":"2025-02-06","status":"accept_all"}},{"value":"smuniz@servicetitan.com","type":"personal","confidence":94,"sources":[{"domain":"linkedin.com","uri":"https://www.google.com/search?q=site:linkedin.com%20steven%20muniz%20servicetitan","extracted_on":"2025-01-14","last_seen_on":"2025-01-14","still_on_page":true}],"first_name":"Steven","last_name":"Muniz","position":"Account Executive","position_raw":"Account Executive","seniority":"executive","department":"sales","linkedin":"https://www.linkedin.com/in/steven-muniz-28072a247","twitter":null,"phone_number":null,"verification":{"date":"2025-02-06","status":"accept_all"}}]</t>
  </si>
  <si>
    <t>For you guys that might mean personalized job types... or personalized recurring services.</t>
  </si>
  <si>
    <t>ServiceTitan</t>
  </si>
  <si>
    <t>/companies/servicetitan/</t>
  </si>
  <si>
    <t>The #1 Software for Home Services.</t>
  </si>
  <si>
    <t>Ara Mahdessian; Vahe Kuzoyan</t>
  </si>
  <si>
    <t>transcend.io</t>
  </si>
  <si>
    <t>[{"value":"nick@transcend.io","type":"personal","confidence":99,"sources":[{"domain":"linkedin.com","uri":"https://www.google.com/search?q=site:linkedin.com%20nick%20sours%20transcend","extracted_on":"2025-01-07","last_seen_on":"2025-01-07","still_on_page":true}],"first_name":"Nick","last_name":"Sours","position":"Account Executive","position_raw":"Account Executive","seniority":"executive","department":"sales","linkedin":"https://www.linkedin.com/in/nicksours","twitter":null,"phone_number":null,"verification":{"date":"2025-01-07","status":"valid"}},{"value":"mikeorlick@transcend.io","type":"personal","confidence":99,"sources":[{"domain":"linkedin.com","uri":"https://www.google.com/search?q=site:linkedin.com%20mike%20orlick%20transcend","extracted_on":"2025-01-07","last_seen_on":"2025-01-07","still_on_page":true}],"first_name":"Mike","last_name":"Orlick","position":"Vice President of Sales","position_raw":"Vice President of Sales","seniority":"executive","department":"sales","linkedin":"https://www.linkedin.com/in/michaelorlick","twitter":null,"phone_number":null,"verification":{"date":"2025-02-21","status":"invalid"}},{"value":"isabella@transcend.io","type":"personal","confidence":99,"sources":[{"domain":"linkedin.com","uri":"https://www.google.com/search?q=site:linkedin.com%20isabella%20okelberry%20transcend","extracted_on":"2025-01-07","last_seen_on":"2025-01-07","still_on_page":true}],"first_name":"Isabella","last_name":"Okelberry","position":"Account Executive","position_raw":"Account Executive","seniority":"executive","department":"sales","linkedin":"https://www.linkedin.com/in/isabellaokelberry","twitter":null,"phone_number":null,"verification":{"date":"2025-01-07","status":"valid"}},{"value":"ricky@transcend.io","type":"personal","confidence":98,"sources":[{"domain":"linkedin.com","uri":"https://www.google.com/search?q=site:linkedin.com%20ricky%20franklin%20transcend","extracted_on":"2025-01-07","last_seen_on":"2025-01-07","still_on_page":true}],"first_name":"Ricky","last_name":"Franklin","position":"Account Executive","position_raw":"Enterprise Account Executive","seniority":"executive","department":"sales","linkedin":"https://www.linkedin.com/in/ricky-franklin-b193b576","twitter":null,"phone_number":null,"verification":{"date":"2025-01-07","status":"valid"}},{"value":"andrew@transcend.io","type":"personal","confidence":97,"sources":[{"domain":"linkedin.com","uri":"https://www.google.com/search?q=site:linkedin.com%20andrew%20harrison%20transcend","extracted_on":"2025-01-03","last_seen_on":"2025-01-03","still_on_page":true}],"first_name":"Andrew","last_name":"Harrison","position":"Senior Sales Development Representative","position_raw":"Senior Sales Development Representative","seniority":"senior","department":"sales","linkedin":"https://www.linkedin.com/in/andrew-harrison-304b89132","twitter":null,"phone_number":null,"verification":{"date":null,"status":null}},{"value":"trevor@transcend.io","type":"personal","confidence":97,"sources":[{"domain":"linkedin.com","uri":"https://www.google.com/search?q=site:linkedin.com%20trevor%20clemente%20transcend","extracted_on":"2025-01-03","last_seen_on":"2025-01-03","still_on_page":true}],"first_name":"Trevor","last_name":"Clemente","position":"Account Executive","position_raw":"Account Executive","seniority":"executive","department":"sales","linkedin":"https://www.linkedin.com/in/trevorclemente","twitter":null,"phone_number":null,"verification":{"date":"2025-01-07","status":"valid"}},{"value":"marcus@transcend.io","type":"personal","confidence":97,"sources":[{"domain":"linkedin.com","uri":"https://www.google.com/search?q=site:linkedin.com%20marcus%20williams%20transcend","extracted_on":"2025-01-03","last_seen_on":"2025-01-03","still_on_page":true}],"first_name":"Marcus","last_name":"Williams","position":"Account Executive","position_raw":"Strategic Account Executive","seniority":"executive","department":"sales","linkedin":"https://www.linkedin.com/in/marcus-williams-3b608522","twitter":null,"phone_number":null,"verification":{"date":"2025-01-07","status":"valid"}}]</t>
  </si>
  <si>
    <t>For you guys that might mean personalized DSR workflows... or personalized data mapping.</t>
  </si>
  <si>
    <t>Transcend</t>
  </si>
  <si>
    <t>/companies/transcend/</t>
  </si>
  <si>
    <t>Transcend is the data privacy infrastructure that makes it simple to give your users control over their personal data.</t>
  </si>
  <si>
    <t>Ben Brook; Michael Farrell</t>
  </si>
  <si>
    <t>abacus.ai</t>
  </si>
  <si>
    <t>[{"value":"jason@abacus.ai","type":"personal","confidence":99,"sources":[{"domain":"linkedin.com","uri":"https://www.google.com/search?q=site:linkedin.com%20jason%20dugas%20abacus","extracted_on":"2025-01-03","last_seen_on":"2025-01-03","still_on_page":true}],"first_name":"Jason","last_name":"Dugas","position":"Sales Director","position_raw":"Director of Sales","seniority":null,"department":"sales","linkedin":"https://www.linkedin.com/in/jasonpdugas","twitter":null,"phone_number":null,"verification":{"date":"2025-02-10","status":"valid"}},{"value":"myles@abacus.ai","type":"personal","confidence":98,"sources":[{"domain":"linkedin.com","uri":"https://www.google.com/search?q=site:linkedin.com%20myles%20herrera-pease%20abacus","extracted_on":"2025-01-03","last_seen_on":"2025-01-03","still_on_page":true}],"first_name":"Myles","last_name":"Herrera-Pease","position":"Director of Sales Engineering","position_raw":"Director of Sales Engineering","seniority":null,"department":"sales","linkedin":"https://www.linkedin.com/in/myles-herrera-pease-bb3b99132","twitter":null,"phone_number":null,"verification":{"date":"2025-01-07","status":"valid"}},{"value":"chad@abacus.ai","type":"personal","confidence":98,"sources":[{"domain":"linkedin.com","uri":"https://www.google.com/search?q=site:linkedin.com%20chad%20milne%20abacus","extracted_on":"2025-01-03","last_seen_on":"2025-01-03","still_on_page":true}],"first_name":"Chad","last_name":"Milne","position":"Sales Director","position_raw":"Director of Sales | Abacus.AI","seniority":null,"department":"sales","linkedin":"https://www.linkedin.com/in/chad-milne-26494b1a","twitter":null,"phone_number":null,"verification":{"date":"2025-02-10","status":"unknown"}},{"value":"kim@abacus.ai","type":"personal","confidence":97,"sources":[{"domain":"linkedin.com","uri":"https://www.google.com/search?q=site:linkedin.com%20raymond%20kim%20abacus","extracted_on":"2025-01-03","last_seen_on":"2025-01-03","still_on_page":true}],"first_name":"Raymond","last_name":"Kim","position":"Sales Director","position_raw":"Director of Sales","seniority":null,"department":"sales","linkedin":"https://www.linkedin.com/in/raymond-kim-aa679813","twitter":null,"phone_number":null,"verification":{"date":null,"status":null}},{"value":"fabian@abacus.ai","type":"personal","confidence":96,"sources":[{"domain":"linkedin.com","uri":"https://www.google.com/search?q=site:linkedin.com%20fabian%20divito%20abacus","extracted_on":"2025-01-07","last_seen_on":"2025-01-07","still_on_page":true}],"first_name":"Fabian","last_name":"Divito","position":"Sales Director","position_raw":"Director of Sales","seniority":null,"department":"sales","linkedin":"https://www.linkedin.com/in/fabiandivito","twitter":null,"phone_number":null,"verification":{"date":"2025-02-06","status":"valid"}}]</t>
  </si>
  <si>
    <t>For you guys that might mean personalized LLMs... or personalized data sources.</t>
  </si>
  <si>
    <t>Abacus</t>
  </si>
  <si>
    <t>Abacus.ai</t>
  </si>
  <si>
    <t>/companies/abacusai/</t>
  </si>
  <si>
    <t>Effortlessly Embed Cutting-Edge AI Into Your Applications</t>
  </si>
  <si>
    <t>Bindu Reddy; Siddartha Naidu; Arvind Sundararajan</t>
  </si>
  <si>
    <t>adaptive-ml.com</t>
  </si>
  <si>
    <t>For you guys that might mean personalized dashboards...or personalized reporting.</t>
  </si>
  <si>
    <t>Adaptive</t>
  </si>
  <si>
    <t>Adaptive ML</t>
  </si>
  <si>
    <t>/companies/adaptive-ml/</t>
  </si>
  <si>
    <t>Adaptive ML builds key GenAI infrastructure to enable companies to perpetually improve their models.</t>
  </si>
  <si>
    <t>Julien Launay; Baptiste Pannier; Daniel Hesslow</t>
  </si>
  <si>
    <t>applyboard.com</t>
  </si>
  <si>
    <t>[{"value":"teeba.alsafar@applyboard.com","type":"personal","confidence":99,"sources":[{"domain":"linkedin.com","uri":"https://www.google.com/search?q=site:linkedin.com%20teeba%20alsafar%20applyboard","extracted_on":"2025-01-08","last_seen_on":"2025-01-08","still_on_page":true}],"first_name":"Teeba","last_name":"Alsafar","position":"Associate Director, Business Development","position_raw":"Account Development Director, USA","seniority":null,"department":"sales","linkedin":"https://www.linkedin.com/in/teebaalsafar","twitter":null,"phone_number":null,"verification":{"date":"2025-01-08","status":"valid"}},{"value":"gaurav.gupta@applyboard.com","type":"personal","confidence":99,"sources":[{"domain":"linkedin.com","uri":"https://www.google.com/search?q=site:linkedin.com%20gaurav%20gupta%20applyboard","extracted_on":"2025-01-08","last_seen_on":"2025-01-08","still_on_page":true}],"first_name":"Gaurav","last_name":"Gupta","position":"Associate Director of Sales","position_raw":"Associate Director of Sales- South and West India","seniority":null,"department":"sales","linkedin":"https://www.linkedin.com/in/gaurav-gupta-4a260ba0","twitter":null,"phone_number":null,"verification":{"date":"2025-01-08","status":"valid"}},{"value":"megha.sharma@applyboard.com","type":"personal","confidence":99,"sources":[{"domain":"linkedin.com","uri":"https://www.google.com/search?q=site:linkedin.com%20megha%20sharma%20applyboard","extracted_on":"2025-01-07","last_seen_on":"2025-01-07","still_on_page":true}],"first_name":"Megha","last_name":"Sharma","position":"HR Business Partner","position_raw":"People and Culture Partner","seniority":null,"department":"sales","linkedin":"https://www.linkedin.com/in/megha-sharma-a54770181","twitter":null,"phone_number":null,"verification":{"date":"2025-01-07","status":"valid"}},{"value":"naved.nasir@applyboard.com","type":"personal","confidence":99,"sources":[{"domain":"linkedin.com","uri":"https://www.google.com/search?q=site:linkedin.com%20naved%20nasir%20applyboard","extracted_on":"2025-01-17","last_seen_on":"2025-01-17","still_on_page":true}],"first_name":"Naved","last_name":"Nasir","position":"Sales Manager","position_raw":"Sales Manager","seniority":"senior","department":"sales","linkedin":"https://www.linkedin.com/in/naved-nasir-9084a9156","twitter":null,"phone_number":null,"verification":{"date":"2025-01-17","status":"valid"}},{"value":"dean.pike@applyboard.com","type":"personal","confidence":99,"sources":[{"domain":"linkedin.com","uri":"https://www.google.com/search?q=site:linkedin.com%20dean%20pike%20applyboard","extracted_on":"2025-01-08","last_seen_on":"2025-01-08","still_on_page":true}],"first_name":"Dean","last_name":"Pike","position":"Account Director","position_raw":"Associate Account Director","seniority":"senior","department":"sales","linkedin":"https://www.linkedin.com/in/dean-pike-7a956174","twitter":null,"phone_number":null,"verification":{"date":"2025-01-08","status":"valid"}},{"value":"yang.yan@applyboard.com","type":"personal","confidence":99,"sources":[{"domain":"linkedin.com","uri":"https://www.google.com/search?q=site:linkedin.com%20yang%20yan%20applyboard","extracted_on":"2025-01-08","last_seen_on":"2025-01-08","still_on_page":true}],"first_name":"Yang","last_name":"Yan","position":"Business Unit Manager","position_raw":"Business Unit Owner","seniority":"senior","department":"sales","linkedin":"https://www.linkedin.com/in/yang-yan-38b50045","twitter":null,"phone_number":null,"verification":{"date":null,"status":null}},{"value":"smriti.srivastava@applyboard.com","type":"personal","confidence":98,"sources":[{"domain":"linkedin.com","uri":"https://www.google.com/search?q=site:linkedin.com%20smriti%20srivastava%20applyboard","extracted_on":"2025-01-07","last_seen_on":"2025-01-07","still_on_page":true}],"first_name":"Smriti","last_name":"Srivastava","position":"HR Business Partner","position_raw":"HR Business Partner","seniority":null,"department":"sales","linkedin":"https://www.linkedin.com/in/smriti-srivastava-044b18b2","twitter":null,"phone_number":null,"verification":{"date":"2025-01-07","status":"valid"}},{"value":"sambidhan.mohanty@applyboard.com","type":"personal","confidence":98,"sources":[{"domain":"linkedin.com","uri":"https://www.google.com/search?q=site:linkedin.com%20sambidhan%20mohanty%20applyboard","extracted_on":"2025-01-07","last_seen_on":"2025-01-07","still_on_page":true}],"first_name":"Sambidhan","last_name":"Mohanty","position":"Director of Sales and Marketing","position_raw":"Director, Sales &amp; Marketing Performance","seniority":null,"department":"sales","linkedin":"https://www.linkedin.com/in/sam-mohanty","twitter":null,"phone_number":null,"verification":{"date":"2025-02-06","status":"valid"}},{"value":"juhanie.cheung@applyboard.com","type":"personal","confidence":98,"sources":[{"domain":"linkedin.com","uri":"https://www.google.com/search?q=site:linkedin.com%20juhanie%20cheung%20applyboard","extracted_on":"2025-01-07","last_seen_on":"2025-01-07","still_on_page":true}],"first_name":"Juhanie","last_name":"Cheung","position":"Account Director","position_raw":"Associate Account Director","seniority":"senior","department":"sales","linkedin":"https://www.linkedin.com/in/juhanie","twitter":null,"phone_number":null,"verification":{"date":"2025-01-07","status":"valid"}},{"value":"kelvin.akoh@applyboard.com","type":"personal","confidence":98,"sources":[{"domain":"linkedin.com","uri":"https://www.google.com/search?q=site:linkedin.com%20kelvin%20akoh%20applyboard","extracted_on":"2025-01-08","last_seen_on":"2025-01-08","still_on_page":true}],"first_name":"Kelvin","last_name":"Akoh","position":"Business Development Executive","position_raw":"Business Development Executive (Partnerships) - West Africa","seniority":"executive","department":"sales","linkedin":"https://www.linkedin.com/in/kelvinakoh","twitter":null,"phone_number":null,"verification":{"date":"2025-01-08","status":"valid"}}]</t>
  </si>
  <si>
    <t>For you guys that might mean personalized program listings...or personalized application workflows.</t>
  </si>
  <si>
    <t>ApplyBoard</t>
  </si>
  <si>
    <t>ApplyBoard Inc.</t>
  </si>
  <si>
    <t>/companies/applyboard-inc/</t>
  </si>
  <si>
    <t>Martin Basiri; Meti Basiri</t>
  </si>
  <si>
    <t>behavox.com</t>
  </si>
  <si>
    <t>[{"value":"alistair.keith@behavox.com","type":"personal","confidence":99,"sources":[{"domain":"linkedin.com","uri":"https://www.google.com/search?q=site:linkedin.com%20alistair%20keith%20behavox","extracted_on":"2025-02-18","last_seen_on":"2025-02-18","still_on_page":true}],"first_name":"Alistair","last_name":"Keith","position":"Account Executive","position_raw":"Account Executive","seniority":"executive","department":"sales","linkedin":"https://www.linkedin.com/in/alistair-keith-964-0112","twitter":null,"phone_number":null,"verification":{"date":null,"status":null}},{"value":"cody.boudrow@behavox.com","type":"personal","confidence":98,"sources":[{"domain":"behavox.com","uri":"http://behavox.com/behavox-events/global-regtech-summit-usa-2024","extracted_on":"2024-09-23","last_seen_on":"2024-09-23","still_on_page":true}],"first_name":"Cody","last_name":"Boudrow","position":"Business Development Representative","position_raw":"Business Development Representative","seniority":null,"department":"sales","linkedin":"https://www.linkedin.com/in/cody-boudrow-6203a7139","twitter":null,"phone_number":null,"verification":{"date":null,"status":null}},{"value":"richard.colucci@behavox.com","type":"personal","confidence":98,"sources":[{"domain":"linkedin.com","uri":"https://www.google.com/search?q=site:linkedin.com%20richard%20colucci%20behavox","extracted_on":"2025-01-07","last_seen_on":"2025-01-07","still_on_page":true},{"domain":"behavox.com","uri":"http://behavox.com/behavox-events/global-regtech-summit-usa-2024","extracted_on":"2024-09-23","last_seen_on":"2024-09-23","still_on_page":true}],"first_name":"Richard","last_name":"Colucci","position":"Sales Director","position_raw":"Head of Sales, US","seniority":"executive","department":"sales","linkedin":"https://www.linkedin.com/in/richardcolucci","twitter":null,"phone_number":null,"verification":{"date":"2025-01-07","status":"valid"}},{"value":"alex.budd@behavox.com","type":"personal","confidence":98,"sources":[{"domain":"linkedin.com","uri":"https://www.google.com/search?q=site:linkedin.com%20alex%20budd%20behavox","extracted_on":"2025-01-07","last_seen_on":"2025-01-07","still_on_page":true},{"domain":"behavox.com","uri":"http://behavox.com/behavox-events/global-regtech-summit-2024","extracted_on":"2024-09-23","last_seen_on":"2024-09-23","still_on_page":true}],"first_name":"Alex","last_name":"Budd","position":"Enterprise Account Executive","position_raw":"Enterprise Account Executive - EMEA &amp; APAC","seniority":"executive","department":"sales","linkedin":"https://www.linkedin.com/in/alexjbudd","twitter":null,"phone_number":null,"verification":{"date":"2025-01-07","status":"valid"}},{"value":"michael.mcgrath@behavox.com","type":"personal","confidence":97,"sources":[{"domain":"linkedin.com","uri":"https://www.google.com/search?q=site:linkedin.com%20michael%20mcgrath%20behavox","extracted_on":"2025-01-07","last_seen_on":"2025-01-07","still_on_page":true}],"first_name":"Michael","last_name":"Mcgrath","position":"Director of Business Development","position_raw":"Head of Partnerships and Business Development","seniority":null,"department":"sales","linkedin":"https://www.linkedin.com/in/michaelmcgrath","twitter":null,"phone_number":null,"verification":{"date":null,"status":null}},{"value":"nate.purser@behavox.com","type":"personal","confidence":96,"sources":[{"domain":"linkedin.com","uri":"https://www.google.com/search?q=site:linkedin.com%20nate%20purser%20behavox","extracted_on":"2025-01-07","last_seen_on":"2025-01-07","still_on_page":true}],"first_name":"Nate","last_name":"Purser","position":"Account Executive","position_raw":"Account Executive ll","seniority":"executive","department":"sales","linkedin":"https://www.linkedin.com/in/nate-purser-835486b8","twitter":null,"phone_number":null,"verification":{"date":"2025-01-07","status":"valid"}}]</t>
  </si>
  <si>
    <t>For you guys that might mean personalized alerts... or personalized data sources.</t>
  </si>
  <si>
    <t>Behavox</t>
  </si>
  <si>
    <t>/companies/behavox/</t>
  </si>
  <si>
    <t>Behavox is an AI-driven platform that transforms behavior in the financial workplace.</t>
  </si>
  <si>
    <t>Roman Zelov</t>
  </si>
  <si>
    <t>brightgo.com</t>
  </si>
  <si>
    <t>For you guys that might mean personalized building health scores... or personalized missed punch alerts.</t>
  </si>
  <si>
    <t>BrightGo</t>
  </si>
  <si>
    <t>/companies/brightgo/</t>
  </si>
  <si>
    <t>Your janitorial operating system that stops time theft and terminations.</t>
  </si>
  <si>
    <t>Gerald Fong; Saagar Deshpande</t>
  </si>
  <si>
    <t>coalitioninc.com</t>
  </si>
  <si>
    <t>[{"value":"heather@coalitioninc.com","type":"personal","confidence":94,"sources":[{"domain":"linkedin.com","uri":"https://www.google.com/search?q=site:linkedin.com%20heather%20zavadil%20coalitioninc","extracted_on":"2025-01-13","last_seen_on":"2025-01-13","still_on_page":true}],"first_name":"Heather","last_name":"Zavadil","position":"HR Business Partner Director","position_raw":"Director, HR Business Partner","seniority":null,"department":"sales","linkedin":"https://www.linkedin.com/in/heather-zavadil-5469099","twitter":null,"phone_number":null,"verification":{"date":"2025-02-17","status":"accept_all"}},{"value":"shawn@coalitioninc.com","type":"personal","confidence":94,"sources":[{"domain":"linkedin.com","uri":"https://www.google.com/search?q=site:linkedin.com%20shawn%20ram%20coalitioninc","extracted_on":"2025-01-14","last_seen_on":"2025-01-14","still_on_page":true},{"domain":"rms.iiaba.net","uri":"http://rms.iiaba.net/resources/pages/webinars/risk-management/coalitioncyber/ready-set-cyber-slides.pdf","extracted_on":"2023-04-07","last_seen_on":"2024-12-11","still_on_page":true}],"first_name":"Shawn","last_name":"Ram","position":"Director of Insurance","position_raw":"Head of Insurance","seniority":null,"department":"sales","linkedin":"https://www.linkedin.com/in/shawnram","twitter":null,"phone_number":null,"verification":{"date":"2025-02-19","status":"accept_all"}},{"value":"matt@coalitioninc.com","type":"personal","confidence":94,"sources":[{"domain":"linkedin.com","uri":"https://www.google.com/search?q=site:linkedin.com%20matt%20cichoski%20coalitioninc","extracted_on":"2025-01-13","last_seen_on":"2025-01-13","still_on_page":true}],"first_name":"Matt","last_name":"Cichoski","position":"Account Executive","position_raw":"Account Executive","seniority":"executive","department":"sales","linkedin":"https://www.linkedin.com/in/matthew-cichoski-81bb42b3","twitter":null,"phone_number":null,"verification":{"date":"2025-02-06","status":"accept_all"}},{"value":"tom@coalitioninc.com","type":"personal","confidence":94,"sources":[{"domain":"linkedin.com","uri":"https://www.google.com/search?q=site:linkedin.com%20tom%20draper%20coalitioninc","extracted_on":"2025-01-13","last_seen_on":"2025-01-13","still_on_page":true}],"first_name":"Tom","last_name":"Draper","position":"Head of Insurance","position_raw":"Head Of Insurance, UK","seniority":"executive","department":"sales","linkedin":"https://www.linkedin.com/in/thomas-draper","twitter":null,"phone_number":null,"verification":{"date":"2025-02-09","status":"accept_all"}},{"value":"john@coalitioninc.com","type":"personal","confidence":93,"sources":[{"domain":"linkedin.com","uri":"https://www.google.com/search?q=site:linkedin.com%20john%20keebler%20coalitioninc","extracted_on":"2025-01-14","last_seen_on":"2025-01-14","still_on_page":true}],"first_name":"John","last_name":"Keebler","position":"Director of Business Development","position_raw":"Director, National US Business Development","seniority":null,"department":"sales","linkedin":"https://www.linkedin.com/in/johnkeebler","twitter":null,"phone_number":null,"verification":{"date":"2025-02-11","status":"accept_all"}},{"value":"tine@coalitioninc.com","type":"personal","confidence":93,"sources":[{"domain":"linkedin.com","uri":"https://www.google.com/search?q=site:linkedin.com%20tine%20simonsen%20coalitioninc","extracted_on":"2025-01-13","last_seen_on":"2025-01-13","still_on_page":true}],"first_name":"Tine","last_name":"Simonsen","position":"Director of Insurance","position_raw":"Head of Insurance, Continental Europe","seniority":null,"department":"sales","linkedin":"https://www.linkedin.com/in/tineolsen","twitter":null,"phone_number":null,"verification":{"date":"2025-02-11","status":"accept_all"}},{"value":"marcin@coalitioninc.com","type":"personal","confidence":93,"sources":[{"domain":"linkedin.com","uri":"https://www.google.com/search?q=site:linkedin.com%20marcin%20weryk%20coalitioninc","extracted_on":"2025-01-13","last_seen_on":"2025-01-13","still_on_page":true}],"first_name":"Marcin","last_name":"Weryk","position":"Director of Business Development","position_raw":"Head Of Business Development","seniority":null,"department":"sales","linkedin":"https://www.linkedin.com/in/marcin-weryk-828a1a6","twitter":null,"phone_number":null,"verification":{"date":"2025-01-20","status":"accept_all"}},{"value":"lauren@coalitioninc.com","type":"personal","confidence":93,"sources":[{"domain":"linkedin.com","uri":"https://www.google.com/search?q=site:linkedin.com%20lauren%20roberto%20coalitioninc","extracted_on":"2025-01-14","last_seen_on":"2025-01-14","still_on_page":true}],"first_name":"Lauren","last_name":"Roberto","position":"Business Development Executive","position_raw":"Senior Business Development - Executive Risks","seniority":"executive","department":"sales","linkedin":"https://www.linkedin.com/in/lauren-roberto","twitter":null,"phone_number":null,"verification":{"date":"2025-01-14","status":"accept_all"}},{"value":"jordan@coalitioninc.com","type":"personal","confidence":93,"sources":[{"domain":"linkedin.com","uri":"https://www.google.com/search?q=site:linkedin.com%20jordan%20parker%20coalitioninc","extracted_on":"2025-01-14","last_seen_on":"2025-01-14","still_on_page":true}],"first_name":"Jordan","last_name":"Parker","position":"Account Executive","position_raw":"Account Executive","seniority":"executive","department":"sales","linkedin":"https://www.linkedin.com/in/jordan-parker-67075a122","twitter":null,"phone_number":null,"verification":{"date":"2025-01-14","status":"accept_all"}},{"value":"evelyn@coalitioninc.com","type":"personal","confidence":93,"sources":[{"domain":"linkedin.com","uri":"https://www.google.com/search?q=site:linkedin.com%20evelyn%20coleman%20coalitioninc","extracted_on":"2025-01-13","last_seen_on":"2025-01-13","still_on_page":true}],"first_name":"Evelyn","last_name":"Coleman","position":"Account Executive","position_raw":"Account Executive on Inside Sales Team","seniority":"executive","department":"sales","linkedin":"https://www.linkedin.com/in/evelyn-coleman-145778209","twitter":null,"phone_number":null,"verification":{"date":"2025-01-13","status":"accept_all"}}]</t>
  </si>
  <si>
    <t>For you guys that might mean personalized risk assessments... or personalized incident reports.</t>
  </si>
  <si>
    <t>Coalition</t>
  </si>
  <si>
    <t>/companies/coalition/</t>
  </si>
  <si>
    <t>Cybersecurity and insurance to keep your business safe.</t>
  </si>
  <si>
    <t>Joshua Motta; John Hering</t>
  </si>
  <si>
    <t>collibra.com</t>
  </si>
  <si>
    <t>[{"value":"andrew.sackett@collibra.com","type":"personal","confidence":99,"sources":[{"domain":"linkedin.com","uri":"https://www.google.com/search?q=site:linkedin.com%20andrew%20sackett%20collibra","extracted_on":"2025-01-07","last_seen_on":"2025-01-07","still_on_page":true}],"first_name":"Andrew","last_name":"Sackett","position":"Partner Account Director","position_raw":"Partner Account Director - SAP","seniority":null,"department":"sales","linkedin":"https://www.linkedin.com/in/andrewsackett","twitter":null,"phone_number":null,"verification":{"date":"2025-01-07","status":"valid"}},{"value":"bobbi.caggianelli@collibra.com","type":"personal","confidence":99,"sources":[{"domain":"linkedin.com","uri":"https://www.google.com/search?q=site:linkedin.com%20bobbi%20caggianelli%20collibra","extracted_on":"2025-01-03","last_seen_on":"2025-01-03","still_on_page":true}],"first_name":"Bobbi","last_name":"Caggianelli","position":"Senior Sales Engineer","position_raw":"Senior Manager Sales Engineering","seniority":"senior","department":"sales","linkedin":"https://www.linkedin.com/in/bobbi-caggianelli-msba-07058428","twitter":null,"phone_number":null,"verification":{"date":"2025-01-17","status":"valid"}},{"value":"rick.thomas@collibra.com","type":"personal","confidence":99,"sources":[{"domain":"collibra.com","uri":"http://collibra.com/us/en/blog/lockheed-martins-journey-to-becoming-data-driven","extracted_on":"2024-06-25","last_seen_on":"2024-06-25","still_on_page":true}],"first_name":"Rick","last_name":"Thomas","position":"Senior Sales Engineer","position_raw":"Senior Manager, Sales Engineering - Strategic Accounts","seniority":"senior","department":"sales","linkedin":"https://www.linkedin.com/in/rick-thomas-24072141","twitter":null,"phone_number":null,"verification":{"date":null,"status":null}},{"value":"victor.berishaj@collibra.com","type":"personal","confidence":99,"sources":[{"domain":"linkedin.com","uri":"https://www.google.com/search?q=site:linkedin.com%20victor%20berishaj%20collibra","extracted_on":"2025-01-08","last_seen_on":"2025-01-08","still_on_page":true}],"first_name":"Victor","last_name":"Berishaj","position":"Senior Account Executive","position_raw":"Senior Account Executive II","seniority":"executive","department":"sales","linkedin":"https://www.linkedin.com/in/victor-berishaj","twitter":null,"phone_number":null,"verification":{"date":"2025-01-08","status":"valid"}},{"value":"michael.wilcox@collibra.com","type":"personal","confidence":99,"sources":[{"domain":"linkedin.com","uri":"https://www.google.com/search?q=site:linkedin.com%20michael%20wilcox%20collibra","extracted_on":"2025-01-07","last_seen_on":"2025-01-07","still_on_page":true}],"first_name":"Michael","last_name":"Wilcox","position":"Senior Account Executive","position_raw":"Sr. Account Executive","seniority":"executive","department":"sales","linkedin":"https://www.linkedin.com/in/michael-wilcox-18556015","twitter":null,"phone_number":null,"verification":{"date":"2025-01-07","status":"valid"}},{"value":"brad.wither@collibra.com","type":"personal","confidence":99,"sources":[{"domain":"linkedin.com","uri":"https://www.google.com/search?q=site:linkedin.com%20brad%20wither%20collibra","extracted_on":"2025-01-07","last_seen_on":"2025-01-07","still_on_page":true}],"first_name":"Brad","last_name":"Wither","position":"Account Executive","position_raw":"Senior Account Executive","seniority":"executive","department":"sales","linkedin":"https://www.linkedin.com/in/brad-wither-90233b233","twitter":null,"phone_number":null,"verification":{"date":"2025-01-07","status":"valid"}},{"value":"arjun.patel@collibra.com","type":"personal","confidence":99,"sources":[{"domain":"linkedin.com","uri":"https://www.google.com/search?q=site:linkedin.com%20arjun%20patel%20collibra","extracted_on":"2025-01-03","last_seen_on":"2025-01-03","still_on_page":true}],"first_name":"Arjun","last_name":"Patel","position":"Enterprise Account Executive","position_raw":"Senior Enterprise Account Executive","seniority":"executive","department":"sales","linkedin":"https://www.linkedin.com/in/arjun-patel-38bbbba9","twitter":null,"phone_number":null,"verification":{"date":"2025-01-07","status":"valid"}},{"value":"toan.do@collibra.com","type":"personal","confidence":99,"sources":[{"domain":"linkedin.com","uri":"https://www.google.com/search?q=site:linkedin.com%20toan%20do%20collibra","extracted_on":"2025-01-07","last_seen_on":"2025-01-07","still_on_page":true},{"domain":"collibra.com","uri":"http://collibra.com/us/en/podcasts/data-at-the-helm-of-new-waters","extracted_on":"2024-10-05","last_seen_on":"2024-10-05","still_on_page":true}],"first_name":"Toan","last_name":"Do","position":"Vice President of Sales","position_raw":"Vice President of Sales, US Government Sales","seniority":"executive","department":"sales","linkedin":"https://www.linkedin.com/in/toanddo","twitter":null,"phone_number":null,"verification":{"date":"2025-02-05","status":"valid"}},{"value":"manuel.schindler@collibra.com","type":"personal","confidence":98,"sources":[{"domain":"linkedin.com","uri":"https://www.google.com/search?q=site:linkedin.com%20manuel%20schindler%20collibra","extracted_on":"2025-01-07","last_seen_on":"2025-01-07","still_on_page":true}],"first_name":"Manuel","last_name":"Schindler","position":"Director of Sales","position_raw":"Director, Inside Sales","seniority":null,"department":"sales","linkedin":"https://www.linkedin.com/in/manuelschindler","twitter":null,"phone_number":null,"verification":{"date":"2025-01-30","status":"valid"}},{"value":"swathi.kunchenapalli@collibra.com","type":"personal","confidence":98,"sources":[{"domain":"linkedin.com","uri":"https://www.google.com/search?q=site:linkedin.com%20swathi%20kunchenapalli%20collibra","extracted_on":"2025-01-03","last_seen_on":"2025-01-03","still_on_page":true}],"first_name":"Swathi","last_name":"Kunchenapalli","position":"Business Systems Analyst","position_raw":"IT Business Systems Analyst","seniority":null,"department":"sales","linkedin":"https://www.linkedin.com/in/swathi-kunchenapalli-a93b01106","twitter":null,"phone_number":null,"verification":{"date":null,"status":null}}]</t>
  </si>
  <si>
    <t>For you guys that might mean personalized data sources or customized governance policies.</t>
  </si>
  <si>
    <t>Collibra</t>
  </si>
  <si>
    <t>/companies/collibra/</t>
  </si>
  <si>
    <t>Collibra is the trusted data authority that provides data stewardship, data governance and data management for the enterprise business user.</t>
  </si>
  <si>
    <t>Felix Van De Maele; Pieter De Leenheer; Stijn Christiaens</t>
  </si>
  <si>
    <t>complyadvantage.com</t>
  </si>
  <si>
    <t>[{"value":"sarah.parnell@complyadvantage.com","type":"personal","confidence":98,"sources":[{"domain":"linkedin.com","uri":"https://www.google.com/search?q=site:linkedin.com%20sarah%20parnell%20complyadvantage","extracted_on":"2025-01-07","last_seen_on":"2025-01-07","still_on_page":true}],"first_name":"Sarah","last_name":"Parnell","position":"HR Business Partner","position_raw":"HR Business Partner and HR Operations Lead","seniority":null,"department":"sales","linkedin":"https://www.linkedin.com/in/sarah-parnell-62590839","twitter":null,"phone_number":null,"verification":{"date":"2025-01-06","status":"valid"}},{"value":"jack.patey@complyadvantage.com","type":"personal","confidence":98,"sources":[{"domain":"linkedin.com","uri":"https://www.google.com/search?q=site:linkedin.com%20jack%20patey%20complyadvantage","extracted_on":"2025-01-07","last_seen_on":"2025-01-07","still_on_page":true}],"first_name":"Jack","last_name":"Patey","position":"Business Development Manager","position_raw":"Senior Business Development Executive","seniority":"senior","department":"sales","linkedin":"https://www.linkedin.com/in/jack-patey-b45218151","twitter":null,"phone_number":null,"verification":{"date":"2025-01-06","status":"valid"}},{"value":"clement.couturier@complyadvantage.com","type":"personal","confidence":98,"sources":[{"domain":"linkedin.com","uri":"https://www.google.com/search?q=site:linkedin.com%20clement%20couturier%20complyadvantage","extracted_on":"2025-01-07","last_seen_on":"2025-01-07","still_on_page":true}],"first_name":"Clement","last_name":"Couturier","position":"Business Development Manager","position_raw":"Business Development Executive","seniority":"senior","department":"sales","linkedin":"https://www.linkedin.com/in/clement-couturier-237458121","twitter":null,"phone_number":null,"verification":{"date":"2025-01-06","status":"valid"}},{"value":"samuel.leary@complyadvantage.com","type":"personal","confidence":98,"sources":[{"domain":"linkedin.com","uri":"https://www.google.com/search?q=site:linkedin.com%20samuel%20leary%20complyadvantage","extracted_on":"2025-01-07","last_seen_on":"2025-01-07","still_on_page":true}],"first_name":"Samuel","last_name":"Leary","position":"Business Development Manager","position_raw":"AML &amp; KYC Executive","seniority":"senior","department":"sales","linkedin":"https://www.linkedin.com/in/samuel-leary-5285b51b5","twitter":null,"phone_number":null,"verification":{"date":"2025-01-16","status":"valid"}},{"value":"paaras.popat@complyadvantage.com","type":"personal","confidence":98,"sources":[{"domain":"linkedin.com","uri":"https://www.google.com/search?q=site:linkedin.com%20paaras%20popat%20complyadvantage","extracted_on":"2025-01-07","last_seen_on":"2025-01-07","still_on_page":true}],"first_name":"Paaras","last_name":"Popat","position":"Business Development Manager","position_raw":"Business Development Executive","seniority":"senior","department":"sales","linkedin":"https://www.linkedin.com/in/paaraspopat","twitter":null,"phone_number":null,"verification":{"date":"2025-01-07","status":"valid"}},{"value":"logan.felix@complyadvantage.com","type":"personal","confidence":98,"sources":[{"domain":"linkedin.com","uri":"https://www.google.com/search?q=site:linkedin.com%20logan%20felix%20complyadvantage","extracted_on":"2025-01-03","last_seen_on":"2025-01-03","still_on_page":true}],"first_name":"Logan","last_name":"Felix","position":"Business Development Manager","position_raw":"Business Development Executive","seniority":"senior","department":"sales","linkedin":"https://www.linkedin.com/in/logan-felix-7325b3154","twitter":null,"phone_number":null,"verification":{"date":"2025-01-07","status":"valid"}},{"value":"gabriel.mcilrath@complyadvantage.com","type":"personal","confidence":98,"sources":[{"domain":"linkedin.com","uri":"https://www.google.com/search?q=site:linkedin.com%20gabriel%20mcilrath%20complyadvantage","extracted_on":"2025-01-08","last_seen_on":"2025-01-08","still_on_page":true}],"first_name":"Gabriel","last_name":"Mcilrath","position":"Account Executive","position_raw":"Account Executive","seniority":"executive","department":"sales","linkedin":"https://www.linkedin.com/in/gabriel-mcilrath-377a4515a","twitter":null,"phone_number":null,"verification":{"date":"2025-01-08","status":"valid"}},{"value":"olivia.fabri@complyadvantage.com","type":"personal","confidence":98,"sources":[{"domain":"linkedin.com","uri":"https://www.google.com/search?q=site:linkedin.com%20olivia%20fabri%20complyadvantage","extracted_on":"2025-01-07","last_seen_on":"2025-01-07","still_on_page":true}],"first_name":"Olivia","last_name":"Fabri","position":"Digital Account Executive","position_raw":"Digital Account Executive","seniority":"executive","department":"sales","linkedin":"https://www.linkedin.com/in/oliviafabri","twitter":null,"phone_number":null,"verification":{"date":"2025-01-07","status":"valid"}},{"value":"bronte.mulvany@complyadvantage.com","type":"personal","confidence":97,"sources":[{"domain":"linkedin.com","uri":"https://www.google.com/search?q=site:linkedin.com%20bront%C3%AB%20mulvany%20complyadvantage","extracted_on":"2025-01-08","last_seen_on":"2025-01-08","still_on_page":true}],"first_name":"Brontë","last_name":"Mulvany","position":"Director of Business Development","position_raw":"Head of Business Development EMEA","seniority":null,"department":"sales","linkedin":"https://www.linkedin.com/in/bront%c3%ab-mulvany-66a6501a6","twitter":null,"phone_number":null,"verification":{"date":"2025-02-17","status":"valid"}},{"value":"libby.derbyshire@complyadvantage.com","type":"personal","confidence":97,"sources":[{"domain":"linkedin.com","uri":"https://www.google.com/search?q=site:linkedin.com%20libby%20derbyshire%20complyadvantage","extracted_on":"2025-01-07","last_seen_on":"2025-01-07","still_on_page":true}],"first_name":"Libby","last_name":"Derbyshire","position":"Director of Sales and Account Management","position_raw":"Sales &amp; Account Management Director, EMEA","seniority":null,"department":"sales","linkedin":"https://www.linkedin.com/in/libby-derbyshire-5a763446","twitter":null,"phone_number":null,"verification":{"date":null,"status":null}}]</t>
  </si>
  <si>
    <t>For you guys that might mean personalized risk scores... or personalized watchlist hits.</t>
  </si>
  <si>
    <t>ComplyAdvantage</t>
  </si>
  <si>
    <t>/companies/complyadvantage/</t>
  </si>
  <si>
    <t>ComplyAdvantage is transforming financial crime detection on a global scale. The company’s vision is to take on and neutralize the risk of money laundering, terrorist financing, corruption and all other global financial crimes. It does this by providing the world’s only dynamic global risk database to large banks, insurers, fintechs and other institutions with financial regulatory requirements.</t>
  </si>
  <si>
    <t>Charles Delingpole; Vatsa Narasimha</t>
  </si>
  <si>
    <t>covariant.ai</t>
  </si>
  <si>
    <t>For you guys that might mean personalized SKU types... or personalized pick paths.</t>
  </si>
  <si>
    <t>Covariant</t>
  </si>
  <si>
    <t>Covariant.ai</t>
  </si>
  <si>
    <t>/companies/covariantai/</t>
  </si>
  <si>
    <t>AI Robotics for the Real World</t>
  </si>
  <si>
    <t>Pieter Abbeel; Peter Chen; Rocky Duan</t>
  </si>
  <si>
    <t>cradle.bio</t>
  </si>
  <si>
    <t>For you guys that might mean personalized target sequences... or personalized activity scores.</t>
  </si>
  <si>
    <t>Cradle</t>
  </si>
  <si>
    <t>/companies/cradlebio/</t>
  </si>
  <si>
    <t>🧬 + 🧠 = 🏭</t>
  </si>
  <si>
    <t>Elise de Reus; Stef van Grieken</t>
  </si>
  <si>
    <t>Team; Team; Sofia Dolfe; Carlos Gonzalez-Cadenas; Team</t>
  </si>
  <si>
    <t>cultureamp.com</t>
  </si>
  <si>
    <t>[{"value":"adam@cultureamp.com","type":"personal","confidence":94,"sources":[{"domain":"linkedin.com","uri":"https://www.google.com/search?q=site:linkedin.com%20adam%20close%20cultureamp","extracted_on":"2025-01-14","last_seen_on":"2025-01-14","still_on_page":true}],"first_name":"Adam","last_name":"Close","position":"Sales Director","position_raw":"Sales Director, EMEA","seniority":null,"department":"sales","linkedin":"https://www.linkedin.com/in/adamclose","twitter":null,"phone_number":null,"verification":{"date":"2025-01-22","status":"accept_all"}},{"value":"james@cultureamp.com","type":"personal","confidence":94,"sources":[{"domain":"linkedin.com","uri":"https://www.google.com/search?q=site:linkedin.com%20james%20musster%20cultureamp","extracted_on":"2025-01-14","last_seen_on":"2025-01-14","still_on_page":true}],"first_name":"James","last_name":"Musster","position":"Account Executive","position_raw":"Enterprise Account Executive","seniority":"executive","department":"sales","linkedin":"https://www.linkedin.com/in/james-musster-b7b16771","twitter":null,"phone_number":null,"verification":{"date":"2025-01-22","status":"accept_all"}},{"value":"daniel@cultureamp.com","type":"personal","confidence":94,"sources":[{"domain":"linkedin.com","uri":"https://www.google.com/search?q=site:linkedin.com%20daniel%20dyakov%20cultureamp","extracted_on":"2025-01-14","last_seen_on":"2025-01-14","still_on_page":true}],"first_name":"Daniel","last_name":"Dyakov","position":"Account Executive","position_raw":"Senior Account Executive","seniority":"executive","department":"sales","linkedin":"https://www.linkedin.com/in/danieldyakov","twitter":null,"phone_number":null,"verification":{"date":"2025-02-18","status":"accept_all"}},{"value":"liliana@cultureamp.com","type":"personal","confidence":93,"sources":[{"domain":"linkedin.com","uri":"https://www.google.com/search?q=site:linkedin.com%20liliana%20kellett%20cultureamp","extracted_on":"2025-01-14","last_seen_on":"2025-01-14","still_on_page":true}],"first_name":"Liliana","last_name":"Kellett","position":"Sales Director","position_raw":"Director of Sales, SMB APAC","seniority":null,"department":"sales","linkedin":"https://www.linkedin.com/in/lilianakellett","twitter":null,"phone_number":null,"verification":{"date":"2025-01-14","status":"accept_all"}},{"value":"kara@cultureamp.com","type":"personal","confidence":93,"sources":[{"domain":"linkedin.com","uri":"https://www.google.com/search?q=site:linkedin.com%20kara%20bonnet%20cultureamp","extracted_on":"2025-01-14","last_seen_on":"2025-01-14","still_on_page":true}],"first_name":"Kara","last_name":"Bonnet","position":"Director of Account Management","position_raw":"Director, Account Management","seniority":null,"department":"sales","linkedin":"https://www.linkedin.com/in/kara-bonnet-a9688334","twitter":null,"phone_number":null,"verification":{"date":"2025-01-14","status":"accept_all"}},{"value":"alex@cultureamp.com","type":"personal","confidence":93,"sources":[{"domain":"linkedin.com","uri":"https://www.google.com/search?q=site:linkedin.com%20alex%20power%20cultureamp","extracted_on":"2025-01-14","last_seen_on":"2025-01-14","still_on_page":true}],"first_name":"Alex","last_name":"Power","position":"Director of Sales","position_raw":"Director of Enterprise Sales, North America","seniority":null,"department":"sales","linkedin":"https://www.linkedin.com/in/alexpower","twitter":null,"phone_number":null,"verification":{"date":"2025-01-14","status":"accept_all"}},{"value":"ross@cultureamp.com","type":"personal","confidence":93,"sources":[{"domain":"linkedin.com","uri":"https://www.google.com/search?q=site:linkedin.com%20ross%20carstairs%20cultureamp","extracted_on":"2025-01-14","last_seen_on":"2025-01-14","still_on_page":true}],"first_name":"Ross","last_name":"Carstairs","position":"Account Executive","position_raw":"Senior Account Executive","seniority":"executive","department":"sales","linkedin":"https://www.linkedin.com/in/rosscarstairs","twitter":null,"phone_number":null,"verification":{"date":"2025-01-14","status":"accept_all"}},{"value":"hailey@cultureamp.com","type":"personal","confidence":93,"sources":[{"domain":"linkedin.com","uri":"https://www.google.com/search?q=site:linkedin.com%20hailey%20best%20cultureamp","extracted_on":"2025-01-13","last_seen_on":"2025-01-13","still_on_page":true}],"first_name":"Hailey","last_name":"Best","position":"Enterprise Account Executive","position_raw":"Lead Enterprise Account Executive","seniority":"executive","department":"sales","linkedin":"https://www.linkedin.com/in/hailey-best-aa40b1b5","twitter":null,"phone_number":null,"verification":{"date":"2025-01-13","status":"accept_all"}},{"value":"emily@cultureamp.com","type":"personal","confidence":92,"sources":[{"domain":"linkedin.com","uri":"https://www.google.com/search?q=site:linkedin.com%20emily%20orchowski%20cultureamp","extracted_on":"2025-01-14","last_seen_on":"2025-01-14","still_on_page":true}],"first_name":"Emily","last_name":"Orchowski","position":"Senior Account Executive","position_raw":"Senior Account Executive Mid-Market","seniority":"executive","department":"sales","linkedin":"https://www.linkedin.com/in/emily-orchowski-6974a9a1","twitter":null,"phone_number":null,"verification":{"date":"2025-02-06","status":"accept_all"}},{"value":"omar@cultureamp.com","type":"personal","confidence":92,"sources":[{"domain":"linkedin.com","uri":"https://www.google.com/search?q=site:linkedin.com%20omar%20knight%20cultureamp","extracted_on":"2025-01-13","last_seen_on":"2025-01-13","still_on_page":true}],"first_name":"Omar","last_name":"Knight","position":"Account Executive","position_raw":"Lead Account Executive","seniority":"executive","department":"sales","linkedin":"https://www.linkedin.com/in/knightomar","twitter":null,"phone_number":null,"verification":{"date":"2025-01-13","status":"accept_all"}}]</t>
  </si>
  <si>
    <t>For you guys that might mean personalized survey templates... or personalized 1:1 prompts.</t>
  </si>
  <si>
    <t>Culture Amp</t>
  </si>
  <si>
    <t>/companies/culture-amp/</t>
  </si>
  <si>
    <t>Culture Amp is a culture-first software company that is building the world&amp;#x27;s leading People Analytics platform for people and culture.</t>
  </si>
  <si>
    <t>Didier Elzinga; Douglas English; Jon Williams; Jonathan Williams; Rod Hamilton</t>
  </si>
  <si>
    <t>Team; Team; Neil Rimer; Team</t>
  </si>
  <si>
    <t>edited.com</t>
  </si>
  <si>
    <t>[{"value":"anna@edited.com","type":"personal","confidence":99,"sources":[{"domain":"linkedin.com","uri":"https://www.google.com/search?q=site:linkedin.com%20anna%20cain%20edited","extracted_on":"2025-01-07","last_seen_on":"2025-01-07","still_on_page":true}],"first_name":"Anna","last_name":"Cain","position":"Director of Account Management","position_raw":"Director of Account Management, EMEA &amp; APAC","seniority":null,"department":"sales","linkedin":"https://www.linkedin.com/in/anna-cain-52b1b484","twitter":null,"phone_number":null,"verification":{"date":"2025-01-07","status":"valid"}},{"value":"anna.carfa@edited.com","type":"personal","confidence":99,"sources":[{"domain":"linkedin.com","uri":"https://www.google.com/search?q=site:linkedin.com%20anna%20carfa%20edited","extracted_on":"2025-01-03","last_seen_on":"2025-01-03","still_on_page":true}],"first_name":"Anna","last_name":"Carfa","position":"Sales Consultant","position_raw":"Sr. Solution Sales Consultant","seniority":null,"department":"sales","linkedin":"https://www.linkedin.com/in/annamcgarthwaite","twitter":null,"phone_number":null,"verification":{"date":null,"status":null}},{"value":"carl@edited.com","type":"personal","confidence":99,"sources":[{"domain":"linkedin.com","uri":"https://www.google.com/search?q=site:linkedin.com%20carl%20kammerer%20edited","extracted_on":"2025-01-07","last_seen_on":"2025-01-07","still_on_page":true}],"first_name":"Carl","last_name":"Kammerer","position":"Sales Executive","position_raw":"Senior Sales Executive","seniority":"executive","department":"sales","linkedin":"https://www.linkedin.com/in/carlkammerer","twitter":null,"phone_number":null,"verification":{"date":"2025-01-16","status":"valid"}},{"value":"ann.dale@edited.com","type":"personal","confidence":99,"sources":[{"domain":"linkedin.com","uri":"https://www.google.com/search?q=site:linkedin.com%20ann%20dale%20edited","extracted_on":"2025-01-08","last_seen_on":"2025-01-08","still_on_page":true}],"first_name":"Ann","last_name":"Dale","position":"Vice President of Sales","position_raw":"VP, Senior Strategic Sales Executive, Global Growth Team","seniority":"executive","department":"sales","linkedin":"https://www.linkedin.com/in/ann-bennett-dale-5a420110","twitter":null,"phone_number":null,"verification":{"date":"2025-01-07","status":"valid"}},{"value":"simon.link@edited.com","type":"personal","confidence":98,"sources":[{"domain":"linkedin.com","uri":"https://www.google.com/search?q=site:linkedin.com%20simon%20link%20edited","extracted_on":"2025-01-07","last_seen_on":"2025-01-07","still_on_page":true}],"first_name":"Simon","last_name":"Link","position":"Sales Director","position_raw":"Sales Director EMEA","seniority":null,"department":"sales","linkedin":"https://www.linkedin.com/in/simon-link-05a19213","twitter":null,"phone_number":null,"verification":{"date":"2025-01-07","status":"valid"}},{"value":"elizabeth.dimauro@edited.com","type":"personal","confidence":97,"sources":[{"domain":"linkedin.com","uri":"https://www.google.com/search?q=site:linkedin.com%20elizabeth%20dimauro%20edited","extracted_on":"2025-01-17","last_seen_on":"2025-01-17","still_on_page":true}],"first_name":"Elizabeth","last_name":"Dimauro","position":"Strategic Account Manager","position_raw":"Strategic Account Manager","seniority":"senior","department":"sales","linkedin":"https://www.linkedin.com/in/elizabeth-dimauro","twitter":null,"phone_number":null,"verification":{"date":"2025-01-17","status":"valid"}},{"value":"hayley.fawthrop@edited.com","type":"personal","confidence":96,"sources":[{"domain":"linkedin.com","uri":"https://www.google.com/search?q=site:linkedin.com%20hayley%20fawthrop%20edited","extracted_on":"2025-01-03","last_seen_on":"2025-01-03","still_on_page":true}],"first_name":"Hayley","last_name":"Fawthrop","position":"Account Manager","position_raw":"Account Manager","seniority":"senior","department":"sales","linkedin":"https://www.linkedin.com/in/hayley-fawthrop-64b286122","twitter":null,"phone_number":null,"verification":{"date":"2025-01-06","status":"valid"}},{"value":"emma.carleton@edited.com","type":"personal","confidence":96,"sources":[{"domain":"linkedin.com","uri":"https://www.google.com/search?q=site:linkedin.com%20emma%20carleton%20edited","extracted_on":"2025-01-03","last_seen_on":"2025-01-03","still_on_page":true}],"first_name":"Emma","last_name":"Carleton","position":"Senior Account Manager","position_raw":"Senior Account Manager","seniority":"senior","department":"sales","linkedin":"https://www.linkedin.com/in/emma-carleton-197b48b2","twitter":null,"phone_number":null,"verification":{"date":null,"status":null}},{"value":"lucy.hitchinson@edited.com","type":"personal","confidence":96,"sources":[{"domain":"linkedin.com","uri":"https://www.google.com/search?q=site:linkedin.com%20lucy%20hitchinson%20edited","extracted_on":"2025-01-07","last_seen_on":"2025-01-07","still_on_page":true}],"first_name":"Lucy","last_name":"Hitchinson","position":"Sales Executive","position_raw":"Senior Sales Executive","seniority":"executive","department":"sales","linkedin":"https://www.linkedin.com/in/lucy-hitchinson-a78ab529","twitter":null,"phone_number":null,"verification":{"date":"2025-01-07","status":"valid"}}]</t>
  </si>
  <si>
    <t>For you guys that might mean personalized pricing rules...or personalized assortment views.</t>
  </si>
  <si>
    <t>EDITED</t>
  </si>
  <si>
    <t>/companies/edited/</t>
  </si>
  <si>
    <t>Providing real-time fashion industry analytics, EDITED runs the world’s biggest apparel data warehouse, shaping decision-making at the world’s foremost fashion retailers.</t>
  </si>
  <si>
    <t>Geoff Watts; Julia Fowler</t>
  </si>
  <si>
    <t>evervault.com</t>
  </si>
  <si>
    <t>[{"value":"sales@evervault.com","type":"generic","confidence":78,"sources":[{"domain":"evervault.com","uri":"http://evervault.com/blog/announcing-hipaa-and-soc-2-compliance","extracted_on":"2021-09-20","last_seen_on":"2025-01-16","still_on_page":true},{"domain":"evervault.com","uri":"http://evervault.com/blog/announcing-pci","extracted_on":"2021-09-20","last_seen_on":"2025-01-16","still_on_page":true},{"domain":"iisf.ie","uri":"http://iisf.ie/page/vendors","extracted_on":"2023-01-22","last_seen_on":"2024-02-16","still_on_page":false},{"domain":"evervault.com","uri":"http://evervault.com/blog/relay-and-cages","extracted_on":"2021-09-20","last_seen_on":"2023-01-16","still_on_page":false},{"domain":"evervault.com","uri":"http://evervault.com/blog/payments","extracted_on":"2022-07-13","last_seen_on":"2022-10-14","still_on_page":false},{"domain":"evervault.com","uri":"http://evervault.com/pricing","extracted_on":"2021-06-19","last_seen_on":"2022-03-20","still_on_page":false}],"first_name":null,"last_name":null,"position":null,"position_raw":null,"seniority":null,"department":"sales","linkedin":null,"twitter":null,"phone_number":null,"verification":{"date":null,"status":null}}]</t>
  </si>
  <si>
    <t>For you guys that might mean personalized card designs... or personalized BIN ranges.</t>
  </si>
  <si>
    <t>Evervault</t>
  </si>
  <si>
    <t>evervault</t>
  </si>
  <si>
    <t>/companies/evervault/</t>
  </si>
  <si>
    <t>API for data privacy.</t>
  </si>
  <si>
    <t>Shane Curran</t>
  </si>
  <si>
    <t>fonoa.com</t>
  </si>
  <si>
    <t>[{"value":"neil.jarboe@fonoa.com","type":"personal","confidence":99,"sources":[{"domain":"linkedin.com","uri":"https://www.google.com/search?q=site:linkedin.com%20neil%20jarboe%20fonoa","extracted_on":"2025-01-03","last_seen_on":"2025-01-03","still_on_page":true}],"first_name":"Neil","last_name":"Jarboe","position":"Account Executive","position_raw":"Enterprise Account Executive","seniority":"executive","department":"sales","linkedin":"https://www.linkedin.com/in/neil-jarboe-23a8a930","twitter":null,"phone_number":null,"verification":{"date":"2025-01-07","status":"valid"}},{"value":"aaron.logan@fonoa.com","type":"personal","confidence":98,"sources":[{"domain":"linkedin.com","uri":"https://www.google.com/search?q=site:linkedin.com%20aaron%20logan%20fonoa","extracted_on":"2025-01-07","last_seen_on":"2025-01-07","still_on_page":true}],"first_name":"Aaron","last_name":"Logan","position":"Account Executive","position_raw":"Enterprise Account Executive","seniority":"executive","department":"sales","linkedin":"https://www.linkedin.com/in/aaronllogan","twitter":null,"phone_number":null,"verification":{"date":"2025-01-07","status":"valid"}},{"value":"stephen.robinson@fonoa.com","type":"personal","confidence":98,"sources":[{"domain":"linkedin.com","uri":"https://www.google.com/search?q=site:linkedin.com%20stephen%20robinson%20fonoa","extracted_on":"2025-01-07","last_seen_on":"2025-01-07","still_on_page":true}],"first_name":"Stephen","last_name":"Robinson","position":"Account Executive","position_raw":"Enterprise Account Executive","seniority":"executive","department":"sales","linkedin":"https://www.linkedin.com/in/stephen-robinson-sr","twitter":null,"phone_number":null,"verification":{"date":"2025-01-07","status":"valid"}},{"value":"tuan.nguyen@fonoa.com","type":"personal","confidence":97,"sources":[{"domain":"linkedin.com","uri":"https://www.google.com/search?q=site:linkedin.com%20tuan%20nguyen%20fonoa","extracted_on":"2025-01-03","last_seen_on":"2025-01-03","still_on_page":true}],"first_name":"Tuan","last_name":"Nguyen","position":"Account Executive","position_raw":"Enterprise Account Executive","seniority":"executive","department":"sales","linkedin":"https://www.linkedin.com/in/tuannguyen27","twitter":null,"phone_number":null,"verification":{"date":"2025-01-07","status":"valid"}},{"value":"phil.reid@fonoa.com","type":"personal","confidence":96,"sources":[{"domain":"linkedin.com","uri":"https://www.google.com/search?q=site:linkedin.com%20phil%20reid%20fonoa","extracted_on":"2025-01-07","last_seen_on":"2025-01-07","still_on_page":true}],"first_name":"Phil","last_name":"Reid","position":"Account Executive","position_raw":"Account Executive","seniority":"executive","department":"sales","linkedin":"https://www.linkedin.com/in/phil-reid-7314921a","twitter":null,"phone_number":null,"verification":{"date":"2025-01-07","status":"valid"}}]</t>
  </si>
  <si>
    <t>For you guys that might mean personalized tax IDs... or personalized invoice templates.</t>
  </si>
  <si>
    <t>Fonoa</t>
  </si>
  <si>
    <t>/companies/fonoa/</t>
  </si>
  <si>
    <t>Automating taxes for the internet economy</t>
  </si>
  <si>
    <t>Davor Tremac; Ivan Ivanković; Filip Sturman</t>
  </si>
  <si>
    <t>Team; Team; Stephane Kurgan; Hannah Seal; Team</t>
  </si>
  <si>
    <t>instabase.com</t>
  </si>
  <si>
    <t>[{"value":"nick.talbert@instabase.com","type":"personal","confidence":99,"sources":[{"domain":"linkedin.com","uri":"https://www.google.com/search?q=site:linkedin.com%20nick%20talbert%20instabase","extracted_on":"2025-01-08","last_seen_on":"2025-01-08","still_on_page":true}],"first_name":"Nick","last_name":"Talbert","position":"Enterprise Account Executive","position_raw":"Enterprise Account Development Executive","seniority":"executive","department":"sales","linkedin":"https://www.linkedin.com/in/nick-talbert-2314811aa","twitter":null,"phone_number":null,"verification":{"date":"2025-01-08","status":"valid"}},{"value":"akshay.shah@instabase.com","type":"personal","confidence":99,"sources":[{"domain":"linkedin.com","uri":"https://www.google.com/search?q=site:linkedin.com%20akshay%20shah%20instabase","extracted_on":"2025-01-07","last_seen_on":"2025-01-07","still_on_page":true}],"first_name":"Akshay","last_name":"Shah","position":"Account Executive","position_raw":"Enterprise Account Executive","seniority":"executive","department":"sales","linkedin":"https://www.linkedin.com/in/akshayshahuk","twitter":null,"phone_number":null,"verification":{"date":"2025-01-07","status":"valid"}},{"value":"louisa.gould@instabase.com","type":"personal","confidence":98,"sources":[{"domain":"linkedin.com","uri":"https://www.google.com/search?q=site:linkedin.com%20louisa%20gould%20instabase","extracted_on":"2025-01-03","last_seen_on":"2025-01-03","still_on_page":true}],"first_name":"Louisa","last_name":"Gould","position":"Account Executive","position_raw":"Account Development Executive","seniority":"executive","department":"sales","linkedin":"https://www.linkedin.com/in/louisa-gould-6539b1138","twitter":null,"phone_number":null,"verification":{"date":"2025-01-17","status":"valid"}},{"value":"michael.clark@instabase.com","type":"personal","confidence":96,"sources":[{"domain":"linkedin.com","uri":"https://www.google.com/search?q=site:linkedin.com%20michael%20clark%20instabase","extracted_on":"2025-01-07","last_seen_on":"2025-01-07","still_on_page":true}],"first_name":"Michael","last_name":"Clark","position":"Enterprise Account Executive","position_raw":"Enterprise Account Development","seniority":"executive","department":"sales","linkedin":"https://www.linkedin.com/in/michael-clark-newyork","twitter":null,"phone_number":null,"verification":{"date":"2025-02-15","status":"valid"}}]</t>
  </si>
  <si>
    <t>For you guys that might mean personalized workflows... or personalized knowledge bases.</t>
  </si>
  <si>
    <t>Instabase</t>
  </si>
  <si>
    <t>/companies/instabase/</t>
  </si>
  <si>
    <t>Why does the world need another computer?</t>
  </si>
  <si>
    <t>Anant Bhardwaj</t>
  </si>
  <si>
    <t>lookout.com</t>
  </si>
  <si>
    <t>[{"value":"nancy.lam@lookout.com","type":"personal","confidence":99,"sources":[{"domain":"linkedin.com","uri":"https://www.google.com/search?q=site:linkedin.com%20nancy%20lam%20lookout","extracted_on":"2025-01-07","last_seen_on":"2025-01-07","still_on_page":true},{"domain":"lookout.com","uri":"http://lookout.com/blog/lookout-google-cloud-partnership-delivers-zero-trust-from-endpoint-to-cloud","extracted_on":"2024-11-09","last_seen_on":"2024-11-09","still_on_page":true}],"first_name":"Nancy","last_name":"Lam","position":"Senior Director of Business Development","position_raw":"Sr. Director Of Business Development","seniority":"senior","department":"sales","linkedin":"https://www.linkedin.com/in/nancycelam","twitter":null,"phone_number":null,"verification":{"date":"2025-02-14","status":"valid"}},{"value":"richard.mccallus@lookout.com","type":"personal","confidence":99,"sources":[{"domain":"patechcon.com","uri":"http://patechcon.com/lookout2024","extracted_on":"2024-08-04","last_seen_on":"2025-02-11","still_on_page":true},{"domain":"linkedin.com","uri":"https://www.google.com/search?q=site:linkedin.com%20richard%20mccallus%20lookout","extracted_on":"2025-01-17","last_seen_on":"2025-01-17","still_on_page":true}],"first_name":"Richard","last_name":"McCallus","position":"Enterprise Account Manager","position_raw":"Enterprise Account Manager - Mid Atlantic","seniority":"senior","department":"sales","linkedin":"https://www.linkedin.com/in/richardmccallus","twitter":null,"phone_number":null,"verification":{"date":"2025-01-17","status":"valid"}},{"value":"kallie.bolling@lookout.com","type":"personal","confidence":99,"sources":[{"domain":"linkedin.com","uri":"https://www.google.com/search?q=site:linkedin.com%20kallie%20bolling%20lookout","extracted_on":"2025-01-07","last_seen_on":"2025-01-07","still_on_page":true}],"first_name":"Kallie","last_name":"Bolling","position":"Account Executive","position_raw":"Commercial Account Executive","seniority":"executive","department":"sales","linkedin":"https://www.linkedin.com/in/kallie-gonzales","twitter":null,"phone_number":null,"verification":{"date":"2025-01-07","status":"valid"}},{"value":"bahaa.hudairi@lookout.com","type":"personal","confidence":98,"sources":[{"domain":"linkedin.com","uri":"https://www.google.com/search?q=site:linkedin.com%20bahaa%20hudairi%20lookout","extracted_on":"2025-01-07","last_seen_on":"2025-01-07","still_on_page":true}],"first_name":"Bahaa","last_name":"Hudairi","position":"Regional Sales Director","position_raw":"Regional Sales Director META","seniority":null,"department":"sales","linkedin":"https://www.linkedin.com/in/bahaahudairi","twitter":null,"phone_number":null,"verification":{"date":"2025-02-06","status":"valid"}},{"value":"sean.mclaughlin@lookout.com","type":"personal","confidence":98,"sources":[{"domain":"linkedin.com","uri":"https://www.google.com/search?q=site:linkedin.com%20sean%20mclaughlin%20lookout","extracted_on":"2025-01-03","last_seen_on":"2025-01-03","still_on_page":true}],"first_name":"Sean","last_name":"McLaughlin","position":"Account Executive","position_raw":"Commercial Account Executive","seniority":"executive","department":"sales","linkedin":"https://www.linkedin.com/in/sean-mclaughlin-b14030273","twitter":null,"phone_number":null,"verification":{"date":"2025-01-07","status":"valid"}},{"value":"graham.hunter@lookout.com","type":"personal","confidence":98,"sources":[{"domain":"insider.govtech.com","uri":"http://insider.govtech.com/texas/news/new-member-company-lookout","extracted_on":"2024-02-14","last_seen_on":"2025-02-23","still_on_page":true},{"domain":"insider.govtech.com","uri":"http://insider.govtech.com/texas/lookout","extracted_on":"2024-02-14","last_seen_on":"2025-02-02","still_on_page":true},{"domain":"linkedin.com","uri":"https://www.google.com/search?q=site:linkedin.com%20graham%20hunter%20lookout","extracted_on":"2025-01-07","last_seen_on":"2025-01-07","still_on_page":true},{"domain":"insider.govtech.com","uri":"http://insider.govtech.com/texas/news-staff","extracted_on":"2024-02-14","last_seen_on":"2024-06-29","still_on_page":false},{"domain":"insider.govtech.com","uri":"http://insider.govtech.com/texas/news","extracted_on":"2024-02-14","last_seen_on":"2024-02-15","still_on_page":false},{"domain":"insider.govtech.com","uri":"http://insider.govtech.com/texas","extracted_on":"2024-02-14","last_seen_on":"2024-02-14","still_on_page":false}],"first_name":"Graham","last_name":"Hunter","position":"Account Executive","position_raw":"Regional Account Executive","seniority":"executive","department":"sales","linkedin":"https://www.linkedin.com/in/grahamhunter1","twitter":null,"phone_number":null,"verification":{"date":null,"status":null}},{"value":"max.sulaiman@lookout.com","type":"personal","confidence":97,"sources":[{"domain":"linkedin.com","uri":"https://www.google.com/search?q=site:linkedin.com%20max%20sulaiman%20lookout","extracted_on":"2025-01-17","last_seen_on":"2025-01-17","still_on_page":true}],"first_name":"Max","last_name":"Sulaiman","position":"Enterprise Account Manager","position_raw":"Enterprise Account Manager - DACH","seniority":"senior","department":"sales","linkedin":"https://www.linkedin.com/in/max-sulaiman-3249819b","twitter":null,"phone_number":null,"verification":{"date":"2025-01-17","status":"valid"}},{"value":"simon.holland@lookout.com","type":"personal","confidence":97,"sources":[{"domain":"linkedin.com","uri":"https://www.google.com/search?q=site:linkedin.com%20simon%20holland%20lookout","extracted_on":"2025-01-07","last_seen_on":"2025-01-07","still_on_page":true}],"first_name":"Simon","last_name":"Holland","position":"Senior Director of Sales","position_raw":"Senior Director - Carrier Sales EMEA &amp; APJ","seniority":"senior","department":"sales","linkedin":"https://www.linkedin.com/in/simonholland","twitter":null,"phone_number":null,"verification":{"date":"2025-01-07","status":"valid"}},{"value":"james.shelton@lookout.com","type":"personal","confidence":97,"sources":[{"domain":"linkedin.com","uri":"https://www.google.com/search?q=site:linkedin.com%20james%20shelton%20lookout","extracted_on":"2025-01-03","last_seen_on":"2025-01-03","still_on_page":true}],"first_name":"James","last_name":"Shelton","position":"Account Manager","position_raw":"Renewal Account Manager","seniority":"senior","department":"sales","linkedin":"https://www.linkedin.com/in/james-shelton-370a7082","twitter":null,"phone_number":null,"verification":{"date":null,"status":null}},{"value":"susan.rachal@lookout.com","type":"personal","confidence":97,"sources":[{"domain":"linkedin.com","uri":"https://www.google.com/search?q=site:linkedin.com%20susan%20rachal%20lookout","extracted_on":"2025-01-03","last_seen_on":"2025-01-03","still_on_page":true}],"first_name":"Susan","last_name":"Rachal","position":"Sales Enablement Manager","position_raw":"Sales Enablement Program Manager","seniority":"senior","department":"sales","linkedin":"https://www.linkedin.com/in/susanrachal","twitter":null,"phone_number":null,"verification":{"date":null,"status":null}}]</t>
  </si>
  <si>
    <t>For you guys that might mean personalized DLP policies... or personalized threat intel feeds.</t>
  </si>
  <si>
    <t>Lookout</t>
  </si>
  <si>
    <t>/companies/lookout/</t>
  </si>
  <si>
    <t>As smart-phones go global and tablets overtake PCs, Lookout harnesses the power of millions of users across 400 networks in 170 countries to be at the cutting edge of cross-platform, cloud-connected device security for the post-desktop era.</t>
  </si>
  <si>
    <t>Jim Dolce; James Burgess; John Hering; Kevin Mahaffey</t>
  </si>
  <si>
    <t>loop.com</t>
  </si>
  <si>
    <t>[{"value":"sam@loop.com","type":"personal","confidence":99,"sources":[{"domain":"linkedin.com","uri":"https://www.google.com/search?q=site:linkedin.com%20sam%20eastwood%20loop","extracted_on":"2025-01-03","last_seen_on":"2025-01-03","still_on_page":true}],"first_name":"Sam","last_name":"Eastwood","position":"Business Operations Manager","position_raw":"Business Operations","seniority":"senior","department":"sales","linkedin":"https://www.linkedin.com/in/sam-eastwood-6a894247","twitter":null,"phone_number":null,"verification":{"date":"2024-12-31","status":"valid"}},{"value":"zach@loop.com","type":"personal","confidence":97,"sources":[{"domain":"linkedin.com","uri":"https://www.google.com/search?q=site:linkedin.com%20zach%20negroni%20loop","extracted_on":"2025-01-03","last_seen_on":"2025-01-03","still_on_page":true}],"first_name":"Zach","last_name":"Negroni","position":"Account Executive","position_raw":"Senior Account Executive","seniority":"executive","department":"sales","linkedin":"https://www.linkedin.com/in/zachnegroni","twitter":null,"phone_number":null,"verification":{"date":"2025-01-07","status":"valid"}},{"value":"marketing@loop.com","type":"generic","confidence":95,"sources":[{"domain":"andalusian.net","uri":"http://andalusian.net/cgi-bin/willkommen/51.75a4.14.187/veysrah.html","extracted_on":"2024-01-02","last_seen_on":"2024-01-02","still_on_page":false}],"first_name":null,"last_name":null,"position":null,"position_raw":null,"seniority":null,"department":"sales","linkedin":null,"twitter":null,"phone_number":null,"verification":{"date":null,"status":null}},{"value":"wholesale@loop.com","type":"generic","confidence":11,"sources":[{"domain":"andalusian.net","uri":"http://andalusian.net/cgi-bin/willkommen/217.182.88.e4191/taen.html","extracted_on":"2024-03-15","last_seen_on":"2024-03-15","still_on_page":false}],"first_name":null,"last_name":null,"position":null,"position_raw":null,"seniority":null,"department":"sales","linkedin":null,"twitter":null,"phone_number":null,"verification":{"date":null,"status":null}}]</t>
  </si>
  <si>
    <t>For you guys that might mean personalized freight lanes... or personalized carrier rates.</t>
  </si>
  <si>
    <t>Loop</t>
  </si>
  <si>
    <t>/companies/loop/</t>
  </si>
  <si>
    <t>Loop is a modern audit &amp;amp; pay platform that unlocks friction trapped in the supply chain. It&amp;#x27;s AI-driven platform improves transportation spend visibility so customers can control costs and power profit. Loop consolidates and analyzes all transportation financial data to accelerate the movement of money between supply chain stakeholders by improving cost visibility, cutting unnecessary spend, and optimizing transportation budget.</t>
  </si>
  <si>
    <t>Matt McKinney; Shaosu Liu</t>
  </si>
  <si>
    <t>keeptruckin.com</t>
  </si>
  <si>
    <t>[{"value":"sales@keeptruckin.com","type":"generic","confidence":85,"sources":[{"domain":"loginma.com","uri":"http://loginma.com/keeptruckin-com-login","extracted_on":"2025-02-20","last_seen_on":"2025-02-20","still_on_page":true},{"domain":"channelbiz.co.uk","uri":"http://channelbiz.co.uk/press-release/keeptruckin-releases-facility-insights-to-help-fleets-minimize-delays-and-detention","extracted_on":"2019-11-29","last_seen_on":"2024-12-26","still_on_page":true},{"domain":"migasreview.com","uri":"http://migasreview.com/keeptruckin-fleet-manager-dashboard-login","extracted_on":"2023-04-01","last_seen_on":"2024-11-29","still_on_page":true},{"domain":"punjabitruckingusa.com","uri":"http://punjabitruckingusa.com/keeptruckin-expands-hardware-portfolio-to-support-fleet-safety-and-efficiency","extracted_on":"2019-10-18","last_seen_on":"2024-11-29","still_on_page":true},{"domain":"businesswire.com","uri":"http://businesswire.com/news/home/20190909005517/en/keeptruckin-expands-hardware-portfolio-support-fleet-safety","extracted_on":"2019-10-10","last_seen_on":"2024-08-28","still_on_page":true},{"domain":"usermanuals.us","uri":"http://usermanuals.us/keeptruckin-eld-manual","extracted_on":"2020-03-08","last_seen_on":"2021-09-24","still_on_page":false},{"domain":"creativemac.digitalmedianet.com","uri":"http://creativemac.digitalmedianet.com/2019/09/09/keeptruckin-expands-hardware-portfolio-to-support-fleet-safety-and-efficiency","extracted_on":"2020-01-14","last_seen_on":"2021-05-09","still_on_page":false},{"domain":"creativemac.digitalmedianet.com","uri":"http://creativemac.digitalmedianet.com/2019/08/20/keeptruckin-releases-facility-insights-to-help-fleets-minimize-delays-and-detention","extracted_on":"2020-04-16","last_seen_on":"2021-04-29","still_on_page":false},{"domain":"digitalcad.digitalmedianet.com","uri":"http://digitalcad.digitalmedianet.com/2019/09/09/keeptruckin-expands-hardware-portfolio-to-support-fleet-safety-and-efficiency","extracted_on":"2019-12-08","last_seen_on":"2021-03-22","still_on_page":false},{"domain":"keeptruckin.wpengine.com","uri":"http://keeptruckin.wpengine.com/keeptruckin-family-grows","extracted_on":"2021-01-12","last_seen_on":"2021-01-14","still_on_page":false},{"domain":"keeptruckin.wpengine.com","uri":"http://keeptruckin.wpengine.com/lil-dawg-reviews-smart-dashcam","extracted_on":"2020-12-22","last_seen_on":"2020-12-22","still_on_page":false},{"domain":"keeptruckin.wpengine.com","uri":"http://keeptruckin.wpengine.com/safety-program-dash-cams","extracted_on":"2020-12-15","last_seen_on":"2020-12-15","still_on_page":false},{"domain":"keeptruckin.wpengine.com","uri":"http://keeptruckin.wpengine.com/incorrect-eld-violation-codes","extracted_on":"2020-12-02","last_seen_on":"2020-12-09","still_on_page":false},{"domain":"keeptruckin.wpengine.com","uri":"http://keeptruckin.wpengine.com/building-the-future-of-freight","extracted_on":"2020-12-03","last_seen_on":"2020-12-06","still_on_page":false},{"domain":"dfmdata.com","uri":"http://dfmdata.com/item/keep-truckin","extracted_on":"2020-05-10","last_seen_on":"2020-08-13","still_on_page":false},{"domain":"geoted.org","uri":"http://geoted.org/keeptruckin-eld","extracted_on":"2019-11-28","last_seen_on":"2020-07-27","still_on_page":false},{"domain":"punjabitruckingusa.com","uri":"http://punjabitruckingusa.com/category/news/products/page/2","extracted_on":"2020-07-11","last_seen_on":"2020-07-11","still_on_page":false},{"domain":"blog.keeptruckin.com","uri":"http://blog.keeptruckin.com","extracted_on":"2019-07-23","last_seen_on":"2020-07-07","still_on_page":false},{"domain":"keeptruckin.com","uri":"http://keeptruckin.com/eld-compliance-solution","extracted_on":"2022-02-28","last_seen_on":"2022-03-26","still_on_page":false},{"domain":"keeptruckin.com","uri":"http://keeptruckin.com/case-studies/steel-view","extracted_on":"2022-05-20","last_seen_on":"2022-05-20","still_on_page":false},{"domain":"keeptruckin.com","uri":"http://keeptruckin.com/dashcam-guide","extracted_on":"2022-06-08","last_seen_on":"2022-06-08","still_on_page":false},{"domain":"keeptruckin.com","uri":"http://keeptruckin.com/old-tos/february-2021","extracted_on":"2022-06-09","last_seen_on":"2022-06-09","still_on_page":false},{"domain":"keeptruckin.com","uri":"http://keeptruckin.com/old-tos","extracted_on":"2022-06-19","last_seen_on":"2022-06-19","still_on_page":false},{"domain":"chef-todos.be","uri":"http://chef-todos.be/11-09_9138.html","extracted_on":"2022-07-23","last_seen_on":"2022-10-23","still_on_page":false},{"domain":"vipgo.keeptruckin.com","uri":"http://vipgo.keeptruckin.com/fleet-workflow-solution","extracted_on":"2022-11-11","last_seen_on":"2022-11-11","still_on_page":false},{"domain":"vipgo.keeptruckin.com","uri":"http://vipgo.keeptruckin.com/fleet-safety-solution","extracted_on":"2022-11-11","last_seen_on":"2022-11-11","still_on_page":false},{"domain":"vipgo.keeptruckin.com","uri":"http://vipgo.keeptruckin.com/eld-compliance-solution","extracted_on":"2022-11-11","last_seen_on":"2022-11-11","still_on_page":false},{"domain":"vipgo.keeptruckin.com","uri":"http://vipgo.keeptruckin.com/eld-compliance","extracted_on":"2021-12-31","last_seen_on":"2022-11-11","still_on_page":false},{"domain":"vipgo.keeptruckin.com","uri":"http://vipgo.keeptruckin.com","extracted_on":"2021-06-28","last_seen_on":"2022-11-11","still_on_page":false},{"domain":"tsmodelschools.in","uri":"http://tsmodelschools.in/keeptruckin-com-login","extracted_on":"2023-12-08","last_seen_on":"2024-09-16","still_on_page":false}],"first_name":null,"last_name":null,"position":null,"position_raw":null,"seniority":null,"department":"sales","linkedin":null,"twitter":null,"phone_number":null,"verification":{"date":"2025-01-22","status":"accept_all"}},{"value":"marketing@keeptruckin.com","type":"generic","confidence":78,"sources":[{"domain":"gomotive.com","uri":"http://gomotive.com/legal-archive/old-privacy","extracted_on":"2022-10-22","last_seen_on":"2025-01-27","still_on_page":true},{"domain":"gomotive.com","uri":"http://gomotive.com/legal-archive/old-privacy/april-2019","extracted_on":"2023-05-25","last_seen_on":"2025-01-27","still_on_page":true},{"domain":"gomotive.com","uri":"http://gomotive.com/legal-archive/old-privacy/august-2019","extracted_on":"2023-05-25","last_seen_on":"2025-01-27","still_on_page":true},{"domain":"keeptruckin.com","uri":"http://keeptruckin.com/privacy","extracted_on":"2021-12-26","last_seen_on":"2022-03-26","still_on_page":false},{"domain":"vipgo.keeptruckin.com","uri":"http://vipgo.keeptruckin.com/privacy","extracted_on":"2021-06-28","last_seen_on":"2021-10-01","still_on_page":false}],"first_name":null,"last_name":null,"position":null,"position_raw":null,"seniority":null,"department":"sales","linkedin":null,"twitter":null,"phone_number":null,"verification":{"date":null,"status":null}}]</t>
  </si>
  <si>
    <t>For you guys that might mean personalized vehicle data...or personalized driver scorecards.</t>
  </si>
  <si>
    <t>Motive</t>
  </si>
  <si>
    <t>mobility</t>
  </si>
  <si>
    <t>/companies/keeptruckin/</t>
  </si>
  <si>
    <t>Modern Fleet Management Software: Live GPS Tracking, Smart Dashcams, Fuel, Maintenance, ELD Compliance, and more—all in one place.</t>
  </si>
  <si>
    <t>Shoaib Makani; Ryan Johns</t>
  </si>
  <si>
    <t>novus.com</t>
  </si>
  <si>
    <t>[{"value":"sales@novus.com","type":"generic","confidence":78,"sources":[{"domain":"novus.com","uri":"http://novus.com/blog/which-metrics-matter-for-hedge-funds","extracted_on":"2019-01-10","last_seen_on":"2025-01-15","still_on_page":true},{"domain":"novus.com","uri":"http://novus.com/blog/effective-hedge-fund-marketing-show-dont-tell","extracted_on":"2019-01-10","last_seen_on":"2024-12-26","still_on_page":true},{"domain":"novus.com","uri":"http://novus.com/blog/eu-short-summary-2021","extracted_on":"2023-10-11","last_seen_on":"2024-12-26","still_on_page":true},{"domain":"bullseyewindshield.com","uri":"http://bullseyewindshield.com/contact-us","extracted_on":"2017-02-28","last_seen_on":"2020-10-31","still_on_page":false},{"domain":"novus.com","uri":"http://novus.com/blog/crowdsourcing-conviction-the-20-stocks-hedge-funds-love-most","extracted_on":"2019-01-10","last_seen_on":"2019-10-10","still_on_page":false},{"domain":"novus.com","uri":"http://novus.com/blog/q3-alpha-drawdown-is-it-really-different-this-time","extracted_on":"2019-01-10","last_seen_on":"2019-10-10","still_on_page":false}],"first_name":null,"last_name":null,"position":null,"position_raw":null,"seniority":null,"department":"sales","linkedin":null,"twitter":null,"phone_number":null,"verification":{"date":"2025-01-29","status":"accept_all"}}]</t>
  </si>
  <si>
    <t>For you guys that might mean personalized dashboards... or personalized performance reports.</t>
  </si>
  <si>
    <t>Novus</t>
  </si>
  <si>
    <t>/companies/novus/</t>
  </si>
  <si>
    <t>Novus is a portfolio analytics company founded by a group of investors, engineers and data scientists. The company works with top hedge funds, sovereign wealth funds, endowments, pensions and other institutional investors, managing almost $1 trillion, to help them generate higher returns.</t>
  </si>
  <si>
    <t>Andrea Gentilini; Basil Qunibi; Stan Altshuller; Rishi Khanna</t>
  </si>
  <si>
    <t>pentaho.com</t>
  </si>
  <si>
    <t>For you guys that might mean personalized data sources... or personalized data catalogs.</t>
  </si>
  <si>
    <t>Pentaho</t>
  </si>
  <si>
    <t>Hitachi Data Systems</t>
  </si>
  <si>
    <t>/companies/pentaho/</t>
  </si>
  <si>
    <t>Pentaho is delivering the future of business analytics. Pentaho&amp;#x27;s open source heritage drives our continued innovation in a modern, integrated, embeddable platform built for the future of analytics, including diverse and big data requirements.</t>
  </si>
  <si>
    <t>Quentin Gallivan; Richard Daley</t>
  </si>
  <si>
    <t>pitch.com</t>
  </si>
  <si>
    <t>For you guys that might mean personalized brand colors... or template designs.</t>
  </si>
  <si>
    <t>Pitch</t>
  </si>
  <si>
    <t>business-applications; future-of-work</t>
  </si>
  <si>
    <t>/companies/pitch/</t>
  </si>
  <si>
    <t>Pitch, a software technology company started in January 2018 in Berlin, is building a new platform for presentations and content collaboration for individuals and teams.</t>
  </si>
  <si>
    <t>Christian Reber; Misha Karpenko; Marvin Labod; Eric Labod; Jan Martin; Charlette Prevot; Adam Renklint</t>
  </si>
  <si>
    <t>pomelo.la</t>
  </si>
  <si>
    <t>[{"value":"daniel.rojtenberg@pomelo.la","type":"personal","confidence":99,"sources":[{"domain":"linkedin.com","uri":"https://www.google.com/search?q=site:linkedin.com%20daniel%20rojtenberg%20pomelo","extracted_on":"2025-01-07","last_seen_on":"2025-01-07","still_on_page":true}],"first_name":"Daniel","last_name":"Rojtenberg","position":"Sales Director","position_raw":"Head of Business Development | Sales Director - Brazil","seniority":null,"department":"sales","linkedin":"https://www.linkedin.com/in/daniel-rojtenberg-1147b31b","twitter":null,"phone_number":null,"verification":{"date":"2025-02-10","status":"accept_all"}},{"value":"juan.mansilla@pomelo.la","type":"personal","confidence":99,"sources":[{"domain":"linkedin.com","uri":"https://www.google.com/search?q=site:linkedin.com%20juan%20mansilla%20pomelo","extracted_on":"2025-01-07","last_seen_on":"2025-01-07","still_on_page":true}],"first_name":"Juan","last_name":"Mansilla","position":"Sales Strategy Director","position_raw":"Head of Sales Strategy","seniority":null,"department":"sales","linkedin":"https://www.linkedin.com/in/jpmansilla22","twitter":null,"phone_number":null,"verification":{"date":"2025-02-10","status":"accept_all"}},{"value":"marco.nistico@pomelo.la","type":"personal","confidence":92,"sources":[{"domain":"linkedin.com","uri":"https://www.google.com/search?q=site:linkedin.com%20marco%20nistico%20pomelo","extracted_on":"2025-01-07","last_seen_on":"2025-01-07","still_on_page":true}],"first_name":"Marco","last_name":"Nistico","position":"Senior Sales Analyst","position_raw":"Senior Sales Strategy Analyst","seniority":"senior","department":"sales","linkedin":"https://www.linkedin.com/in/marco-nistico-006842135","twitter":null,"phone_number":null,"verification":{"date":"2025-01-15","status":"accept_all"}},{"value":"prema.krishna@pomelo.la","type":"personal","confidence":92,"sources":[{"domain":"linkedin.com","uri":"https://www.google.com/search?q=site:linkedin.com%20prema%20krishna%20pomelo","extracted_on":"2025-01-07","last_seen_on":"2025-01-07","still_on_page":true}],"first_name":"Prema","last_name":"Krishna","position":"Sales Executive","position_raw":"Sales Executive","seniority":"executive","department":"sales","linkedin":"https://www.linkedin.com/in/prema-krishna-778305285","twitter":null,"phone_number":null,"verification":{"date":"2025-01-07","status":"accept_all"}},{"value":"agustin.bova@pomelo.la","type":"personal","confidence":91,"sources":[{"domain":"linkedin.com","uri":"https://www.google.com/search?q=site:linkedin.com%20agustin%20bova%20pomelo","extracted_on":"2025-01-07","last_seen_on":"2025-01-07","still_on_page":true}],"first_name":"Agustin","last_name":"Bova","position":"Senior Finance Business Partner","position_raw":"Senior Finance Business Partner","seniority":"senior","department":"sales","linkedin":"https://www.linkedin.com/in/agustin-bova-9a8a4354","twitter":null,"phone_number":null,"verification":{"date":"2025-02-18","status":"accept_all"}}]</t>
  </si>
  <si>
    <t>For you guys that might mean personalized fees... or limits.</t>
  </si>
  <si>
    <t>Pomelo</t>
  </si>
  <si>
    <t>/companies/pomelola/</t>
  </si>
  <si>
    <t>Gaston Irigoyen; Hernan Corral; Juan Fantoni</t>
  </si>
  <si>
    <t>productboard.com</t>
  </si>
  <si>
    <t>[{"value":"mike.mishler@productboard.com","type":"personal","confidence":99,"sources":[{"domain":"linkedin.com","uri":"https://www.google.com/search?q=site:linkedin.com%20mike%20mishler%20productboard","extracted_on":"2025-01-03","last_seen_on":"2025-01-03","still_on_page":true}],"first_name":"Mike","last_name":"Mishler","position":"Sales Development Director","position_raw":"Global Sales Development Director","seniority":null,"department":"sales","linkedin":"https://www.linkedin.com/in/michaelmishler","twitter":null,"phone_number":null,"verification":{"date":"2025-02-12","status":"valid"}},{"value":"mack.abernathy@productboard.com","type":"personal","confidence":99,"sources":[{"domain":"linkedin.com","uri":"https://www.google.com/search?q=site:linkedin.com%20mack%20abernathy%20productboard","extracted_on":"2025-01-07","last_seen_on":"2025-01-07","still_on_page":true}],"first_name":"Mack","last_name":"Abernathy","position":"Account Executive","position_raw":"Enterprise Account Executive","seniority":"executive","department":"sales","linkedin":"https://www.linkedin.com/in/mack-abernathy-ab5713b6","twitter":null,"phone_number":null,"verification":{"date":"2025-01-07","status":"valid"}},{"value":"elizabeth.chase@productboard.com","type":"personal","confidence":99,"sources":[{"domain":"linkedin.com","uri":"https://www.google.com/search?q=site:linkedin.com%20elizabeth%20chase%20productboard","extracted_on":"2025-01-07","last_seen_on":"2025-01-07","still_on_page":true}],"first_name":"Elizabeth","last_name":"Chase","position":"Account Executive","position_raw":"Enterprise Account Executive","seniority":"executive","department":"sales","linkedin":"https://www.linkedin.com/in/elizabeth-chase-21986727","twitter":null,"phone_number":null,"verification":{"date":"2025-01-07","status":"valid"}},{"value":"eric.valenti@productboard.com","type":"personal","confidence":99,"sources":[{"domain":"linkedin.com","uri":"https://www.google.com/search?q=site:linkedin.com%20eric%20valenti%20productboard","extracted_on":"2025-01-03","last_seen_on":"2025-01-03","still_on_page":true}],"first_name":"Eric","last_name":"Valenti","position":"Account Executive","position_raw":"Enterprise Account Executive","seniority":"executive","department":"sales","linkedin":"https://www.linkedin.com/in/eric-valenti-83511b98","twitter":null,"phone_number":null,"verification":{"date":"2025-01-07","status":"valid"}},{"value":"marc.weidner@productboard.com","type":"personal","confidence":98,"sources":[{"domain":"linkedin.com","uri":"https://www.google.com/search?q=site:linkedin.com%20marc%20weidner%20productboard","extracted_on":"2025-01-07","last_seen_on":"2025-01-07","still_on_page":true}],"first_name":"Marc","last_name":"Weidner","position":"Account Executive","position_raw":"Enterprise Account Executive","seniority":"executive","department":"sales","linkedin":"https://www.linkedin.com/in/marc-weidner","twitter":null,"phone_number":null,"verification":{"date":"2025-01-07","status":"valid"}},{"value":"nathan.nadarajah@productboard.com","type":"personal","confidence":98,"sources":[{"domain":"linkedin.com","uri":"https://www.google.com/search?q=site:linkedin.com%20nathan%20nadarajah%20productboard","extracted_on":"2025-01-03","last_seen_on":"2025-01-03","still_on_page":true}],"first_name":"Nathan","last_name":"Nadarajah","position":"Account Executive","position_raw":"Enterprise Account Executive","seniority":"executive","department":"sales","linkedin":"https://www.linkedin.com/in/nathannadarajah","twitter":null,"phone_number":null,"verification":{"date":"2025-01-07","status":"valid"}},{"value":"craig.carrier@productboard.com","type":"personal","confidence":98,"sources":[{"domain":"linkedin.com","uri":"https://www.google.com/search?q=site:linkedin.com%20craig%20carrier%20productboard","extracted_on":"2025-01-03","last_seen_on":"2025-01-03","still_on_page":true}],"first_name":"Craig","last_name":"Carrier","position":"Account Executive","position_raw":"Enterprise Account Executive","seniority":"executive","department":"sales","linkedin":"https://www.linkedin.com/in/craigcarrier","twitter":null,"phone_number":null,"verification":{"date":"2025-02-20","status":"valid"}},{"value":"kyle.starr@productboard.com","type":"personal","confidence":96,"sources":[{"domain":"linkedin.com","uri":"https://www.google.com/search?q=site:linkedin.com%20kyle%20starr%20productboard","extracted_on":"2025-01-03","last_seen_on":"2025-01-03","still_on_page":true}],"first_name":"Kyle","last_name":"Starr","position":"Director of Sales","position_raw":"Director Enterprise Sales","seniority":null,"department":"sales","linkedin":"https://www.linkedin.com/in/kyle-starr-21206273","twitter":null,"phone_number":null,"verification":{"date":null,"status":null}},{"value":"gordon.guild@productboard.com","type":"personal","confidence":96,"sources":[{"domain":"linkedin.com","uri":"https://www.google.com/search?q=site:linkedin.com%20gordon%20guild%20productboard","extracted_on":"2025-01-07","last_seen_on":"2025-01-07","still_on_page":true}],"first_name":"Gordon","last_name":"Guild","position":"Senior Account Executive","position_raw":"Senior Account Executive","seniority":"executive","department":"sales","linkedin":"https://www.linkedin.com/in/gordon-guild-249785106","twitter":null,"phone_number":null,"verification":{"date":"2025-01-07","status":"valid"}}]</t>
  </si>
  <si>
    <t>For you guys that might mean personalized workflows... or user roles.</t>
  </si>
  <si>
    <t>Productboard</t>
  </si>
  <si>
    <t>/companies/productboard/</t>
  </si>
  <si>
    <t>Make products that matter, together.</t>
  </si>
  <si>
    <t>Hubert Palan; Daniel Hejl</t>
  </si>
  <si>
    <t>Team; Team; Jan Hammer; Nina Achadjian; Team</t>
  </si>
  <si>
    <t>quantive.com</t>
  </si>
  <si>
    <t>[{"value":"hari.ayrapetyan@quantive.com","type":"personal","confidence":99,"sources":[{"domain":"linkedin.com","uri":"https://www.google.com/search?q=site:linkedin.com%20hari%20ayrapetyan%20quantive","extracted_on":"2025-01-09","last_seen_on":"2025-01-09","still_on_page":true}],"first_name":"Hari","last_name":"Ayrapetyan","position":"Account Executive","position_raw":"Account Executive, EMEA","seniority":"executive","department":"sales","linkedin":"https://www.linkedin.com/in/hari-ayrapetyan-529734a5","twitter":null,"phone_number":null,"verification":{"date":"2025-01-21","status":"valid"}},{"value":"canko@quantive.com","type":"personal","confidence":98,"sources":[{"domain":"linkedin.com","uri":"https://www.google.com/search?q=site:linkedin.com%20canko%20nakov%20quantive","extracted_on":"2025-01-09","last_seen_on":"2025-01-09","still_on_page":true}],"first_name":"Canko","last_name":"Nakov","position":"Sales Director","position_raw":"Global Sales Director","seniority":null,"department":"sales","linkedin":"https://www.linkedin.com/in/canko-nakov-173519b9","twitter":null,"phone_number":null,"verification":{"date":"2025-01-09","status":"valid"}},{"value":"sales@quantive.com","type":"generic","confidence":95,"sources":[{"domain":"miro.com","uri":"http://miro.com/marketplace/profile/21252","extracted_on":"2025-01-29","last_seen_on":"2025-01-29","still_on_page":true},{"domain":"quantive.com","uri":"http://quantive.com/products/strategyai","extracted_on":"2024-08-30","last_seen_on":"2025-01-17","still_on_page":true},{"domain":"quantive.com","uri":"http://quantive.com","extracted_on":"2024-03-03","last_seen_on":"2025-01-16","still_on_page":true},{"domain":"quantive.com","uri":"http://quantive.com/consulting-services","extracted_on":"2024-08-30","last_seen_on":"2025-01-16","still_on_page":true},{"domain":"quantive.com","uri":"http://quantive.com/products/privacy-security","extracted_on":"2025-01-16","last_seen_on":"2025-01-16","still_on_page":true},{"domain":"quantive.com","uri":"http://quantive.com/products/strategy-execution","extracted_on":"2024-08-30","last_seen_on":"2025-01-16","still_on_page":true}],"first_name":null,"last_name":null,"position":null,"position_raw":null,"seniority":null,"department":"sales","linkedin":null,"twitter":null,"phone_number":null,"verification":{"date":"2025-02-14","status":"valid"}}]</t>
  </si>
  <si>
    <t>For you guys that might mean personalized OKRs... or Initiatives.</t>
  </si>
  <si>
    <t>Quantive</t>
  </si>
  <si>
    <t>/companies/gtmhub/</t>
  </si>
  <si>
    <t>Quantive enables your enterprise to orchestrate strategy and deliver business results with OKRs - at scale.</t>
  </si>
  <si>
    <t>Radoslav Georgiev; Ivan Osmak; Bo Pedersen</t>
  </si>
  <si>
    <t>readyset.io</t>
  </si>
  <si>
    <t>For you guys that might mean personalized cache hits...or query routing.</t>
  </si>
  <si>
    <t>Readyset</t>
  </si>
  <si>
    <t>ReadySet</t>
  </si>
  <si>
    <t>/companies/readyset/</t>
  </si>
  <si>
    <t>Same database, (much) faster queries</t>
  </si>
  <si>
    <t>Alana Marzoev</t>
  </si>
  <si>
    <t>remote.com</t>
  </si>
  <si>
    <t>[{"value":"daniele@remote.com","type":"personal","confidence":94,"sources":[{"domain":"linkedin.com","uri":"https://www.google.com/search?q=site:linkedin.com%20daniele%20petrelli%20remote","extracted_on":"2025-01-14","last_seen_on":"2025-01-14","still_on_page":true}],"first_name":"Daniele","last_name":"Petrelli","position":"Sales Director","position_raw":"Sales Director - EMEA","seniority":null,"department":"sales","linkedin":"https://www.linkedin.com/in/danielepetrelli","twitter":null,"phone_number":null,"verification":{"date":"2025-01-14","status":"accept_all"}},{"value":"michael@remote.com","type":"personal","confidence":94,"sources":[{"domain":"linkedin.com","uri":"https://www.google.com/search?q=site:linkedin.com%20michael%20ramirez%20remote","extracted_on":"2025-01-14","last_seen_on":"2025-01-14","still_on_page":true}],"first_name":"Michael","last_name":"Ramirez","position":"Account Executive","position_raw":"Account Executive","seniority":"executive","department":"sales","linkedin":"https://www.linkedin.com/in/michael-k-ramirez-achieve","twitter":null,"phone_number":null,"verification":{"date":"2025-02-19","status":"accept_all"}},{"value":"tom@remote.com","type":"personal","confidence":94,"sources":[{"domain":"linkedin.com","uri":"https://www.google.com/search?q=site:linkedin.com%20tom%20bosse%20remote","extracted_on":"2025-01-14","last_seen_on":"2025-01-14","still_on_page":true}],"first_name":"Tom","last_name":"Bosse","position":"Account Executive","position_raw":"Senior Account Executive","seniority":"executive","department":"sales","linkedin":"https://www.linkedin.com/in/tom-bosse","twitter":null,"phone_number":null,"verification":{"date":"2025-01-14","status":"accept_all"}},{"value":"omkar@remote.com","type":"personal","confidence":94,"sources":[{"domain":"linkedin.com","uri":"https://www.google.com/search?q=site:linkedin.com%20omkar%20chikane%20remote","extracted_on":"2025-01-14","last_seen_on":"2025-01-14","still_on_page":true}],"first_name":"Omkar","last_name":"Chikane","position":"Account Executive","position_raw":"Account Executive","seniority":"executive","department":"sales","linkedin":"https://www.linkedin.com/in/omkar-chikane-551a9b2a3","twitter":null,"phone_number":null,"verification":{"date":"2025-01-14","status":"accept_all"}},{"value":"anas@remote.com","type":"personal","confidence":94,"sources":[{"domain":"linkedin.com","uri":"https://www.google.com/search?q=site:linkedin.com%20anas%20r%20remote","extracted_on":"2025-01-14","last_seen_on":"2025-01-14","still_on_page":true}],"first_name":"Anas","last_name":"R","position":"Account Executive","position_raw":"Account Executive","seniority":"executive","department":"sales","linkedin":"https://www.linkedin.com/in/anasradouani","twitter":null,"phone_number":null,"verification":{"date":"2025-01-18","status":"accept_all"}},{"value":"chia@remote.com","type":"personal","confidence":94,"sources":[{"domain":"linkedin.com","uri":"https://www.google.com/search?q=site:linkedin.com%20chia%20kattane%20remote","extracted_on":"2025-02-23","last_seen_on":"2025-02-23","still_on_page":true}],"first_name":"Chia","last_name":"Kattane","position":"Account Executive","position_raw":"Account Executive","seniority":"executive","department":"sales","linkedin":"https://www.linkedin.com/in/chia-kattane-3019b881","twitter":null,"phone_number":null,"verification":{"date":"2025-02-23","status":"accept_all"}},{"value":"tyler@remote.com","type":"personal","confidence":94,"sources":[{"domain":"linkedin.com","uri":"https://www.google.com/search?q=site:linkedin.com%20tyler%20evans%20remote","extracted_on":"2025-01-13","last_seen_on":"2025-01-13","still_on_page":true}],"first_name":"Tyler","last_name":"Evans","position":"Account Executive","position_raw":"Account Executive, SMB - Team Lead","seniority":"executive","department":"sales","linkedin":"https://www.linkedin.com/in/tylerdavidevans","twitter":null,"phone_number":null,"verification":{"date":"2025-01-13","status":"accept_all"}},{"value":"brooke@remote.com","type":"personal","confidence":94,"sources":[{"domain":"linkedin.com","uri":"https://www.google.com/search?q=site:linkedin.com%20brooke%20stewart%20remote","extracted_on":"2025-01-13","last_seen_on":"2025-01-13","still_on_page":true}],"first_name":"Brooke","last_name":"Stewart","position":"Account Executive","position_raw":"Account Executive","seniority":"executive","department":"sales","linkedin":"https://www.linkedin.com/in/brooke-stewart-78442749","twitter":null,"phone_number":null,"verification":{"date":"2025-01-13","status":"accept_all"}},{"value":"saheed@remote.com","type":"personal","confidence":94,"sources":[{"domain":"linkedin.com","uri":"https://www.google.com/search?q=site:linkedin.com%20saheed%20ayilara%20remote","extracted_on":"2025-01-13","last_seen_on":"2025-01-13","still_on_page":true}],"first_name":"Saheed","last_name":"Ayilara","position":"Account Executive","position_raw":"Account Executive","seniority":"executive","department":"sales","linkedin":"https://www.linkedin.com/in/saheed-ayilara-28b38a239","twitter":null,"phone_number":null,"verification":{"date":"2025-01-13","status":"accept_all"}},{"value":"roisin@remote.com","type":"personal","confidence":94,"sources":[{"domain":"linkedin.com","uri":"https://www.google.com/search?q=site:linkedin.com%20roisin%20o%27dwyer%20remote","extracted_on":"2025-01-13","last_seen_on":"2025-01-13","still_on_page":true}],"first_name":"Roisin","last_name":"O'Dwyer","position":"Account Executive","position_raw":"Account Executive","seniority":"executive","department":"sales","linkedin":"https://www.linkedin.com/in/roisin-o-dwyer","twitter":null,"phone_number":null,"verification":{"date":"2025-02-14","status":"accept_all"}}]</t>
  </si>
  <si>
    <t>For you guys that might mean personalized benefits... or equity grants.</t>
  </si>
  <si>
    <t>Remote</t>
  </si>
  <si>
    <t>/companies/remotecom/</t>
  </si>
  <si>
    <t>Remote helps amazing companies hire the best talent all over the world. They take care of global payroll, benefits, compliance and taxes, so companies can focus on their people.</t>
  </si>
  <si>
    <t>Job van der Voort</t>
  </si>
  <si>
    <t>Team; Team; Hannah Seal; Jan Hammer; Team</t>
  </si>
  <si>
    <t>revenuecat.com</t>
  </si>
  <si>
    <t>For you guys that might mean personalized pricing... or geo targeting.</t>
  </si>
  <si>
    <t>RevenueCat</t>
  </si>
  <si>
    <t>/companies/revenuecat-inc/</t>
  </si>
  <si>
    <t>The better way to build subscription apps.</t>
  </si>
  <si>
    <t>Jacob Eiting; Miguel Carranza</t>
  </si>
  <si>
    <t>scale.com</t>
  </si>
  <si>
    <t>[{"value":"katharine.chow@scale.com","type":"personal","confidence":94,"sources":[{"domain":"linkedin.com","uri":"https://www.google.com/search?q=site:linkedin.com%20katharine%20chow%20scale","extracted_on":"2025-01-13","last_seen_on":"2025-01-13","still_on_page":true}],"first_name":"Katharine","last_name":"Chow","position":"Senior HR Business Partner","position_raw":"Sr HR Business Partner","seniority":"senior","department":"sales","linkedin":"https://www.linkedin.com/in/katharinegchow","twitter":null,"phone_number":null,"verification":{"date":"2025-01-13","status":"accept_all"}},{"value":"tara.tarkington@scale.com","type":"personal","confidence":94,"sources":[{"domain":"linkedin.com","uri":"https://www.google.com/search?q=site:linkedin.com%20tara%20tarkington%20scale","extracted_on":"2025-01-14","last_seen_on":"2025-01-14","still_on_page":true}],"first_name":"Tara","last_name":"Tarkington","position":"Enterprise Account Executive","position_raw":"Strategic Account Executive - Enterprise","seniority":"executive","department":"sales","linkedin":"https://www.linkedin.com/in/tara-tarkington","twitter":null,"phone_number":null,"verification":{"date":"2025-02-21","status":"accept_all"}},{"value":"robert.haley@scale.com","type":"personal","confidence":94,"sources":[{"domain":"linkedin.com","uri":"https://www.google.com/search?q=site:linkedin.com%20robert%20haley%20scale","extracted_on":"2025-01-14","last_seen_on":"2025-01-14","still_on_page":true}],"first_name":"Robert","last_name":"Haley","position":"Account Executive","position_raw":"Strategic Account Executive","seniority":"executive","department":"sales","linkedin":"https://www.linkedin.com/in/robertjhaleyii","twitter":null,"phone_number":null,"verification":{"date":"2025-02-03","status":"accept_all"}},{"value":"julio.bermudez@scale.com","type":"personal","confidence":94,"sources":[{"domain":"linkedin.com","uri":"https://www.google.com/search?q=site:linkedin.com%20julio%20berm%C3%BAdez%20scale","extracted_on":"2025-01-13","last_seen_on":"2025-01-13","still_on_page":true}],"first_name":"Julio","last_name":"Bermúdez","position":"Vice President of Sales","position_raw":"Global VP of Sales, Enterprise","seniority":"executive","department":"sales","linkedin":"https://www.linkedin.com/in/julio-berm%c3%badez-5713761b","twitter":null,"phone_number":null,"verification":{"date":"2025-01-21","status":"accept_all"}},{"value":"natasha.dadabhoy@scale.com","type":"personal","confidence":93,"sources":[{"domain":"linkedin.com","uri":"https://www.google.com/search?q=site:linkedin.com%20natasha%20dadabhoy%20scale","extracted_on":"2025-01-14","last_seen_on":"2025-01-14","still_on_page":true}],"first_name":"Natasha","last_name":"Dadabhoy","position":"Account Executive","position_raw":"Strategic Account Executive","seniority":"executive","department":"sales","linkedin":"https://www.linkedin.com/in/nzdadabhoy","twitter":null,"phone_number":null,"verification":{"date":"2025-01-14","status":"accept_all"}},{"value":"david.kinsella@scale.com","type":"personal","confidence":91,"sources":[{"domain":"linkedin.com","uri":"https://www.google.com/search?q=site:linkedin.com%20david%20kinsella%20scale","extracted_on":"2025-01-14","last_seen_on":"2025-01-14","still_on_page":true}],"first_name":"David","last_name":"Kinsella","position":"Vice President, Business Operations and Strategy","position_raw":"VP, BizOps &amp; Strategy","seniority":null,"department":"sales","linkedin":"https://www.linkedin.com/in/dmkinsella","twitter":null,"phone_number":null,"verification":{"date":"2025-02-17","status":"accept_all"}},{"value":"brett.e@scale.com","type":"personal","confidence":87,"sources":[{"domain":"linkedin.com","uri":"https://www.google.com/search?q=site:linkedin.com%20brett%20e%20scale","extracted_on":"2025-01-14","last_seen_on":"2025-01-14","still_on_page":true}],"first_name":"Brett","last_name":"E","position":"Strategic Account Executive","position_raw":"Strategic Account Executive, Global Accounts","seniority":"executive","department":"sales","linkedin":"https://www.linkedin.com/in/bezarsky","twitter":null,"phone_number":null,"verification":{"date":"2025-01-14","status":"accept_all"}},{"value":"emily.leadem@scale.com","type":"personal","confidence":84,"sources":[{"domain":"linkedin.com","uri":"https://www.google.com/search?q=site:linkedin.com%20emily%20leadem%20scale","extracted_on":"2025-01-13","last_seen_on":"2025-01-13","still_on_page":true}],"first_name":"Emily","last_name":"Leadem","position":"Director of Business Development","position_raw":"Head of Enterprise Business Development","seniority":null,"department":"sales","linkedin":"https://www.linkedin.com/in/emily-leadem-2228758a","twitter":null,"phone_number":null,"verification":{"date":"2025-02-11","status":"accept_all"}},{"value":"yanran.c@scale.com","type":"personal","confidence":82,"sources":[{"domain":"linkedin.com","uri":"https://www.google.com/search?q=site:linkedin.com%20yanran%20c%20scale","extracted_on":"2025-01-14","last_seen_on":"2025-01-14","still_on_page":true}],"first_name":"Yanran","last_name":"C","position":"Sales Director","position_raw":"Sales Director, Global Accounts","seniority":null,"department":"sales","linkedin":"https://www.linkedin.com/in/yanranchen","twitter":null,"phone_number":null,"verification":{"date":"2025-01-31","status":"accept_all"}},{"value":"varun.shrimal@scale.com","type":"personal","confidence":82,"sources":[{"domain":"linkedin.com","uri":"https://www.google.com/search?q=site:linkedin.com%20varun%20shrimal%20scale","extracted_on":"2025-01-14","last_seen_on":"2025-01-14","still_on_page":true}],"first_name":"Varun","last_name":"Shrimal","position":"Director of Sales","position_raw":"Director, Enterprise Sales","seniority":null,"department":"sales","linkedin":"https://www.linkedin.com/in/salesleadervarun","twitter":null,"phone_number":null,"verification":{"date":"2025-01-21","status":"accept_all"}}]</t>
  </si>
  <si>
    <t>For you guys that might mean personalized model fine-tuning... or data labeling.</t>
  </si>
  <si>
    <t>Scale</t>
  </si>
  <si>
    <t>/companies/scale/</t>
  </si>
  <si>
    <t>Democratize access to intelligent data.</t>
  </si>
  <si>
    <t>Alexandr Wang</t>
  </si>
  <si>
    <t>seedlegals.com</t>
  </si>
  <si>
    <t>[{"value":"michelle@seedlegals.com","type":"personal","confidence":99,"sources":[{"domain":"linkedin.com","uri":"https://www.google.com/search?q=site:linkedin.com%20michelle%20keelin%20seedlegals","extracted_on":"2025-01-07","last_seen_on":"2025-01-07","still_on_page":true}],"first_name":"Michelle","last_name":"Keelin","position":"HR Business Partner","position_raw":"Human Resources Business Partner","seniority":null,"department":"sales","linkedin":"https://www.linkedin.com/in/michelle-keelin-mcipd-1296211b3","twitter":null,"phone_number":null,"verification":{"date":"2025-01-07","status":"valid"}},{"value":"abbie@seedlegals.com","type":"personal","confidence":99,"sources":[{"domain":"linkedin.com","uri":"https://www.google.com/search?q=site:linkedin.com%20abbie%20main%20seedlegals","extracted_on":"2025-01-07","last_seen_on":"2025-01-07","still_on_page":true},{"domain":"seedlegals.com","uri":"http://seedlegals.com/about","extracted_on":"2024-09-20","last_seen_on":"2024-09-20","still_on_page":true}],"first_name":"Abbie","last_name":"Main","position":"Director of Business Development","position_raw":"Head of Existing Business","seniority":null,"department":"sales","linkedin":"https://www.linkedin.com/in/abbie-main-b58357101","twitter":null,"phone_number":null,"verification":{"date":"2025-02-20","status":"valid"}},{"value":"kim@seedlegals.com","type":"personal","confidence":99,"sources":[{"domain":"linkedin.com","uri":"https://www.google.com/search?q=site:linkedin.com%20kim%20hahne%20seedlegals","extracted_on":"2025-01-17","last_seen_on":"2025-01-17","still_on_page":true}],"first_name":"Kim","last_name":"Hahne","position":"Account Manager","position_raw":"Account Manager","seniority":"senior","department":"sales","linkedin":"https://www.linkedin.com/in/kim-hahne","twitter":null,"phone_number":null,"verification":{"date":"2025-01-17","status":"valid"}},{"value":"fahmid@seedlegals.com","type":"personal","confidence":99,"sources":[{"domain":"linkedin.com","uri":"https://www.google.com/search?q=site:linkedin.com%20fahmid%20choudhury%20seedlegals","extracted_on":"2025-01-07","last_seen_on":"2025-01-07","still_on_page":true}],"first_name":"Fahmid","last_name":"Choudhury","position":"Account Executive","position_raw":"Account Executive","seniority":"executive","department":"sales","linkedin":"https://www.linkedin.com/in/fahmid-choudhury-33170a208","twitter":null,"phone_number":null,"verification":{"date":"2025-01-07","status":"valid"}},{"value":"julia@seedlegals.com","type":"personal","confidence":98,"sources":[{"domain":"linkedin.com","uri":"https://www.google.com/search?q=site:linkedin.com%20julia%20toper%20seedlegals","extracted_on":"2025-01-17","last_seen_on":"2025-01-17","still_on_page":true}],"first_name":"Julia","last_name":"Toper","position":"Senior Account Manager","position_raw":"Senior Account Manager","seniority":"senior","department":"sales","linkedin":"https://www.linkedin.com/in/julia-toper","twitter":null,"phone_number":null,"verification":{"date":"2025-01-17","status":"valid"}},{"value":"tommy@seedlegals.com","type":"personal","confidence":98,"sources":[{"domain":"seedlegals.com","uri":"http://seedlegals.com/resources/what-is-an-emi-scheme","extracted_on":"2024-09-20","last_seen_on":"2024-09-20","still_on_page":true}],"first_name":"Tommy","last_name":"Hackley","position":"Business Development Manager","position_raw":"New Business &amp; Partnerships Team Lead","seniority":"senior","department":"sales","linkedin":"https://www.linkedin.com/in/tommy-hackley-53a6101a9","twitter":null,"phone_number":null,"verification":{"date":null,"status":null}},{"value":"logann@seedlegals.com","type":"personal","confidence":98,"sources":[{"domain":"linkedin.com","uri":"https://www.google.com/search?q=site:linkedin.com%20logann%20villard%20seedlegals","extracted_on":"2025-01-07","last_seen_on":"2025-01-07","still_on_page":true}],"first_name":"Logann","last_name":"Villard","position":"Account Executive","position_raw":"Account Executive","seniority":"executive","department":"sales","linkedin":"https://www.linkedin.com/in/logannvillard","twitter":null,"phone_number":null,"verification":{"date":"2025-01-07","status":"valid"}},{"value":"alyson@seedlegals.com","type":"personal","confidence":98,"sources":[{"domain":"linkedin.com","uri":"https://www.google.com/search?q=site:linkedin.com%20alyson%20read%20seedlegals","extracted_on":"2025-01-07","last_seen_on":"2025-01-07","still_on_page":true},{"domain":"seedlegals.com","uri":"http://seedlegals.com/about","extracted_on":"2024-09-20","last_seen_on":"2024-09-20","still_on_page":true}],"first_name":"Alyson","last_name":"Read","position":"Sales Director","position_raw":"Head of Sales","seniority":"executive","department":"sales","linkedin":"https://www.linkedin.com/in/alyson-read-27a53558","twitter":null,"phone_number":null,"verification":{"date":"2025-02-17","status":"valid"}},{"value":"mo@seedlegals.com","type":"personal","confidence":96,"sources":[{"domain":"linkedin.com","uri":"https://www.google.com/search?q=site:linkedin.com%20mo%20s%20seedlegals","extracted_on":"2025-01-07","last_seen_on":"2025-01-07","still_on_page":true}],"first_name":"Mo","last_name":"S","position":"Business Development Director","position_raw":"Head of New Business","seniority":null,"department":"sales","linkedin":"https://www.linkedin.com/in/mo-s-9b7153128","twitter":null,"phone_number":null,"verification":{"date":"2025-01-07","status":"valid"}},{"value":"rajiv@seedlegals.com","type":"personal","confidence":96,"sources":[{"domain":"linkedin.com","uri":"https://www.google.com/search?q=site:linkedin.com%20rajiv%20mansigani%20seedlegals","extracted_on":"2025-01-07","last_seen_on":"2025-01-07","still_on_page":true}],"first_name":"Rajiv","last_name":"Mansigani","position":"Account Executive","position_raw":"Account Executive","seniority":"executive","department":"sales","linkedin":"https://www.linkedin.com/in/rajiv-mansigani-046b65225","twitter":null,"phone_number":null,"verification":{"date":"2025-01-07","status":"valid"}}]</t>
  </si>
  <si>
    <t>For you guys that might mean personalized deal terms... or cap table scenarios.</t>
  </si>
  <si>
    <t>SeedLegals</t>
  </si>
  <si>
    <t>/companies/seedlegals/</t>
  </si>
  <si>
    <t>SeedLegals helps startups manage the entire fundraising process and all related legal documents. The platform helps companies build and negotiate terms sheets, shareholder agreements, cap tables, stock option allocations, EIS approvals, hiring agreements, NDAs and more.</t>
  </si>
  <si>
    <t>Anthony Rose; Anthony Drogon; Laurent Laffy</t>
  </si>
  <si>
    <t>shopmonkey.io</t>
  </si>
  <si>
    <t>For you guys that might mean personalized workflows... or reporting dashboards.</t>
  </si>
  <si>
    <t>Shopmonkey</t>
  </si>
  <si>
    <t>/companies/shopmonkey/</t>
  </si>
  <si>
    <t>The smart &amp;amp; simple way to run your auto shop. Say goodbye to complex software and the chaos of printed paper. Say hello to monkey business.</t>
  </si>
  <si>
    <t>Ashot Iskandarian</t>
  </si>
  <si>
    <t>silverfin.com</t>
  </si>
  <si>
    <t>For you guys that might mean personalized report templates or automated workflows.</t>
  </si>
  <si>
    <t>Silverfin</t>
  </si>
  <si>
    <t>/companies/silverfin/</t>
  </si>
  <si>
    <t>Silverfin is a real-time connected accounting platform that unifies businesses’ financial data, reporting and communication.</t>
  </si>
  <si>
    <t>Joris Van Der Gucht; Tim Vandecasteele</t>
  </si>
  <si>
    <t>socialbakers.com</t>
  </si>
  <si>
    <t>For you guys that might mean personalized reporting dashboards...or campaign ROAS.</t>
  </si>
  <si>
    <t>Socialbakers</t>
  </si>
  <si>
    <t>/companies/socialbakers/</t>
  </si>
  <si>
    <t>Socialbakers is the fastest-growing social media and digital analytics company globally, enabling firms to track and enhance the impact of their social marketing campaigns across all major platforms including Twitter, Facebook, YouTube, LinkedIn and Google+.</t>
  </si>
  <si>
    <t>Yuval Ben-Itzhak; Lukas Maixner; Jan Rezab</t>
  </si>
  <si>
    <t>starburstdata.com</t>
  </si>
  <si>
    <t>For you guys that might mean personalized connectors... or query performance.</t>
  </si>
  <si>
    <t>Starburst</t>
  </si>
  <si>
    <t>/companies/starburst/</t>
  </si>
  <si>
    <t>Starburst is the Analytics Engine for All Your Data. The fastest, most efficient query engine for your data warehouse, data lake, or data mesh.</t>
  </si>
  <si>
    <t>Justin Borgman; Piotr Findeisen; Matt Fuller</t>
  </si>
  <si>
    <t>strapi.io</t>
  </si>
  <si>
    <t>For you guys that might mean personalized API endpoints or data models.</t>
  </si>
  <si>
    <t>Strapi</t>
  </si>
  <si>
    <t>/companies/strapi/</t>
  </si>
  <si>
    <t>Strapi is the leading open-source headless CMS.</t>
  </si>
  <si>
    <t>Pierre Burgy; Aurélien Georget; Jim Laurie</t>
  </si>
  <si>
    <t>thatch.ai</t>
  </si>
  <si>
    <t>For you guys that might mean personalized healthcare budgets... or employee allocations.</t>
  </si>
  <si>
    <t>Thatch</t>
  </si>
  <si>
    <t>fintech; healthcare</t>
  </si>
  <si>
    <t>/companies/thatch/</t>
  </si>
  <si>
    <t>Thatch is an all-in-one platform that makes it easy to offer your employees the most personalized healthcare experience.</t>
  </si>
  <si>
    <t>Chris Ellis; Adam Stevenson</t>
  </si>
  <si>
    <t>Team; Team; Martin Mignot; Jahanvi Sardana; Team</t>
  </si>
  <si>
    <t>typeform.com</t>
  </si>
  <si>
    <t>For you guys that might mean personalized branding... or logic jumps.</t>
  </si>
  <si>
    <t>Typeform</t>
  </si>
  <si>
    <t>future-of-work; business-applications</t>
  </si>
  <si>
    <t>/companies/typeform/</t>
  </si>
  <si>
    <t>Typeform has reimagined forms and surveys for the smartphone era.</t>
  </si>
  <si>
    <t>David Okuniev; Joaquim Lecha; Robert Munoz</t>
  </si>
  <si>
    <t>upollo.ai</t>
  </si>
  <si>
    <t>For you guys that might mean personalized conversion scores... or expansion triggers.</t>
  </si>
  <si>
    <t>Upollo</t>
  </si>
  <si>
    <t>/companies/upollo/</t>
  </si>
  <si>
    <t>Find and convert repeat trialers, account sharers &amp;amp; more</t>
  </si>
  <si>
    <t>Cayden Meyer</t>
  </si>
  <si>
    <t>valdera.com</t>
  </si>
  <si>
    <t>For you guys that might mean personalized material specs or RFQ criteria.</t>
  </si>
  <si>
    <t>Valdera</t>
  </si>
  <si>
    <t>/companies/valdera/</t>
  </si>
  <si>
    <t>Valdera is the modern sourcing platform that makes it easy to buy and sell high-quality chemicals and raw materials.</t>
  </si>
  <si>
    <t>Sruti Arulmani; Dheev Arulmani</t>
  </si>
  <si>
    <t>Team; Team; Jan Hammer; Georgia Stevenson; Team</t>
  </si>
  <si>
    <t>wordsmith.ai</t>
  </si>
  <si>
    <t>For you guys that might mean personalized playbooks... or NDA reviews.</t>
  </si>
  <si>
    <t>Wordsmith</t>
  </si>
  <si>
    <t>/companies/wordsmithai/</t>
  </si>
  <si>
    <t>A secure AI workplace built for in-house lawyers.</t>
  </si>
  <si>
    <t>Robbie Falkenthal; Ross McNairn; Volodymyr Giginiak</t>
  </si>
  <si>
    <t>worldover.io</t>
  </si>
  <si>
    <t>For you guys that might mean personalized SDS generation... or product screening.</t>
  </si>
  <si>
    <t>Worldover</t>
  </si>
  <si>
    <t>/companies/worldover/</t>
  </si>
  <si>
    <t>The all-in-one compliance automation platform for cosmetics brands, manufacturers, suppliers and distributors.</t>
  </si>
  <si>
    <t>Chris Gudde; Ed Alun-jones</t>
  </si>
  <si>
    <t>arista.com</t>
  </si>
  <si>
    <t>For you guys that might mean personalized telemetry... or even EOS configs.</t>
  </si>
  <si>
    <t>Arista</t>
  </si>
  <si>
    <t>Arista Networks</t>
  </si>
  <si>
    <t>NYSE:ANET</t>
  </si>
  <si>
    <t>/companies/arista-networks/</t>
  </si>
  <si>
    <t>Arista Networks delivers software driven cloud networking solutions for large data center and high-performance computing environments. With more than two million cloud networking ports being deployed worldwide, Arista delivers a portfolio of 1/10/40 and 100GbE products that redefine network architectures, bring extensibility to networking, and dramatically change the price/performance of data center networks.</t>
  </si>
  <si>
    <t>Jayshree Ullal; Andy Bechtolsheim; David Cheriton; Kenneth Duda</t>
  </si>
  <si>
    <t>centrify.com</t>
  </si>
  <si>
    <t>For you guys that might mean personalized access policies... or session recordings.</t>
  </si>
  <si>
    <t>Delinea</t>
  </si>
  <si>
    <t>Centrify</t>
  </si>
  <si>
    <t>/companies/centrify/</t>
  </si>
  <si>
    <t>Centrify secures identities against cyberthreats that target today’s hybrid IT environment of cloud, mobile and on-premises. Its Identity Platform protects against the leading point of attack used in data breaches ― compromised credentials —by securing enterprises’ internal and external users in addition to privileged accounts.</t>
  </si>
  <si>
    <t>Tom Kemp; Adam Au; Paul Moore</t>
  </si>
  <si>
    <t>elastic.co</t>
  </si>
  <si>
    <t>For you guys that might mean personalized indices... or even dashboards.</t>
  </si>
  <si>
    <t>Elastic</t>
  </si>
  <si>
    <t>NYSE:ESTC</t>
  </si>
  <si>
    <t>europe; north-america</t>
  </si>
  <si>
    <t>/companies/elastic/</t>
  </si>
  <si>
    <t>Founded in 2012 by the people behind the popular open source project Elasticsearch, Elastic provides software products for developers, startups and enterprises to make massive amounts of complex structured and unstructured data usable. By focusing on scalability, ease-of-use, and ease-of-integration, Elastic’s products are used for real-time search, logging, analytics, and security to power internal and external applications for organizations like Cisco, eBay, Goldman Sachs, Groupon, Microsoft, NASA, Netflix, OpenTable, Yelp, and Wikipedia.</t>
  </si>
  <si>
    <t>Shay Banon; Uri Boness; Steven Schuurman; Simon Willnauer</t>
  </si>
  <si>
    <t>flatfair.co.uk</t>
  </si>
  <si>
    <t>For you guys that might mean personalized protection amounts or fee structures.</t>
  </si>
  <si>
    <t>flatfair</t>
  </si>
  <si>
    <t>/companies/flatfair/</t>
  </si>
  <si>
    <t>The home of deposit-free renting. Tenants pay a small one-off fee and landlords get up to 12 weeks&amp;#x27; protection compared to a traditional deposit.</t>
  </si>
  <si>
    <t>Bartosz Alksnin; Franz Doerr; Daniel Jeczmien</t>
  </si>
  <si>
    <t>nexos.ai</t>
  </si>
  <si>
    <t>For you guys that might mean personalized LLM routing... or guardrails.</t>
  </si>
  <si>
    <t>Nexos</t>
  </si>
  <si>
    <t>/companies/nexosai/</t>
  </si>
  <si>
    <t>nexos.ai is a cutting-edge AI infrastructure company providing a centralized platform for enterprises to seamlessly integrate and manage multiple AI models.</t>
  </si>
  <si>
    <t>Tomas Okmanas; Eimantas Sabaliauskas</t>
  </si>
  <si>
    <t>Team; Team; Hannah Seal; Bastian Hasslinger; Team</t>
  </si>
  <si>
    <t>novacredit.com</t>
  </si>
  <si>
    <t>For you guys that might mean personalized credit scores... or even income verification.</t>
  </si>
  <si>
    <t>Nova</t>
  </si>
  <si>
    <t>Nova Credit</t>
  </si>
  <si>
    <t>/companies/nova-credit/</t>
  </si>
  <si>
    <t>Your gateway to international credit bureaus.</t>
  </si>
  <si>
    <t>Misha Esipov; Loek Janssen; Nicky Goulimis</t>
  </si>
  <si>
    <t>signalsciences.com</t>
  </si>
  <si>
    <t>For you guys that might mean personalized rate limiting rules or bot protection settings.</t>
  </si>
  <si>
    <t>Fastly</t>
  </si>
  <si>
    <t>Signal Sciences</t>
  </si>
  <si>
    <t>/companies/signal-sciences/</t>
  </si>
  <si>
    <t>Signal Sciences is a software as a service platform providing security monitoring and defence for your web application.</t>
  </si>
  <si>
    <t>Andrew Peterson; Nick Galbreath; Zane Lackey</t>
  </si>
  <si>
    <t>superlinked.com</t>
  </si>
  <si>
    <t>For you guys that might mean personalized embeddings... or queries.</t>
  </si>
  <si>
    <t>Superlinked</t>
  </si>
  <si>
    <t>/companies/superlinked/</t>
  </si>
  <si>
    <t>Superlinked is a compute and data engineering framework for turning data into vector embeddings.</t>
  </si>
  <si>
    <t>Daniel Svonava; Ben Gutkovich</t>
  </si>
  <si>
    <t>twelvelabs.io</t>
  </si>
  <si>
    <t>For you guys that might mean personalized video indexing... or search results.</t>
  </si>
  <si>
    <t>TwelveLabs</t>
  </si>
  <si>
    <t>Twelve Labs</t>
  </si>
  <si>
    <t>/companies/twelve-labs/</t>
  </si>
  <si>
    <t>Unlock the Potential of Your Video Data</t>
  </si>
  <si>
    <t>Aiden Lee; Dave Chung; Jae Lee; Soyoung Lee</t>
  </si>
  <si>
    <t>getapron.com</t>
  </si>
  <si>
    <t>For you guys that might mean personalized payees... or invoice details.</t>
  </si>
  <si>
    <t>Apron</t>
  </si>
  <si>
    <t>/companies/apron/</t>
  </si>
  <si>
    <t>Apron enables business owners and accountants to sort, pay and reconcile invoices in seconds – flipping the payment experience from obstructing business to boosting it. With seamless onboarding, easy integration with existing tools and instant reconciliation, Apron frees up small businesses from the pain of payments, so they can keep everything else moving forward.</t>
  </si>
  <si>
    <t>Bogdan Uzbekov; Bogdan Uzbekov</t>
  </si>
  <si>
    <t>Team; Team; Julia Andre; Jan Hammer; Team</t>
  </si>
  <si>
    <t>bighealth.com</t>
  </si>
  <si>
    <t>For you guys that might mean personalized program options... or live care navigation.</t>
  </si>
  <si>
    <t>Big Health</t>
  </si>
  <si>
    <t>/companies/big-health/</t>
  </si>
  <si>
    <t>Big Health uses tracked data to create highly personalized behavioural medicine programmes, all delivered via the web and mobile to the highest standards of clinical evidence. Its first product, Sleepio, is a digital sleep improvement programme which uses clinically proven Cognitive Behavioural Therapy (CBT) techniques to help patients overcome even long term poor sleep.</t>
  </si>
  <si>
    <t>Peter Hames; Colin Espie</t>
  </si>
  <si>
    <t>codesignal.com</t>
  </si>
  <si>
    <t>For you guys that might mean personalized assessment frameworks... or candidate pools.</t>
  </si>
  <si>
    <t>CodeSignal</t>
  </si>
  <si>
    <t>CodeSignal, Inc.</t>
  </si>
  <si>
    <t>/companies/codesignal-inc/</t>
  </si>
  <si>
    <t>Certify, Test, and Interview All on One Platform</t>
  </si>
  <si>
    <t>Sophia Baik; Aram Shatakhtsyan; Tigran Sloyan</t>
  </si>
  <si>
    <t>kayrros.com</t>
  </si>
  <si>
    <t>For you guys that might mean personalized emissions forecasts... or asset tracking.</t>
  </si>
  <si>
    <t>Kayrros</t>
  </si>
  <si>
    <t>business-applications; data</t>
  </si>
  <si>
    <t>/companies/kayrros/</t>
  </si>
  <si>
    <t>Kayrros develops predictive analytics products combining machine learning and advanced mathematics with petroleum and financial engineering to bring transparency to the energy markets.</t>
  </si>
  <si>
    <t>Antoine Rostand</t>
  </si>
  <si>
    <t>aurora.tech</t>
  </si>
  <si>
    <t>For you guys that might mean personalized routes... or delivery schedules.</t>
  </si>
  <si>
    <t>Aurora</t>
  </si>
  <si>
    <t>/companies/aurora/</t>
  </si>
  <si>
    <t>Aurora delivers the benefits of self-driving technology safely, quickly, and broadly.</t>
  </si>
  <si>
    <t>Chris Urmson; Sterling Anderson; Drew Bagnell</t>
  </si>
  <si>
    <t>beamimpact.com</t>
  </si>
  <si>
    <t>For you guys that might mean personalized nonprofit selection... or UI customization.</t>
  </si>
  <si>
    <t>Beam</t>
  </si>
  <si>
    <t>/companies/beam/</t>
  </si>
  <si>
    <t>Make part of your spending go to nonprofits you choose, at no extra cost to you.</t>
  </si>
  <si>
    <t>Viveka Hulyalkar; Alex Sadhu</t>
  </si>
  <si>
    <t>bitpay.com</t>
  </si>
  <si>
    <t>For you guys that might mean personalized payout options or supported cryptos.</t>
  </si>
  <si>
    <t>BitPay</t>
  </si>
  <si>
    <t>/companies/bitpay/</t>
  </si>
  <si>
    <t>The leading payment service provider (PSP) specializing in the peer-to-peer virtual currency Bitcoin which provides for instantaneous transactions from anywhere in the world with no risk of fraud or chargebacks.</t>
  </si>
  <si>
    <t>Tony Gallippi; Stephen Pair</t>
  </si>
  <si>
    <t>capitolis.com</t>
  </si>
  <si>
    <t>For you guys that might mean personalized netting sets... or counterparties.</t>
  </si>
  <si>
    <t>Capitolis</t>
  </si>
  <si>
    <t>north-america; europe</t>
  </si>
  <si>
    <t>/companies/capitolis/</t>
  </si>
  <si>
    <t>Capitolis is a pioneering technology provider for the global capital markets.</t>
  </si>
  <si>
    <t>Gil Mandelzis; Tom Glocer</t>
  </si>
  <si>
    <t>captions.ai</t>
  </si>
  <si>
    <t>For you guys that might mean personalized video templates...or AI avatars.</t>
  </si>
  <si>
    <t>Captions</t>
  </si>
  <si>
    <t>/companies/captions/</t>
  </si>
  <si>
    <t>Your AI-powered creative studio.</t>
  </si>
  <si>
    <t>Gaurav Misra; Dwight Churchill</t>
  </si>
  <si>
    <t>climate.com</t>
  </si>
  <si>
    <t>For you guys that might mean personalized yield data... or seed scripts.</t>
  </si>
  <si>
    <t>Climate</t>
  </si>
  <si>
    <t>NYSE:MON</t>
  </si>
  <si>
    <t>/companies/climate/</t>
  </si>
  <si>
    <t>The Climate Corporation enables smart farming by protecting the world’s $3tn farming industry from adverse weather with uniquely powerful software and customisable insurance products. Climate was acquired by Monsanto in October 2013.</t>
  </si>
  <si>
    <t>David Friedberg</t>
  </si>
  <si>
    <t>codecademy.com</t>
  </si>
  <si>
    <t>For you guys that might mean personalized course paths... or learning languages.</t>
  </si>
  <si>
    <t>Codecademy</t>
  </si>
  <si>
    <t>/companies/codecademy/</t>
  </si>
  <si>
    <t>Codecademy provides education without borders. More than 10m students and 20k governments, companies and universities in Asia, Europe, the U.S. and Latin America are trialling and adopting Codecademy to transform programming literacy.</t>
  </si>
  <si>
    <t>Zach Sims; Ryan Bubinski</t>
  </si>
  <si>
    <t>deepl.com</t>
  </si>
  <si>
    <t>For you guys that might mean personalized language pairs or even translation tones.</t>
  </si>
  <si>
    <t>DeepL</t>
  </si>
  <si>
    <t>/companies/deepl/</t>
  </si>
  <si>
    <t>DeepL is on a mission to break down language barriers for businesses everywhere. Over 100,000 businesses, governments and other organizations and millions of individuals in 63 global markets trust DeepL’s Language AI platform for human-like translation and better writing.</t>
  </si>
  <si>
    <t>Jaroslaw Kutylowski</t>
  </si>
  <si>
    <t>Team; Team; Danny Rimer; Katharina Wilhelm; Team</t>
  </si>
  <si>
    <t>discordapp.com</t>
  </si>
  <si>
    <t>For you guys that might mean personalized server roles... or custom bots.</t>
  </si>
  <si>
    <t>Discord</t>
  </si>
  <si>
    <t>entertainment</t>
  </si>
  <si>
    <t>/companies/discord/</t>
  </si>
  <si>
    <t>Discord is the easiest way to talk over voice, video, and text. Talk, chat, hang out, and stay close with your friends and communities.</t>
  </si>
  <si>
    <t>Jason Citron</t>
  </si>
  <si>
    <t>dotproduct.xyz</t>
  </si>
  <si>
    <t>For you guys that might mean personalized playbooks... or agent configurations.</t>
  </si>
  <si>
    <t>Dot Product</t>
  </si>
  <si>
    <t>/companies/dot-product/</t>
  </si>
  <si>
    <t>Dot Product is building AI coworkers for operations teams.</t>
  </si>
  <si>
    <t>Maksim Stepanenko; Usman Masood</t>
  </si>
  <si>
    <t>duffel.com</t>
  </si>
  <si>
    <t>For you guys that might mean personalized flight search results... or ancillary offerings.</t>
  </si>
  <si>
    <t>Duffel</t>
  </si>
  <si>
    <t>/companies/duffel/</t>
  </si>
  <si>
    <t>Duffel is rethinking travel from the ground up. Its platform allows online and mobile travel agents to connect directly with airlines’ reservation systems, providing a new booking infrastructure to the next generation of online and mobile only travel agents that are transforming travel.</t>
  </si>
  <si>
    <t>Steve Domin; Tom Bates</t>
  </si>
  <si>
    <t>gatsbyjs.com</t>
  </si>
  <si>
    <t>For you guys that might mean personalized themes... or plugins.</t>
  </si>
  <si>
    <t>Gatsby</t>
  </si>
  <si>
    <t>/companies/gatsby/</t>
  </si>
  <si>
    <t>The modern way to build the web</t>
  </si>
  <si>
    <t>Kyle Mathews; Sam Bhagwat</t>
  </si>
  <si>
    <t>humu.com</t>
  </si>
  <si>
    <t>For you guys that might mean personalized survey types or even employee segments.</t>
  </si>
  <si>
    <t>Humu</t>
  </si>
  <si>
    <t>talent; business-applications</t>
  </si>
  <si>
    <t>/companies/humu/</t>
  </si>
  <si>
    <t>Humu helps companies understand—and act on—what matters most, then drive behavioral change to build stronger, happier, more capable teams from the inside out, and bottom up.</t>
  </si>
  <si>
    <t>Laszlo Bock; Wayne Crosby</t>
  </si>
  <si>
    <t>izettle.com</t>
  </si>
  <si>
    <t>For you guys that might mean personalized fees... or reporting.</t>
  </si>
  <si>
    <t>PayPal</t>
  </si>
  <si>
    <t>iZettle</t>
  </si>
  <si>
    <t>/companies/izettle/</t>
  </si>
  <si>
    <t>iZettle is a social payments company, enabling secure and seamless P2P and B2C commerce on the go, via tablets and smart-phones</t>
  </si>
  <si>
    <t>Jacob de Geer; Magnus Nilsson</t>
  </si>
  <si>
    <t>Team; Team; Ben Holmes; Team</t>
  </si>
  <si>
    <t>lightning.ai</t>
  </si>
  <si>
    <t>For you guys that might mean personalized user interfaces or dashboards.</t>
  </si>
  <si>
    <t>Lightning</t>
  </si>
  <si>
    <t>Lightning AI</t>
  </si>
  <si>
    <t>/companies/gridai/</t>
  </si>
  <si>
    <t>Seamlessly train hundreds of Machine Learning models on the cloud from your laptop.</t>
  </si>
  <si>
    <t>Will Falcon; Luis Capelo</t>
  </si>
  <si>
    <t>navabi.tv</t>
  </si>
  <si>
    <t>For you guys that might mean personalized looks or sizing...</t>
  </si>
  <si>
    <t>Navabi</t>
  </si>
  <si>
    <t>navabi</t>
  </si>
  <si>
    <t>retail</t>
  </si>
  <si>
    <t>/companies/navabi/</t>
  </si>
  <si>
    <t>navabi’s mission is to become the premier destination for plus-size designer fashion worldwide, offering the style-savvy plus-size customer unprecedented access to the newest looks from leading European labels.</t>
  </si>
  <si>
    <t>Zahir Dehnadi; Bahman Nedaei</t>
  </si>
  <si>
    <t>multiverse.io</t>
  </si>
  <si>
    <t>For you guys that might mean personalized course tracks or coaching cadences.</t>
  </si>
  <si>
    <t>Multiverse</t>
  </si>
  <si>
    <t>/companies/whitehat/</t>
  </si>
  <si>
    <t>Multiverse is a tech company that identifies, closes and prevents skills gaps, through personalized, on-the-job learning. They focus on AI, tech and data skills for people of any age and any career stage, in order to transform access to economic opportunity.</t>
  </si>
  <si>
    <t>Euan Blair; Sophie Adelman</t>
  </si>
  <si>
    <t>Team; Team; Danny Rimer; Hannah Seal; Team</t>
  </si>
  <si>
    <t>natoma.id</t>
  </si>
  <si>
    <t>For you guys that might mean personalized API keys...or service accounts.</t>
  </si>
  <si>
    <t>Natoma</t>
  </si>
  <si>
    <t>/companies/natoma/</t>
  </si>
  <si>
    <t>Pratyus Patnaik; Paresh Bhaya; Will Potter; Zachary Hart</t>
  </si>
  <si>
    <t>classcompanion.com</t>
  </si>
  <si>
    <t>Class Companion</t>
  </si>
  <si>
    <t>/companies/class-companion/</t>
  </si>
  <si>
    <t>Class Companion empowers teachers to give instant feedback and support each student to learn at their own pace. Thousands of teachers use the AI platform to create assignments, engage students, generate feedback, and gain insights into progress.</t>
  </si>
  <si>
    <t>Avery Pan; Jack Forbes</t>
  </si>
  <si>
    <t>coverwallet.com</t>
  </si>
  <si>
    <t>CoverWallet</t>
  </si>
  <si>
    <t>NYSE:AON</t>
  </si>
  <si>
    <t>/companies/coverwallet/</t>
  </si>
  <si>
    <t>CoverWallet is the easiest way to understand, buy and manage insurance for your business. It combines data, design and technology to help small businesses deal with their insurance needs with a few clicks.</t>
  </si>
  <si>
    <t>Inaki Berenguer; Rashmi Melgiri</t>
  </si>
  <si>
    <t>pilot.com</t>
  </si>
  <si>
    <t>For you guys that might mean personalized expense categories or GL accounts.</t>
  </si>
  <si>
    <t>Pilot</t>
  </si>
  <si>
    <t>seed</t>
  </si>
  <si>
    <t>/companies/pilot/</t>
  </si>
  <si>
    <t>Pilot puts premium bookkeeping within reach of every business. We’re building a reliable, time saving, bookkeeping solution that recognizes the individual strengths of both software and people — and then brings them together.</t>
  </si>
  <si>
    <t>Waseem Daher; Jeff Arnold; Jessica McKellar</t>
  </si>
  <si>
    <t>sanlo.io</t>
  </si>
  <si>
    <t>For you guys that might mean personalized checkout flows... or payouts.</t>
  </si>
  <si>
    <t>Sanlo</t>
  </si>
  <si>
    <t>/companies/sanlo/</t>
  </si>
  <si>
    <t>The financial hub for gaming and apps.</t>
  </si>
  <si>
    <t>Olya Caliujnaia; William Liu</t>
  </si>
  <si>
    <t>trello.com</t>
  </si>
  <si>
    <t>For you guys that might mean personalized Power-Ups... or even board templates.</t>
  </si>
  <si>
    <t>Trello</t>
  </si>
  <si>
    <t>Atlassian</t>
  </si>
  <si>
    <t>/companies/trello/</t>
  </si>
  <si>
    <t>Trello is a collaboration tool that organizes your projects into boards. In one glance, Trello tells you what&amp;#x27;s being worked on, who&amp;#x27;s working on what, and where something is in process.</t>
  </si>
  <si>
    <t>Michael Pryor</t>
  </si>
  <si>
    <t>alan.eu</t>
  </si>
  <si>
    <t>For you guys that might mean personalized coverage options or reimbursement rates.</t>
  </si>
  <si>
    <t>Alan</t>
  </si>
  <si>
    <t>/companies/alan/</t>
  </si>
  <si>
    <t>Alan is the leading digital health insurance provider in France. Alan is making health experience simple and modern. It is a primary insurer that distributes its own health plans directly to companies and individuals.</t>
  </si>
  <si>
    <t>Jean-Charles Samuelian; Charles Gorintin</t>
  </si>
  <si>
    <t>hoop.app</t>
  </si>
  <si>
    <t>Hoop</t>
  </si>
  <si>
    <t>/companies/hoop/</t>
  </si>
  <si>
    <t>The AI powered to-do list that writes itself.</t>
  </si>
  <si>
    <t>Stella Garber; Brian Schmidt; Justin Gallagher</t>
  </si>
  <si>
    <t>Team; Team; Damir Becirovic; Neil Rimer; Team</t>
  </si>
  <si>
    <t>loc.tax</t>
  </si>
  <si>
    <t>Loctax</t>
  </si>
  <si>
    <t>/companies/loctax/</t>
  </si>
  <si>
    <t>Loctax is the first collaborative tax governance platform for global in-house tax teams</t>
  </si>
  <si>
    <t>Stevi Frooninckx; Hans Kayaert</t>
  </si>
  <si>
    <t>oanda.com</t>
  </si>
  <si>
    <t>OANDA</t>
  </si>
  <si>
    <t>/companies/oanda/</t>
  </si>
  <si>
    <t>OANDA Corporation transformed the business of foreign exchange through an innovative approach to forex trading. The company&amp;#x27;s industry leading online trading platform, fxTrade, introduced a number of firsts to the marketplace, including immediate execution; instant settlement on trades; trades of any size between one unit and 10 million units; and interest calculated by the second.</t>
  </si>
  <si>
    <t>Ed Eger; K Duker</t>
  </si>
  <si>
    <t>rooser.eu</t>
  </si>
  <si>
    <t>Rooser</t>
  </si>
  <si>
    <t>/companies/rooser/</t>
  </si>
  <si>
    <t>Rooser is a global seafood network that connects seafood buyers and suppliers, transforming the way fish moves from through the seafood chain. Founded in 2019 by entrepreneurs with a deep knowledge and passion for the sector, the company provides innovative tools to manage, price and trade fish more efficiently and transparently, radically reducing seafood waste and improving margins across the sector.</t>
  </si>
  <si>
    <t>Joel Watt; Nicolas Desormeaux; Erez Mathan; Thomas Quiroga</t>
  </si>
  <si>
    <t>Team; Team; Georgia Stevenson; Danny Rimer; Team</t>
  </si>
  <si>
    <t>sourceful.com</t>
  </si>
  <si>
    <t>Sourceful</t>
  </si>
  <si>
    <t>/companies/sourceful/</t>
  </si>
  <si>
    <t>The all-in-one platform for sustainable sourcing</t>
  </si>
  <si>
    <t>Wing Chan; Sharon Chan</t>
  </si>
  <si>
    <t>Team; Team; Danny Rimer; Georgia Stevenson; Team</t>
  </si>
  <si>
    <t>squarespace.com</t>
  </si>
  <si>
    <t>Squarespace</t>
  </si>
  <si>
    <t>/companies/squarespace/</t>
  </si>
  <si>
    <t>Squarespace empowers individuals and companies to design, build and maintain bespoke websites that raise the bar for online publishing. By fusing elegant design with robust engineering, the company’s mission is to provide the creative tools that power the future of the web.</t>
  </si>
  <si>
    <t>Anthony Casalena</t>
  </si>
  <si>
    <t>superconductive.com</t>
  </si>
  <si>
    <t>Superconductive</t>
  </si>
  <si>
    <t>/companies/super-conductive/</t>
  </si>
  <si>
    <t>Always know what to expect from your data.</t>
  </si>
  <si>
    <t>Abe Gong; James Campbell</t>
  </si>
  <si>
    <t>temporal.io</t>
  </si>
  <si>
    <t>Temporal</t>
  </si>
  <si>
    <t>/companies/temporal/</t>
  </si>
  <si>
    <t>Build Invincible Apps</t>
  </si>
  <si>
    <t>Maxim Fateev; Samar Abbas</t>
  </si>
  <si>
    <t>purestorage.com</t>
  </si>
  <si>
    <t>[{"value":"sgaillard@purestorage.com","type":"personal","confidence":94,"sources":[{"domain":"linkedin.com","uri":"https://www.google.com/search?q=site:linkedin.com%20stephane%20gaillard%20purestorage","extracted_on":"2025-01-14","last_seen_on":"2025-01-14","still_on_page":true}],"first_name":"Stephane","last_name":"Gaillard","position":"Director of Cloud Native Business","position_raw":"Director EMEA Cloud Native Business Unit (Portworx Software)","seniority":null,"department":"sales","linkedin":"https://www.linkedin.com/in/stephane-gaillard-71623b","twitter":null,"phone_number":null,"verification":{"date":"2025-01-22","status":"accept_all"}},{"value":"crobertson@purestorage.com","type":"personal","confidence":94,"sources":[{"domain":"linkedin.com","uri":"https://www.google.com/search?q=site:linkedin.com%20craig%20robertson%20purestorage","extracted_on":"2025-01-14","last_seen_on":"2025-01-14","still_on_page":true}],"first_name":"Craig","last_name":"Robertson","position":"Director of Partner Sales","position_raw":"Director, Partner Sales - UKI","seniority":null,"department":"sales","linkedin":"https://www.linkedin.com/in/craig-robertson-14a21915","twitter":null,"phone_number":null,"verification":{"date":"2025-01-14","status":"accept_all"}},{"value":"rfear@purestorage.com","type":"personal","confidence":94,"sources":[{"domain":"linkedin.com","uri":"https://www.google.com/search?q=site:linkedin.com%20ross%20fear%20purestorage","extracted_on":"2025-01-14","last_seen_on":"2025-01-14","still_on_page":true}],"first_name":"Ross","last_name":"Fear","position":"Business Development Director","position_raw":"New Business Account Director","seniority":null,"department":"sales","linkedin":"https://www.linkedin.com/in/ross-fear-a21a2828b","twitter":null,"phone_number":null,"verification":{"date":"2025-02-14","status":"accept_all"}},{"value":"mmattera@purestorage.com","type":"personal","confidence":94,"sources":[{"domain":"linkedin.com","uri":"https://www.google.com/search?q=site:linkedin.com%20michael%20mattera%20purestorage","extracted_on":"2025-01-14","last_seen_on":"2025-01-14","still_on_page":true}],"first_name":"Michael","last_name":"Mattera","position":"Sales Director","position_raw":"Sales Director - Global System Integrators","seniority":null,"department":"sales","linkedin":"https://www.linkedin.com/in/michael-mattera-95250045","twitter":null,"phone_number":null,"verification":{"date":"2025-02-13","status":"accept_all"}},{"value":"dsmith@purestorage.com","type":"personal","confidence":94,"sources":[{"domain":"linkedin.com","uri":"https://www.google.com/search?q=site:linkedin.com%20derek%20smith%20purestorage","extracted_on":"2025-01-14","last_seen_on":"2025-01-14","still_on_page":true}],"first_name":"Derek","last_name":"Smith","position":"Channel Sales Director","position_raw":"Channel Sales Director, Southeast","seniority":null,"department":"sales","linkedin":"https://www.linkedin.com/in/derek-smith-0123a712","twitter":null,"phone_number":null,"verification":{"date":"2025-01-15","status":"accept_all"}},{"value":"lrobert@purestorage.com","type":"personal","confidence":94,"sources":[{"domain":"linkedin.com","uri":"https://www.google.com/search?q=site:linkedin.com%20leila%20robert%20purestorage","extracted_on":"2025-01-14","last_seen_on":"2025-01-14","still_on_page":true}],"first_name":"Leila","last_name":"Robert","position":"Director of Business Strategy","position_raw":"Director Business Strategy &amp; Monetization - Asia Pacific Japan","seniority":null,"department":"sales","linkedin":"https://www.linkedin.com/in/leilaaxellerobert","twitter":null,"phone_number":null,"verification":{"date":"2025-01-14","status":"accept_all"}},{"value":"byadav@purestorage.com","type":"personal","confidence":94,"sources":[{"domain":"linkedin.com","uri":"https://www.google.com/search?q=site:linkedin.com%20bharat%20yadav%20purestorage","extracted_on":"2025-01-14","last_seen_on":"2025-01-14","still_on_page":true}],"first_name":"Bharat","last_name":"Yadav","position":"Sales Director","position_raw":"Sales Director","seniority":null,"department":"sales","linkedin":"https://www.linkedin.com/in/bharat-yadav-aab92415","twitter":null,"phone_number":null,"verification":{"date":"2025-01-27","status":"accept_all"}},{"value":"nsmith@purestorage.com","type":"personal","confidence":94,"sources":[{"domain":"linkedin.com","uri":"https://www.google.com/search?q=site:linkedin.com%20nathan%20smith%20purestorage","extracted_on":"2025-01-13","last_seen_on":"2025-01-13","still_on_page":true}],"first_name":"Nathan","last_name":"Smith","position":"Global Sales Director","position_raw":"Global Sales Director (Global Partners)","seniority":null,"department":"sales","linkedin":"https://www.linkedin.com/in/nathan-smith-402b1159","twitter":null,"phone_number":null,"verification":{"date":"2025-02-23","status":"accept_all"}},{"value":"rkelleher@purestorage.com","type":"personal","confidence":94,"sources":[{"domain":"linkedin.com","uri":"https://www.google.com/search?q=site:linkedin.com%20rebecca%20kelleher%20purestorage","extracted_on":"2025-01-13","last_seen_on":"2025-01-13","still_on_page":true}],"first_name":"Rebecca","last_name":"Kelleher","position":"Sales Development Director","position_raw":"Director, Americas Sales Development","seniority":null,"department":"sales","linkedin":"https://www.linkedin.com/in/rebecca-kelleher-9550377b","twitter":null,"phone_number":null,"verification":{"date":"2025-02-07","status":"accept_all"}},{"value":"psamal@purestorage.com","type":"personal","confidence":94,"sources":[{"domain":"linkedin.com","uri":"https://www.google.com/search?q=site:linkedin.com%20pavel%20samal%20purestorage","extracted_on":"2025-01-13","last_seen_on":"2025-01-13","still_on_page":true}],"first_name":"Pavel","last_name":"Samal","position":"HR Business Partner","position_raw":"HR Business Partner","seniority":null,"department":"sales","linkedin":"https://www.linkedin.com/in/pavelsamal","twitter":null,"phone_number":null,"verification":{"date":"2025-01-13","status":"accept_all"}}]</t>
  </si>
  <si>
    <t>For you guys that might mean personalized workloads... or even the specific DBs being accelerated.</t>
  </si>
  <si>
    <t>Pure</t>
  </si>
  <si>
    <t>Pure Storage</t>
  </si>
  <si>
    <t>NYSE:PSTG</t>
  </si>
  <si>
    <t>/companies/pure-storage/</t>
  </si>
  <si>
    <t>Pure Storage, the all-flash enterprise storage company, enables the broad deployment of flash in the data center. When compared to traditional disk-centric arrays, the Pure Storage FlashArray is 10x faster and 10x more space and power efficient, for less than the cost of mechanical disk per gigabyte stored.</t>
  </si>
  <si>
    <t>Scott Dietzen; John Colgrove; John Hayes</t>
  </si>
  <si>
    <t>getbuilt.com</t>
  </si>
  <si>
    <t>For you guys that might mean personalized draw schedules... or budget approvals.</t>
  </si>
  <si>
    <t>Built</t>
  </si>
  <si>
    <t>/companies/built/</t>
  </si>
  <si>
    <t>Built is the leading provider of secure, cloud-based construction lending software. Built&amp;#x27;s collaboration software brings the draw management process online and helps reduce construction loan risk, increases loan profitability, transforms the borrower experience, and simplifies compliance. Built serves small, regional and national lenders across the US.</t>
  </si>
  <si>
    <t>Chase Gilbert; Scott Sohr</t>
  </si>
  <si>
    <t>creditbenchmark.com</t>
  </si>
  <si>
    <t>For you guys that might mean personalized ratings, or PDs.</t>
  </si>
  <si>
    <t>Credit Benchmark</t>
  </si>
  <si>
    <t>/companies/credit-benchmark/</t>
  </si>
  <si>
    <t>Credit Benchmark, an innovative provider of credit risk data and analytics, pools credit risk estimates from the world’s biggest banks and financial institutions -- global, regional and national -- to create consensus credit views.</t>
  </si>
  <si>
    <t>Donal Smith; Mark Faulkner</t>
  </si>
  <si>
    <t>nexthink.com</t>
  </si>
  <si>
    <t>For you guys that might mean personalized custom dashboards... or reports.</t>
  </si>
  <si>
    <t>Nexthink</t>
  </si>
  <si>
    <t>/companies/nexthink/</t>
  </si>
  <si>
    <t>Nexthink is the global leader in digital experience management.</t>
  </si>
  <si>
    <t>Pedro Bados; Patrick Hertzog</t>
  </si>
  <si>
    <t>sesolabor.com</t>
  </si>
  <si>
    <t>For you guys that might mean personalized pay schedules... or compliance rules.</t>
  </si>
  <si>
    <t>Seso</t>
  </si>
  <si>
    <t>/companies/seso/</t>
  </si>
  <si>
    <t>Seso is building the first end-to-end recruiting and workforce management platform for the agriculture industry.</t>
  </si>
  <si>
    <t>Jordan Taylor; Michael Guirguis</t>
  </si>
  <si>
    <t>adyen.com</t>
  </si>
  <si>
    <t>For you guys that might mean personalized payment methods, or maybe even acquiring regions.</t>
  </si>
  <si>
    <t>Adyen</t>
  </si>
  <si>
    <t>AMS:ADYEN</t>
  </si>
  <si>
    <t>/companies/adyen/</t>
  </si>
  <si>
    <t>A global omni-channel payment company, Adyen provides a fully- outsourced payment solution for large international merchants. Adyen processes over 250 different payment methods and 187 transaction currencies used across six continents.</t>
  </si>
  <si>
    <t>Pieter van der Does</t>
  </si>
  <si>
    <t>boku.com</t>
  </si>
  <si>
    <t>For you guys that might mean personalized LPM coverage or transaction routing.</t>
  </si>
  <si>
    <t>Boku</t>
  </si>
  <si>
    <t>LON:BOKU</t>
  </si>
  <si>
    <t>/companies/boku/</t>
  </si>
  <si>
    <t>Boku, the leading operator billing and cross-platform mobile payments company, brings bank-grade payments technology and mobile users together, creating a trusted, accessible platform for consumers, merchants and operators alike. Based in San Francisco with offices in Europe, Latin America and Asia, Boku reaches nearly 4 billion consumers worldwide, across 70 countries with more than 270 operators.</t>
  </si>
  <si>
    <t>Jon Prideaux; Mark Britto</t>
  </si>
  <si>
    <t>cartesia.ai</t>
  </si>
  <si>
    <t>For you guys that might mean personalized voice models... or API integrations.</t>
  </si>
  <si>
    <t>Cartesia</t>
  </si>
  <si>
    <t>/companies/cartesia/</t>
  </si>
  <si>
    <t>Real-time multimodal intelligence for every device.</t>
  </si>
  <si>
    <t>Karan Goel; Albert Gu; Arjun Desai; Brandon Yang; Chris Re</t>
  </si>
  <si>
    <t>gruppomol.it</t>
  </si>
  <si>
    <t>For you guys that might mean personalized loan types or interest rates...</t>
  </si>
  <si>
    <t>Moltiply</t>
  </si>
  <si>
    <t>Gruppo MutuiOnline</t>
  </si>
  <si>
    <t>IM:MOL</t>
  </si>
  <si>
    <t>/companies/gruppo-mutuionline/</t>
  </si>
  <si>
    <t>Gruppo MutuiOnline is a financial services company focusing on the Italian market, where it is the leading online retail credit broker, with two separate web sites specializing on mortgages and personal loans , and a major provider of credit-related outsourcing services. The company recently started an online insurance aggregator and a bank account comparison business.</t>
  </si>
  <si>
    <t>Alessandro Fracassi; Marco Pescarmona</t>
  </si>
  <si>
    <t>Team; Team; Giuseppe Zocco; Team</t>
  </si>
  <si>
    <t>ankorstore.com</t>
  </si>
  <si>
    <t>Ankorstore</t>
  </si>
  <si>
    <t>/companies/ankorstore/</t>
  </si>
  <si>
    <t>Ankorstore is a curated marketplace connecting up-and-coming specialist brands with the most loved neighbourhood retailers.</t>
  </si>
  <si>
    <t>Nicolas Cohen; Mathieu Alengrin; Nicolas D&amp;#x27;Audiffret; Pierre-Louis Lacoste</t>
  </si>
  <si>
    <t>Team; Team; Martin Mignot; Julia Andre; Team</t>
  </si>
  <si>
    <t>auxmoney.com</t>
  </si>
  <si>
    <t>Auxmoney</t>
  </si>
  <si>
    <t>/companies/auxmoney/</t>
  </si>
  <si>
    <t>auxmoney is a leading digital-lending platform for consumer credit in Europe. Through AI-powered risk models and truly digital processes, auxmoney improves access to affordable credit and thus promotes financial inclusion.</t>
  </si>
  <si>
    <t>Raffael Johnen; Philipp Kriependorf; Philip Kamp</t>
  </si>
  <si>
    <t>empathy.com</t>
  </si>
  <si>
    <t>Empathy</t>
  </si>
  <si>
    <t>/companies/empathy/</t>
  </si>
  <si>
    <t>Empathy is an innovative technology company transforming the way the world deals with grief and the loss of a loved one.</t>
  </si>
  <si>
    <t>Ron Gura; Yonatan Bergman</t>
  </si>
  <si>
    <t>fundingcircle.com</t>
  </si>
  <si>
    <t>Funding Circle</t>
  </si>
  <si>
    <t>LON: FCH</t>
  </si>
  <si>
    <t>/companies/funding-circle/</t>
  </si>
  <si>
    <t>Funding Circle is a P2P lending network for small businesses. Freeing up critical liquidity for SMEs, the company has created a digital marketplace which matches deposits from investors, seeking better returns, with loans to carefully-screened businesses, who need finance fast.</t>
  </si>
  <si>
    <t>Samir Desai; Sam Hodges; James Meekings; Andrew Mullinger</t>
  </si>
  <si>
    <t>gather.town</t>
  </si>
  <si>
    <t>Gather</t>
  </si>
  <si>
    <t>/companies/gather/</t>
  </si>
  <si>
    <t>A better way to meet online</t>
  </si>
  <si>
    <t>Phillip Wang; Alex Chen; Kumail Jaffer; Nate Foss</t>
  </si>
  <si>
    <t>geophy.com</t>
  </si>
  <si>
    <t>GeoPhy</t>
  </si>
  <si>
    <t>/companies/geophy/</t>
  </si>
  <si>
    <t>GeoPhy aims to transform antiquated commercial real estate (CRE) processes with data-driven valuations and analytics powered by machine learning.</t>
  </si>
  <si>
    <t>Sander Mulders; Teun Van Den Dries</t>
  </si>
  <si>
    <t>getharley.com</t>
  </si>
  <si>
    <t>GetHarley</t>
  </si>
  <si>
    <t>/companies/getharley/</t>
  </si>
  <si>
    <t>GetHarley, named after the famous ‘Harley Street’ in London where many leading doctors and physicians have their practices, is a digital platform and service that connects skincare clinicians with consumers and pharmaceutical brands.</t>
  </si>
  <si>
    <t>Charmaine Chow</t>
  </si>
  <si>
    <t>harmonic.fun</t>
  </si>
  <si>
    <t>Harmonic</t>
  </si>
  <si>
    <t>/companies/harmonic/</t>
  </si>
  <si>
    <t>The artificial intelligence platform leading the development of Mathematical Superintelligence (MSI).</t>
  </si>
  <si>
    <t>Tudor Achim; Vlad Tenev</t>
  </si>
  <si>
    <t>jumboprivacy.com</t>
  </si>
  <si>
    <t>Jumbo</t>
  </si>
  <si>
    <t>/companies/jumbo-privacy/</t>
  </si>
  <si>
    <t>Jumbo is a leading privacy and security assistant that protects you from online risks.</t>
  </si>
  <si>
    <t>Pierre Valade</t>
  </si>
  <si>
    <t>linktr.ee</t>
  </si>
  <si>
    <t>Linktree</t>
  </si>
  <si>
    <t>/companies/linktree/</t>
  </si>
  <si>
    <t>Linktree is the rapidly growing social identity layer. It enables brands, artists, publishers, agencies, creators and small businesses to curate an online ecosystem, instantly guiding their audience to the destinations that they care about, without using a search engine or websites as a starting point.</t>
  </si>
  <si>
    <t>Alex Zaccaria; Anthony Zaccaria; Nick Humphreys</t>
  </si>
  <si>
    <t>matera.eu</t>
  </si>
  <si>
    <t>Matera</t>
  </si>
  <si>
    <t>f.k.a. illicopro</t>
  </si>
  <si>
    <t>/companies/matera/</t>
  </si>
  <si>
    <t>Matera enables residential property owners to self-manage all building operations, offering a suite of online services and direct access to professionals (in the fields of accounting, legal, insurance, building services and others).</t>
  </si>
  <si>
    <t>Raphaël Di Meglio; Jeremy Krebs; Victor Prigent</t>
  </si>
  <si>
    <t>Team; Team; Martin Mignot; Sofia Dolfe; Team</t>
  </si>
  <si>
    <t>myheritage.com</t>
  </si>
  <si>
    <t>MyHeritage</t>
  </si>
  <si>
    <t>/companies/myheritage/</t>
  </si>
  <si>
    <t>MyHeritage is an online service with a mission to make it easier for people around the world to harness the power of the Internet to discover their heritage and strengthen their bonds with family and friends.</t>
  </si>
  <si>
    <t>Gilad Japhet</t>
  </si>
  <si>
    <t>newfrontinsurance.com</t>
  </si>
  <si>
    <t>Newfront</t>
  </si>
  <si>
    <t>/companies/newfront-insurance/</t>
  </si>
  <si>
    <t>We built a better brokerage.</t>
  </si>
  <si>
    <t>Spike Lipkin; Gordon Wintrob</t>
  </si>
  <si>
    <t>usenourish.com</t>
  </si>
  <si>
    <t>Nourish</t>
  </si>
  <si>
    <t>/companies/nourish/</t>
  </si>
  <si>
    <t>Expanding access to evidence-based nutritional counseling from registered dietitians.</t>
  </si>
  <si>
    <t>Aidan Dewar; Sam Perkins; Stephanie Liu</t>
  </si>
  <si>
    <t>robinhood.com</t>
  </si>
  <si>
    <t>Robinhood</t>
  </si>
  <si>
    <t>NASDAQ: HOOD</t>
  </si>
  <si>
    <t>/companies/robinhood/</t>
  </si>
  <si>
    <t>Robinhood is a zero commission stock trading app.</t>
  </si>
  <si>
    <t>Baiju Bhatt; Vlad Tenev</t>
  </si>
  <si>
    <t>siro.ai</t>
  </si>
  <si>
    <t>Siro</t>
  </si>
  <si>
    <t>/companies/siro/</t>
  </si>
  <si>
    <t>Siro is building an AI coach for Field Sales.</t>
  </si>
  <si>
    <t>Jake Cronin; Joe Jordan</t>
  </si>
  <si>
    <t>vouch.us</t>
  </si>
  <si>
    <t>Vouch</t>
  </si>
  <si>
    <t>/companies/vouch/</t>
  </si>
  <si>
    <t>Vouch Insurance is a new kind of insurance company for startups. Built by founders for founders, we’ve re-designed everything about business insurance from scratch so you can move faster.</t>
  </si>
  <si>
    <t>Sam Hodges; Travis Hedge</t>
  </si>
  <si>
    <t>wise.com</t>
  </si>
  <si>
    <t>Wise</t>
  </si>
  <si>
    <t>/companies/transferwise/</t>
  </si>
  <si>
    <t>Wise was launched in 2011 with the vision of making international money transfers cheap, fair, and simple. Today, its multi-currency account helps over 10 million people and businesses manage their money across the world.</t>
  </si>
  <si>
    <t>Taavet Hinrikus; Kristo Käärmann</t>
  </si>
  <si>
    <t>mysql.com</t>
  </si>
  <si>
    <t>For you guys that might mean personalized schemas... or query optimizations.</t>
  </si>
  <si>
    <t>MySQL</t>
  </si>
  <si>
    <t>NASDAQ: ORCL</t>
  </si>
  <si>
    <t>/companies/mysql/</t>
  </si>
  <si>
    <t>MySQL is the world’s most popular open source database software. It was acquired by Sun Microsystems, now Oracle, in 2008.</t>
  </si>
  <si>
    <t>Allan Larsson</t>
  </si>
  <si>
    <t>slack.com</t>
  </si>
  <si>
    <t>For you guys that might mean personalized channels... or workflows.</t>
  </si>
  <si>
    <t>Slack</t>
  </si>
  <si>
    <t>NYSE:WORK</t>
  </si>
  <si>
    <t>/companies/slack/</t>
  </si>
  <si>
    <t>Slack is a messaging platform for teams which brings all communication together, creating a single unified archive accessible through powerful search.</t>
  </si>
  <si>
    <t>Stewart Butterfield; Cal Henderson; Eric Costello; Serguei Mourachov</t>
  </si>
  <si>
    <t>mimecast.com</t>
  </si>
  <si>
    <t>For you guys that might mean personalized threat feeds or user permissions.</t>
  </si>
  <si>
    <t>Mimecast</t>
  </si>
  <si>
    <t>NASDAQ:MIME</t>
  </si>
  <si>
    <t>africa; europe</t>
  </si>
  <si>
    <t>/companies/mimecast/</t>
  </si>
  <si>
    <t>Mimecast is a category-defining SaaS company for unified email management, safeguarding email security, archiving and seamless continuity.</t>
  </si>
  <si>
    <t>Peter Bauer; Neil Murray</t>
  </si>
  <si>
    <t>threadai.com</t>
  </si>
  <si>
    <t>For you guys that might mean personalized model versions... or API keys.</t>
  </si>
  <si>
    <t>Thread</t>
  </si>
  <si>
    <t>Thread AI</t>
  </si>
  <si>
    <t>/companies/thread-ai-2/</t>
  </si>
  <si>
    <t>Building the next phase of critical AI infrastructure.</t>
  </si>
  <si>
    <t>Angela McNeal; Mayada Gonimah</t>
  </si>
  <si>
    <t>adzuna.com</t>
  </si>
  <si>
    <t>Adzuna</t>
  </si>
  <si>
    <t>/companies/adzuna/</t>
  </si>
  <si>
    <t>Adzuna is a search engine for job ads used by over 10 million visitors per month that aims to list every job, everywhere.</t>
  </si>
  <si>
    <t>Doug Monro; Andrew Hunter</t>
  </si>
  <si>
    <t>allarahealth.com</t>
  </si>
  <si>
    <t>Allara</t>
  </si>
  <si>
    <t>/companies/allara-health/</t>
  </si>
  <si>
    <t>Allara is a specialty care platform built for the tens of millions of women living with complex hormonal and gynecologic conditions, such as polycystic ovary syndrome (PCOS) and endometriosis.</t>
  </si>
  <si>
    <t>Rachel Blank</t>
  </si>
  <si>
    <t>argent.xyz</t>
  </si>
  <si>
    <t>Argent</t>
  </si>
  <si>
    <t>/companies/argent/</t>
  </si>
  <si>
    <t>The most simple and secure smart wallet for crypto.</t>
  </si>
  <si>
    <t>Itamar Lesuisse; Gerald Goldstein; Julien Niset</t>
  </si>
  <si>
    <t>atlantic.money</t>
  </si>
  <si>
    <t>Atlantic Money</t>
  </si>
  <si>
    <t>/companies/atlantic-money/</t>
  </si>
  <si>
    <t>With a flat £3 fee, zero FX markup, and an app designed just for you, moving money across borders has never been so easy.</t>
  </si>
  <si>
    <t>Neeraj Baid; Patrick Kavanagh</t>
  </si>
  <si>
    <t>citymapper.com</t>
  </si>
  <si>
    <t>Citymapper</t>
  </si>
  <si>
    <t>/companies/citymapper/</t>
  </si>
  <si>
    <t>Citymapper is reinventing the transport app by helping users navigate the world&amp;#x27;s most complex transport cities – London and New York. The mobile app is available on iOS and Android.</t>
  </si>
  <si>
    <t>Azmat Yusuf</t>
  </si>
  <si>
    <t>cord.com</t>
  </si>
  <si>
    <t>Cord</t>
  </si>
  <si>
    <t>/companies/cord/</t>
  </si>
  <si>
    <t>Make your product multiplayer</t>
  </si>
  <si>
    <t>Nimrod Priell; Jackson Gabbard</t>
  </si>
  <si>
    <t>sdsa.ai</t>
  </si>
  <si>
    <t>/dev/agents</t>
  </si>
  <si>
    <t>/companies/devagents/</t>
  </si>
  <si>
    <t>David Singleton; Ficus Kirkpatrick; Hugo Barra; Nicholas Jitkoff</t>
  </si>
  <si>
    <t>factual.com</t>
  </si>
  <si>
    <t>Factual</t>
  </si>
  <si>
    <t>/companies/factual/</t>
  </si>
  <si>
    <t>Factual is a data company that helps developers, publishers, and advertisers build more relevant and personalized mobile experiences using the context of location.</t>
  </si>
  <si>
    <t>Gil Elbaz</t>
  </si>
  <si>
    <t>landing.flagship.shop</t>
  </si>
  <si>
    <t>Flagship</t>
  </si>
  <si>
    <t>/companies/flagship/</t>
  </si>
  <si>
    <t>Creators are the future of retail.</t>
  </si>
  <si>
    <t>Youssef Ahres</t>
  </si>
  <si>
    <t>ongoody.com</t>
  </si>
  <si>
    <t>Goody</t>
  </si>
  <si>
    <t>/companies/goody/</t>
  </si>
  <si>
    <t>Send a gift as easily as a text.</t>
  </si>
  <si>
    <t>Edward Lando</t>
  </si>
  <si>
    <t>joshwoodcolour.com</t>
  </si>
  <si>
    <t>Josh Wood Colour</t>
  </si>
  <si>
    <t>/companies/josh-wood-colour/</t>
  </si>
  <si>
    <t>The ultimate home hair colour system, the first of its kind created by a world-leading colourist.</t>
  </si>
  <si>
    <t>Anna Bateson; Josh Wood; Jonathan Davies</t>
  </si>
  <si>
    <t>join-jump.com</t>
  </si>
  <si>
    <t>Jump</t>
  </si>
  <si>
    <t>/companies/jump/</t>
  </si>
  <si>
    <t>A better life for the self-employed</t>
  </si>
  <si>
    <t>Nicolas Fayon; Maxime (Max) Bouchet; Nicolas Pinet; Thibault Coulon</t>
  </si>
  <si>
    <t>justpark.com</t>
  </si>
  <si>
    <t>JustPark</t>
  </si>
  <si>
    <t>/companies/justpark/</t>
  </si>
  <si>
    <t>JustPark is The Parking App leading a £50bn industry into the digital age. Parking has been difficult for too long, and JustPark are on a mission to make it easy. Today, their apps help over 1.5 million drivers find parking in seconds - and their technology helps over 20,000 property owners manage their parking assets more effectively.</t>
  </si>
  <si>
    <t>Anthony Eskinazi</t>
  </si>
  <si>
    <t>king.com</t>
  </si>
  <si>
    <t>King</t>
  </si>
  <si>
    <t>Activision Blizzard</t>
  </si>
  <si>
    <t>/companies/king/</t>
  </si>
  <si>
    <t>Creator of Candy Crush Saga, Farm Heroes Saga and Bubble Witch Saga, King is the world-wide leader in casual games with more than 30 billion games played per month globally.</t>
  </si>
  <si>
    <t>Riccardo Zacconi; Sebastian Knutsson; Lars Markgren; Patrik Stymne</t>
  </si>
  <si>
    <t>kry.se</t>
  </si>
  <si>
    <t>KRY | LIVI</t>
  </si>
  <si>
    <t>/companies/kry-livi/</t>
  </si>
  <si>
    <t>KRY | LIVI connects patients with healthcare professionals for consultations via video. It aims to provide around the clock healthcare for patients all over the world, reducing the pressure put on traditional healthcare providers.</t>
  </si>
  <si>
    <t>Johannes Schildt; Fredrik Jung Abbou; Joachim Hedenius</t>
  </si>
  <si>
    <t>revolut.com</t>
  </si>
  <si>
    <t>Revolut</t>
  </si>
  <si>
    <t>/companies/revolut/</t>
  </si>
  <si>
    <t>Revolut&amp;#x27;s global mission is for every person and business to do all things money — spending, saving, investing, borrowing, managing, and more — in just a few taps.</t>
  </si>
  <si>
    <t>Nikolay Storonsky</t>
  </si>
  <si>
    <t>roli.com</t>
  </si>
  <si>
    <t>Roli</t>
  </si>
  <si>
    <t>/companies/roli/</t>
  </si>
  <si>
    <t>A design-led technology start-up, ROLI make hardware and software products and services designed to increase the bandwidth of interaction between people and technology.</t>
  </si>
  <si>
    <t>Roland Lamb</t>
  </si>
  <si>
    <t>taxfix.de</t>
  </si>
  <si>
    <t>Taxfix</t>
  </si>
  <si>
    <t>/companies/taxfix/</t>
  </si>
  <si>
    <t>The digital tax app that reduces the painful and time consuming process of filing a tax return to a matter of minutes.</t>
  </si>
  <si>
    <t>Martin Ott; Lino Teuteberg; Mathis Buechi</t>
  </si>
  <si>
    <t>Team; Team; Neil Rimer; Katharina Wilhelm; Team</t>
  </si>
  <si>
    <t>vetted.ai</t>
  </si>
  <si>
    <t>Vetted</t>
  </si>
  <si>
    <t>/companies/lustre/</t>
  </si>
  <si>
    <t>The Internet&amp;#x27;s Favorite Products</t>
  </si>
  <si>
    <t>Stuart Kearney</t>
  </si>
  <si>
    <t>wealthfront.com</t>
  </si>
  <si>
    <t>For you guys that might mean personalized asset allocations... or tax strategies.</t>
  </si>
  <si>
    <t>Wealthfront</t>
  </si>
  <si>
    <t>/companies/wealthfront/</t>
  </si>
  <si>
    <t>Wealthfront fuses world-class financial expertise with next generation technology to provide access to the same high quality financial advice offered by major institutions and private wealth managers, without the high account minimums or costs.</t>
  </si>
  <si>
    <t>Andy Rachleff; Dan Carroll</t>
  </si>
  <si>
    <t>adfin.com</t>
  </si>
  <si>
    <t>For you guys that might mean personalized invoice templates... or personalized payment workflows.</t>
  </si>
  <si>
    <t>Adfin</t>
  </si>
  <si>
    <t>/companies/adfin/</t>
  </si>
  <si>
    <t>Tom Pope; Ciprian Diaconasu</t>
  </si>
  <si>
    <t>raisin.com</t>
  </si>
  <si>
    <t>[{"value":"marco.fala@raisin.com","type":"personal","confidence":99,"sources":[{"domain":"linkedin.com","uri":"https://www.google.com/search?q=site:linkedin.com%20marco%20fal%C3%A0%20raisin","extracted_on":"2025-01-07","last_seen_on":"2025-01-07","still_on_page":true}],"first_name":"Marco","last_name":"Falà","position":"Associate Director of Business Development","position_raw":"Associate Director Bank Onboarding, Business Development","seniority":null,"department":"sales","linkedin":"https://www.linkedin.com/in/marfal","twitter":null,"phone_number":null,"verification":{"date":"2025-01-07","status":"valid"}},{"value":"shawn.hunt@raisin.com","type":"personal","confidence":99,"sources":[{"domain":"linkedin.com","uri":"https://www.google.com/search?q=site:linkedin.com%20shawn%20hunt%20raisin","extracted_on":"2025-01-07","last_seen_on":"2025-01-07","still_on_page":true}],"first_name":"Shawn","last_name":"Hunt","position":"Business Process Manager","position_raw":"Head of Business Process Management Operations and Product/Project Manager","seniority":"senior","department":"sales","linkedin":"https://www.linkedin.com/in/shawn-hunt-07358a10","twitter":null,"phone_number":null,"verification":{"date":"2025-02-23","status":"valid"}},{"value":"antonia.schmid@raisin.com","type":"personal","confidence":98,"sources":[{"domain":"linkedin.com","uri":"https://www.google.com/search?q=site:linkedin.com%20antonia%20schmid%20raisin","extracted_on":"2025-01-07","last_seen_on":"2025-01-07","still_on_page":true}],"first_name":"Antonia","last_name":"Schmid","position":"Senior HR Business Partner","position_raw":"Senior Human Resources Business Partner","seniority":"senior","department":"sales","linkedin":"https://www.linkedin.com/in/antonia-schmid-a9607a86","twitter":null,"phone_number":null,"verification":{"date":"2025-02-07","status":"valid"}},{"value":"alejandro.mccormack@raisin.com","type":"personal","confidence":98,"sources":[{"domain":"raisin.com","uri":"http://raisin.com/en/press/ireland-platform-launch","extracted_on":"2024-10-23","last_seen_on":"2024-10-23","still_on_page":true}],"first_name":"Alejandro","last_name":"Mccormack","position":"Business Development Manager","position_raw":"Business Development Manager","seniority":"senior","department":"sales","linkedin":null,"twitter":null,"phone_number":null,"verification":{"date":null,"status":null}},{"value":"shana.hennigan@raisin.com","type":"personal","confidence":98,"sources":[{"domain":"member.uba.org","uri":"http://member.uba.org/4dcgi/directory/assocmembers.html","extracted_on":"2024-09-15","last_seen_on":"2025-01-21","still_on_page":true},{"domain":"linkedin.com","uri":"https://www.google.com/search?q=site:linkedin.com%20shana%20hennigan%20raisin","extracted_on":"2025-01-07","last_seen_on":"2025-01-07","still_on_page":true}],"first_name":"Shana","last_name":"Hennigan","position":"Chief Business Officer","position_raw":"Chief Business Officer, US","seniority":"executive","department":"sales","linkedin":"https://www.linkedin.com/in/shana-hennigan","twitter":null,"phone_number":null,"verification":{"date":null,"status":null}},{"value":"phil.alcock@raisin.com","type":"personal","confidence":96,"sources":[{"domain":"linkedin.com","uri":"https://www.google.com/search?q=site:linkedin.com%20phil%20alcock%20raisin","extracted_on":"2025-01-07","last_seen_on":"2025-01-07","still_on_page":true}],"first_name":"Phil","last_name":"Alcock","position":"Business Development Director","position_raw":"Business Development Director &amp; Co-Founder at Raisin UK","seniority":null,"department":"sales","linkedin":"https://www.linkedin.com/in/philalcock","twitter":null,"phone_number":null,"verification":{"date":"2025-01-07","status":"valid"}},{"value":"mario.aquino@raisin.com","type":"personal","confidence":96,"sources":[{"domain":"linkedin.com","uri":"https://www.google.com/search?q=site:linkedin.com%20mario%20aquino%20raisin","extracted_on":"2025-01-07","last_seen_on":"2025-01-07","still_on_page":true}],"first_name":"Mario","last_name":"Aquino","position":"Business Development Director","position_raw":"Business Development Director Italia","seniority":null,"department":"sales","linkedin":"https://www.linkedin.com/in/mario-aquino-26397a2","twitter":null,"phone_number":null,"verification":{"date":"2025-01-07","status":"valid"}}]</t>
  </si>
  <si>
    <t>For you guys that might mean personalized rates or terms.</t>
  </si>
  <si>
    <t>Raisin</t>
  </si>
  <si>
    <t>/companies/raisin/</t>
  </si>
  <si>
    <t>The first online marketplace for European deposits, Raisin offers customers better deposit rates than average bank, and gives banking partners from the EU/EEA access to Europe’s largest savings pool.</t>
  </si>
  <si>
    <t>Tamaz Georgardze; Frank Freund; Michael Stephan</t>
  </si>
  <si>
    <t>tebi.co</t>
  </si>
  <si>
    <t>For you guys that might mean personalized menus... or discounts.</t>
  </si>
  <si>
    <t>Tebi</t>
  </si>
  <si>
    <t>/companies/tebi/</t>
  </si>
  <si>
    <t>Tebi is an all-in-one financial platform for independent hospitality and retail businesses. Founded in 2021, Tebi provides a comprehensive, mobile-first solution that includes point of sale, integrated payments, reservations, inventory management, QR ordering, and bookkeeping.</t>
  </si>
  <si>
    <t>Arnout Schuijff</t>
  </si>
  <si>
    <t>asos.com</t>
  </si>
  <si>
    <t>ASOS</t>
  </si>
  <si>
    <t>LSE:ASC</t>
  </si>
  <si>
    <t>/companies/asos/</t>
  </si>
  <si>
    <t>ASOS is a global multi-channel fashion and beauty destination visited by millions of twenty-something shoppers and fashion-lovers every day.</t>
  </si>
  <si>
    <t>Nick Robertson; Quentin Griffiths</t>
  </si>
  <si>
    <t>playbackbone.com</t>
  </si>
  <si>
    <t>Backbone</t>
  </si>
  <si>
    <t>/companies/backbone/</t>
  </si>
  <si>
    <t>Next-level play, now in your hands.</t>
  </si>
  <si>
    <t>Maneet Khaira</t>
  </si>
  <si>
    <t>betfair.com</t>
  </si>
  <si>
    <t>Betfair</t>
  </si>
  <si>
    <t>LSE:BET</t>
  </si>
  <si>
    <t>/companies/betfair/</t>
  </si>
  <si>
    <t>Founded in 1999, Betfair pioneered the first successful Betting Exchange. Today it provides a full range of sports betting and gaming products to 1m customers. Betfair is one of the largest online betting and gaming operators in the UK market and has a global reach, with customers in more than 100 countries.</t>
  </si>
  <si>
    <t>Andrew Black; Edward Wray</t>
  </si>
  <si>
    <t>Team; Team; Danny Rimer; Neil Rimer; Team</t>
  </si>
  <si>
    <t>bird.co</t>
  </si>
  <si>
    <t>Bird</t>
  </si>
  <si>
    <t>NYSE: BRDS</t>
  </si>
  <si>
    <t>/companies/bird/</t>
  </si>
  <si>
    <t>Bird is a last-mile electric vehicle sharing company dedicated to bringing safe, low-cost, environmentally-friendly transportation solutions to communities across the world.</t>
  </si>
  <si>
    <t>Travis VanderZanden</t>
  </si>
  <si>
    <t>Team; Team; Damir Becirovic; Martin Mignot; Team</t>
  </si>
  <si>
    <t>blablacar.com</t>
  </si>
  <si>
    <t>BlaBlaCar</t>
  </si>
  <si>
    <t>/companies/blablacar/</t>
  </si>
  <si>
    <t>BlaBlaCar is a long-distance ride-sharing community, which connects cities globally by pairing people looking to travel long distances with drivers making the same journey, so they can travel together and share the costs.</t>
  </si>
  <si>
    <t>Nicolas Brusson; Francis Nappez; Frédéric Mazzella</t>
  </si>
  <si>
    <t>bloomandwild.com</t>
  </si>
  <si>
    <t>Bloom &amp;amp; Wild</t>
  </si>
  <si>
    <t>/companies/bloom-wild/</t>
  </si>
  <si>
    <t>Bloom &amp;amp; Wild uses technology, AI, supply chain and product innovation to make sending and receiving flowers the joy it should be for both the sender and the recipient.</t>
  </si>
  <si>
    <t>Aron Gelbard</t>
  </si>
  <si>
    <t>Team; Team; Georgia Stevenson; Martin Mignot; Team</t>
  </si>
  <si>
    <t>captaintrain.com</t>
  </si>
  <si>
    <t>Captain Train</t>
  </si>
  <si>
    <t>Trainline</t>
  </si>
  <si>
    <t>/companies/captain-train/</t>
  </si>
  <si>
    <t>Capitaine Train was founded in 2009 by three software engineers with a unique goal: to reinvent the way we book train tickets. By facilitating bookings from multiple rail operators, and building intuitive online booking tools, Capitaine Train takes the pain out of booking train tickets in Europe.</t>
  </si>
  <si>
    <t>Jean-Daniel Guyot; Martin Ottenwaelter; Valentin Surrel</t>
  </si>
  <si>
    <t>Team; Team; Martin Mignot; Neil Rimer; Team</t>
  </si>
  <si>
    <t>getcatch.com</t>
  </si>
  <si>
    <t>Catch</t>
  </si>
  <si>
    <t>/companies/catch/</t>
  </si>
  <si>
    <t>Earn store credit by helping merchants save on credit card fees.</t>
  </si>
  <si>
    <t>Nico Perdomo; Denia Ebersole; Vijay Singh; Whitney LaRow</t>
  </si>
  <si>
    <t>cowboy.com</t>
  </si>
  <si>
    <t>Cowboy</t>
  </si>
  <si>
    <t>/companies/cowboy/</t>
  </si>
  <si>
    <t>A new electric bike for urban riders.</t>
  </si>
  <si>
    <t>Alexander Cram; Adrien Roose</t>
  </si>
  <si>
    <t>daydream.ing</t>
  </si>
  <si>
    <t>Daydream</t>
  </si>
  <si>
    <t>/companies/daydream/</t>
  </si>
  <si>
    <t>A new era of shopping</t>
  </si>
  <si>
    <t>Julie Bornstein; Dan Cary; Lisa Green; Matt Fisher; Richard Kim</t>
  </si>
  <si>
    <t>Team; Team; Danny Rimer; Vlad Loktev; Team</t>
  </si>
  <si>
    <t>deliveroo.co.uk</t>
  </si>
  <si>
    <t>Deliveroo</t>
  </si>
  <si>
    <t>LON: ROO</t>
  </si>
  <si>
    <t>/companies/deliveroo/</t>
  </si>
  <si>
    <t>Deliveroo delivers top quality food from premium local restaurants to homes and offices.</t>
  </si>
  <si>
    <t>William Shu; Greg Orlowski</t>
  </si>
  <si>
    <t>dreamgames.com</t>
  </si>
  <si>
    <t>Dream Games</t>
  </si>
  <si>
    <t>/companies/dream-games/</t>
  </si>
  <si>
    <t>Dream Games is a mobile casual puzzle studio based in Istanbul.</t>
  </si>
  <si>
    <t>Soner Aydemir; Ikbal Namli; Hakan Saglam; Eren Sengul; Serdar Yilmaz</t>
  </si>
  <si>
    <t>Team; Team; Danny Rimer; Sofia Dolfe; Stephane Kurgan; Team</t>
  </si>
  <si>
    <t>drivy.com</t>
  </si>
  <si>
    <t>Drivy</t>
  </si>
  <si>
    <t>Getaround</t>
  </si>
  <si>
    <t>/companies/drivy/</t>
  </si>
  <si>
    <t>Drivy is a peer-to-peer car rental service with a mission to put a shared car at every street-corner in Europe.</t>
  </si>
  <si>
    <t>Paulin Dementhon</t>
  </si>
  <si>
    <t>etsy.com</t>
  </si>
  <si>
    <t>Etsy</t>
  </si>
  <si>
    <t>NASDAQ: ETSY</t>
  </si>
  <si>
    <t>/companies/etsy/</t>
  </si>
  <si>
    <t>The marketplace for handmade and vintage items, art and supplies, Etsy has created a global community of likeminded people, who are powering a sustainable new economy by using the internet to reconnect makers with buyers.</t>
  </si>
  <si>
    <t>Robert Kalin</t>
  </si>
  <si>
    <t>facebook.com</t>
  </si>
  <si>
    <t>Facebook</t>
  </si>
  <si>
    <t>NASDAQ: FB</t>
  </si>
  <si>
    <t>/companies/facebook/</t>
  </si>
  <si>
    <t>Facebook is a social network with a mission to make the world more open and connected.</t>
  </si>
  <si>
    <t>Mark Zuckerberg</t>
  </si>
  <si>
    <t>farfetch.com</t>
  </si>
  <si>
    <t>Farfetch</t>
  </si>
  <si>
    <t>NYSE: FTCH</t>
  </si>
  <si>
    <t>/companies/farfetch/</t>
  </si>
  <si>
    <t>The world’s biggest online marketplace for independent fashion boutiques, farfetch acts as ‘curator to the curators’, uniting 250 of the finest fashion boutiques from 15 countries (across Europe, the U.S., and Brazil) and bringing them to a global audience.</t>
  </si>
  <si>
    <t>Jose Neves</t>
  </si>
  <si>
    <t>flipboard.com</t>
  </si>
  <si>
    <t>Flipboard</t>
  </si>
  <si>
    <t>/companies/flipboard/</t>
  </si>
  <si>
    <t>A personalised magazine, Flipboard’s mission is to transform the way people discover, view and share content by merging the ease and beauty of print with the power and spontaneity of social media.</t>
  </si>
  <si>
    <t>Mike McCue; Evan Doll</t>
  </si>
  <si>
    <t>glossier.com</t>
  </si>
  <si>
    <t>Glossier</t>
  </si>
  <si>
    <t>/companies/glossier/</t>
  </si>
  <si>
    <t>Beauty products for real life.</t>
  </si>
  <si>
    <t>Emily Weiss; Kyle Leahy-</t>
  </si>
  <si>
    <t>grailed.com</t>
  </si>
  <si>
    <t>Grailed</t>
  </si>
  <si>
    <t>/companies/grailed/</t>
  </si>
  <si>
    <t>For Enthusiasts, By Enthusiasts</t>
  </si>
  <si>
    <t>Arun Gupta</t>
  </si>
  <si>
    <t>greg.app</t>
  </si>
  <si>
    <t>Greg</t>
  </si>
  <si>
    <t>/companies/greg/</t>
  </si>
  <si>
    <t>The smarter way to care for and discover new plants</t>
  </si>
  <si>
    <t>Alex Ross</t>
  </si>
  <si>
    <t>hutchgames.com</t>
  </si>
  <si>
    <t>Hutch Games</t>
  </si>
  <si>
    <t>/companies/hutch-games/</t>
  </si>
  <si>
    <t>Hutch is a collective of passionate designers, engineers and artists who all share the same obsession: making action-packed, visually stunning games that can be played and enjoyed by everyone.</t>
  </si>
  <si>
    <t>Shaun Rutland; Sean Turner; Will Whitaker</t>
  </si>
  <si>
    <t>ideogram.ai</t>
  </si>
  <si>
    <t>Ideogram AI</t>
  </si>
  <si>
    <t>/companies/ideogram-ai/</t>
  </si>
  <si>
    <t>Our mission is to help people become more creative through generative AI.</t>
  </si>
  <si>
    <t>Mohammad Norouzi</t>
  </si>
  <si>
    <t>immersivegamebox.com</t>
  </si>
  <si>
    <t>Immersive Gamebox</t>
  </si>
  <si>
    <t>/companies/immersive-gamebox/</t>
  </si>
  <si>
    <t>Immersive Gamebox is building the world&amp;#x27;s first immersive entertainment platform designed to bring people together through shared play. The Gameboxes feature a range of cutting-edge technologies such as projection mapping, touch screens using our patented ‘Lidar’, 3D motion tracking, and surround sound to deliver an entirely new form of immersive entertainment. Teams of 2-6 play 30-60 minute games featuring levels and challenges designed to be fun, social, and collaborative.</t>
  </si>
  <si>
    <t>Will Dean; David Spindler</t>
  </si>
  <si>
    <t>Team; Team; Ben Holmes; Georgia Stevenson; Team</t>
  </si>
  <si>
    <t>justworks.com</t>
  </si>
  <si>
    <t>Justworks</t>
  </si>
  <si>
    <t>/companies/justworks/</t>
  </si>
  <si>
    <t>Justworks helps simplify payroll and benefits for small businesses, enabling them to get up and running in minutes.</t>
  </si>
  <si>
    <t>Isaac Oates</t>
  </si>
  <si>
    <t>last.fm</t>
  </si>
  <si>
    <t>Last.fm</t>
  </si>
  <si>
    <t>NYSE:CBS</t>
  </si>
  <si>
    <t>/companies/lastfm/</t>
  </si>
  <si>
    <t>Last.fm is a global, community-based music recommendation network. It was acquired by CBS in 2007.</t>
  </si>
  <si>
    <t>Martin Stiksel; Thomas Willomitzer</t>
  </si>
  <si>
    <t>getmercantile.com</t>
  </si>
  <si>
    <t>Mercantile</t>
  </si>
  <si>
    <t>/companies/mercantile/</t>
  </si>
  <si>
    <t>Branded business credit cards that help your SMB customers succeed. Partner with Mercantile and offer your customers a custom branded card that delivers group purchasing and up to thousands off association dues.</t>
  </si>
  <si>
    <t>Samuel Poirier; Luke Finney; FX Lemire</t>
  </si>
  <si>
    <t>metromile.com</t>
  </si>
  <si>
    <t>Metromile</t>
  </si>
  <si>
    <t>NASDAQ: MILE</t>
  </si>
  <si>
    <t>/companies/metromile/</t>
  </si>
  <si>
    <t>Using mobile, cloud and data technology, MetroMile’s mission is to change the car insurance industry by developing a new range of smart products which save time and money for people who drive less.</t>
  </si>
  <si>
    <t>Dan Preston; Steve Pretre</t>
  </si>
  <si>
    <t>moleskine.com</t>
  </si>
  <si>
    <t>Moleskine</t>
  </si>
  <si>
    <t>IM: MSK</t>
  </si>
  <si>
    <t>/companies/moleskine/</t>
  </si>
  <si>
    <t>Moleskine was created as a brand in 1997, bringing the iconic notebook used by artists and thinkers over the past two centuries back to life. Today Moleskine encompasses a family of objects - from notebooks to bags and reading accessories - which are intimately tied to the digital world.</t>
  </si>
  <si>
    <t>Arrigo Berni; Maria Sebregondi</t>
  </si>
  <si>
    <t>moo.com</t>
  </si>
  <si>
    <t>MOO</t>
  </si>
  <si>
    <t>/companies/moo/</t>
  </si>
  <si>
    <t>Born out of a passion for print, MOO is a printing business for the digital age, which dreams up new tools that help people turn their virtual content into beautiful print products such as business and greetings cards, stickers and accessories.</t>
  </si>
  <si>
    <t>Richard Moross</t>
  </si>
  <si>
    <t>Team; Team; Ben Holmes; Neil Rimer; Team</t>
  </si>
  <si>
    <t>motorway.co.uk</t>
  </si>
  <si>
    <t>Motorway</t>
  </si>
  <si>
    <t>mobility; retail</t>
  </si>
  <si>
    <t>/companies/motorway/</t>
  </si>
  <si>
    <t>The UK&amp;#x27;s fastest-growing marketplace for privately-owned used cars and vans</t>
  </si>
  <si>
    <t>Tom Leathes; Alex Buttle; Harry Jones</t>
  </si>
  <si>
    <t>twoo.com</t>
  </si>
  <si>
    <t>Netlog</t>
  </si>
  <si>
    <t>Meetic</t>
  </si>
  <si>
    <t>/companies/netlog/</t>
  </si>
  <si>
    <t>Netlog, a pioneering European social networking and dating business was acquired by IAC in 2012</t>
  </si>
  <si>
    <t>notonthehighstreet.com</t>
  </si>
  <si>
    <t>NOTHS</t>
  </si>
  <si>
    <t>/companies/noths/</t>
  </si>
  <si>
    <t>Notonthehighstreet.com is the leading curated online marketplace connecting the best small creative businesses, with the world. The site has more than 5,000 partners with over 170,000 products.</t>
  </si>
  <si>
    <t>Claire Davenport; Sophie Cornish; Holly Tucker</t>
  </si>
  <si>
    <t>onefinestay.com</t>
  </si>
  <si>
    <t>onefinestay</t>
  </si>
  <si>
    <t>Accor Hotels</t>
  </si>
  <si>
    <t>/companies/onefinestay/</t>
  </si>
  <si>
    <t>onefinestay is pioneering handmade hospitality by offering guests the chance to stay in the finest homes, in the world’s greatest cities, while the owners are out of town. The selection of homes ─ each of which has been seen and selected by onefinestay’s team in their search for space, character and comfort ─ranges from playful townhouses to curious brownstones.</t>
  </si>
  <si>
    <t>Greg Marsh; Tim Davey; Evan Frank; Demetrios Zoppos</t>
  </si>
  <si>
    <t>patreon.com</t>
  </si>
  <si>
    <t>Patreon</t>
  </si>
  <si>
    <t>/companies/patreon/</t>
  </si>
  <si>
    <t>Harkening back to old-school patronage, Patreon enables fans and sponsors to support artists and creators. Patrons pledge to support artists and creators on a reoccurring basis for each work created, empowering a new generation of creators the ability to make a living off of their passions.</t>
  </si>
  <si>
    <t>Jack Conte; Sam Yam</t>
  </si>
  <si>
    <t>peanut-app.io</t>
  </si>
  <si>
    <t>Peanut</t>
  </si>
  <si>
    <t>/companies/peanut/</t>
  </si>
  <si>
    <t>Peanut is the first social network for women to build strong ties from the moment they consider motherhood - enabling women at similar life stages to connect.</t>
  </si>
  <si>
    <t>Michelle Kennedy</t>
  </si>
  <si>
    <t>photobox.com</t>
  </si>
  <si>
    <t>PhotoBox</t>
  </si>
  <si>
    <t>/companies/photobox/</t>
  </si>
  <si>
    <t>The PhotoBox Group is Europe’s leading personalised digital photo service and gifts provider, through its flagship branded retail channels PhotoBox, Moonpig, StickyGram and PaperShaker.</t>
  </si>
  <si>
    <t>Mark Chapman; Graham Hobson</t>
  </si>
  <si>
    <t>pinatafarm.com</t>
  </si>
  <si>
    <t>Piñata Farms</t>
  </si>
  <si>
    <t>/companies/pinata-farms/</t>
  </si>
  <si>
    <t>Carlos Adame; Colin Carrier</t>
  </si>
  <si>
    <t>printify.com</t>
  </si>
  <si>
    <t>Printify</t>
  </si>
  <si>
    <t>/companies/printify/</t>
  </si>
  <si>
    <t>Create and sell custom products</t>
  </si>
  <si>
    <t>James Berdigans</t>
  </si>
  <si>
    <t>privalia.com</t>
  </si>
  <si>
    <t>Privalia</t>
  </si>
  <si>
    <t>/companies/privalia/</t>
  </si>
  <si>
    <t>Online fashion retailer Privalia is a private club which organises flash sales for leading fashion, sport, home, electronics and personal care brands, operating across Spain, Italy, Germany, Brazil and Mexico.</t>
  </si>
  <si>
    <t>Lucas Carné; Jose-Manuel Villanueva</t>
  </si>
  <si>
    <t>prodigyfinance.com</t>
  </si>
  <si>
    <t>Prodigy Finance</t>
  </si>
  <si>
    <t>europe; africa</t>
  </si>
  <si>
    <t>/companies/prodigy-finance/</t>
  </si>
  <si>
    <t>Prodigy Finance is a lending platform that provides postgraduate loans to international students from 150 countries attending the world’s top universities, who would otherwise have no alternative access to finance.</t>
  </si>
  <si>
    <t>Cameron Stevens</t>
  </si>
  <si>
    <t>qapa.fr</t>
  </si>
  <si>
    <t>Qapa</t>
  </si>
  <si>
    <t>/companies/qapa/</t>
  </si>
  <si>
    <t>Qapa is a job matching marketplace that connects job seekers and recruiters with a matching algorithm.</t>
  </si>
  <si>
    <t>Stephanie Delestre; Oilivier Zier</t>
  </si>
  <si>
    <t>rebtel.com</t>
  </si>
  <si>
    <t>Rebtel</t>
  </si>
  <si>
    <t>/companies/rebtel/</t>
  </si>
  <si>
    <t>As one of the most successful international calling companies in the world, Rebtel has a vision of breaking down borders. Rebtel’s portfolio of calling products lets a global audience of several million users make international calls at the cheapest possible rates.</t>
  </si>
  <si>
    <t>Magnus Larsson; Hjalmar Winbladh</t>
  </si>
  <si>
    <t>rec.net</t>
  </si>
  <si>
    <t>Rec Room</t>
  </si>
  <si>
    <t>/companies/rec-room/</t>
  </si>
  <si>
    <t>Rec Room is a virtual social club where you create and play games with friends.</t>
  </si>
  <si>
    <t>Nick Fajt; Dan Kroymann</t>
  </si>
  <si>
    <t>roblox.com</t>
  </si>
  <si>
    <t>Roblox</t>
  </si>
  <si>
    <t>NYSE: RBLX</t>
  </si>
  <si>
    <t>/companies/roblox/</t>
  </si>
  <si>
    <t>Roblox is the largest social platform for play that allows kids to imagine, create, and play together in immersive 3D worlds.</t>
  </si>
  <si>
    <t>David Baszucki</t>
  </si>
  <si>
    <t>rohlik.cz</t>
  </si>
  <si>
    <t>Rohlik</t>
  </si>
  <si>
    <t>/companies/rohlikcz/</t>
  </si>
  <si>
    <t>Europe’s leading online grocery business founded in 2014 with the vision to elevate the standards of food quality and service in the grocery industry.</t>
  </si>
  <si>
    <t>Tomas Cupr; Tomáš Čupr</t>
  </si>
  <si>
    <t>Team; Team; Jan Hammer; Sofia Dolfe; Team</t>
  </si>
  <si>
    <t>scoopforwork.com</t>
  </si>
  <si>
    <t>Scoop</t>
  </si>
  <si>
    <t>/companies/scoop/</t>
  </si>
  <si>
    <t>Scoop is the fastest way to plan your next great office day. With Scoop, employees get more out of going in, with easily scheduled in-office days and invites. For HR and workplace leaders, Scoop provides insights on work location trends, office usage, and additional workplace solutions to get the most out of hybrid work.</t>
  </si>
  <si>
    <t>Robert Sadow; Jonathan Sadow</t>
  </si>
  <si>
    <t>secondhome.io</t>
  </si>
  <si>
    <t>Second Home</t>
  </si>
  <si>
    <t>/companies/second-home/</t>
  </si>
  <si>
    <t>Second Home is a creative workspace and cultural venue, bringing together diverse industries, disciplines and types of social businesses.</t>
  </si>
  <si>
    <t>Rohan Silva; Sam Aldenton</t>
  </si>
  <si>
    <t>secretescapes.com</t>
  </si>
  <si>
    <t>Secret Escapes</t>
  </si>
  <si>
    <t>/companies/secret-escapes/</t>
  </si>
  <si>
    <t>The worst-kept secret in luxury travel, Secret Escapes is a free-to-join members-only flash sales site which offers handpicked exclusive deals on the finest four and five-star hotels and holidays worldwide.</t>
  </si>
  <si>
    <t>Alex Saint; Alex Saint; Tom Valentine</t>
  </si>
  <si>
    <t>seedcamp.com</t>
  </si>
  <si>
    <t>Seedcamp</t>
  </si>
  <si>
    <t>/companies/seedcamp/</t>
  </si>
  <si>
    <t>Seedcamp is the world’s best connected international seed investment network and Europe’s leading micro-seed investment and mentoring programme.</t>
  </si>
  <si>
    <t>Carlos Eduardo Espinal; Reshma Sohoni</t>
  </si>
  <si>
    <t>shapeways.com</t>
  </si>
  <si>
    <t>Shapeways</t>
  </si>
  <si>
    <t>/companies/shapeways/</t>
  </si>
  <si>
    <t>Shapeways has built the world’s leading 3D printing marketplace and community, enabling individuals to make and share designs with the world. The company 3D-prints products on-demand, meaning that every order is customised and personalised.</t>
  </si>
  <si>
    <t>Peter Weijmarshausen; Marleen Vogelaar</t>
  </si>
  <si>
    <t>skype.com</t>
  </si>
  <si>
    <t>Skype</t>
  </si>
  <si>
    <t>NASDAQ:EBAY</t>
  </si>
  <si>
    <t>/companies/skype/</t>
  </si>
  <si>
    <t>Skype is a global Internet communications company, which was acquired by eBay in 2005 and by Microsoft in 2011.</t>
  </si>
  <si>
    <t>Janus Friis; Priit Kasesalu</t>
  </si>
  <si>
    <t>stackoverflow.com</t>
  </si>
  <si>
    <t>Stack Overflow</t>
  </si>
  <si>
    <t>/companies/stack-exchange/</t>
  </si>
  <si>
    <t>Stack Overflow empowers the world to develop technology faster through shared knowledge. More than 100 million people visit Stack Overflow every month making it one of the 50 most-visited websites in the world.</t>
  </si>
  <si>
    <t>Joel Spolsky; Jeff Atwood</t>
  </si>
  <si>
    <t>supercell.com</t>
  </si>
  <si>
    <t>Supercell</t>
  </si>
  <si>
    <t>SoftBank</t>
  </si>
  <si>
    <t>/companies/supercell/</t>
  </si>
  <si>
    <t>Since they began developing games for tablets in 2011, gaming pioneers Supercell have become the industry’s hottest property. Using small and agile creative teams, the hit-makers from Helsinki have created global smashes Clash of the Clans and Hay Day. Supercell was acquired by SoftBank in October 2013.</t>
  </si>
  <si>
    <t>Ilkka Paananen; Lassi Leppinen; Mikko Kodisoja; Niko Derome; Visa Forsten</t>
  </si>
  <si>
    <t>superevilmegacorp.com</t>
  </si>
  <si>
    <t>Super Evil Megacorp</t>
  </si>
  <si>
    <t>/companies/super-evil-megacorp/</t>
  </si>
  <si>
    <t>Super Evil Megacorp seeks to destroy the productivity of mankind with endlessly entertaining games. We challenge the notion that touch screens are for harvesting crops and slicing fruit. Secretly, tablets are all deadly weapons waiting to be put to use.</t>
  </si>
  <si>
    <t>Bo Daly; Tommy Krul; Kristian Segerstrale; Stephan Sherman; Qingshuo Wang</t>
  </si>
  <si>
    <t>tactilegames.com</t>
  </si>
  <si>
    <t>Tactile Games</t>
  </si>
  <si>
    <t>/companies/tactile-games/</t>
  </si>
  <si>
    <t>Asbjoern Soendergaard</t>
  </si>
  <si>
    <t>teatime.games</t>
  </si>
  <si>
    <t>Teatime Games</t>
  </si>
  <si>
    <t>/companies/teatime-games/</t>
  </si>
  <si>
    <t>Teatime is reinventing social games.</t>
  </si>
  <si>
    <t>Thor Fridriksson; Johann Bergthorsson; Ymir Finnbogason; Gunnar Holmsteinn</t>
  </si>
  <si>
    <t>temaetfs.com</t>
  </si>
  <si>
    <t>Tema</t>
  </si>
  <si>
    <t>/companies/tema/</t>
  </si>
  <si>
    <t>ETF platform focused on expert-led, institutional grade thematic ETFs.</t>
  </si>
  <si>
    <t>Maurits Pot</t>
  </si>
  <si>
    <t>businessoffashion.com</t>
  </si>
  <si>
    <t>The Business of Fashion</t>
  </si>
  <si>
    <t>/companies/the-business-of-fashion/</t>
  </si>
  <si>
    <t>Fashion’s answer to The Economist, The Business of Fashion is a one-stop resource and insiders’ guide for fashion creatives, executives and entrepreneurs in over 200 countries.</t>
  </si>
  <si>
    <t>Imran Amed</t>
  </si>
  <si>
    <t>tiney.co</t>
  </si>
  <si>
    <t>Tiney</t>
  </si>
  <si>
    <t>/companies/tiney/</t>
  </si>
  <si>
    <t>Find amazing childcare near you</t>
  </si>
  <si>
    <t>Brett Wigdortz; Edd Read; John Newbold</t>
  </si>
  <si>
    <t>trouva.com</t>
  </si>
  <si>
    <t>Trouva</t>
  </si>
  <si>
    <t>LON:MADE</t>
  </si>
  <si>
    <t>/companies/trouva/</t>
  </si>
  <si>
    <t>Trouva is the new way to shop local. It&amp;#x27;s the marketplace for independent bricks and mortar boutiques, giving discerning shoppers access to unique homeware and fashion accessory products at the click of a button. A multi-channel tech platform specially for offline retailers it enables everything from live inventory management through to logistics, including click and collect and worldwide shipping.</t>
  </si>
  <si>
    <t>Mandeep Singh; Alex Loizou</t>
  </si>
  <si>
    <t>trustpilot.com</t>
  </si>
  <si>
    <t>Trustpilot</t>
  </si>
  <si>
    <t>LON: TRST</t>
  </si>
  <si>
    <t>/companies/trustpilot/</t>
  </si>
  <si>
    <t>Trustpilot is an open community-based platform for sharing real reviews of shopping experiences and connecting online customers with the companies they buy from.</t>
  </si>
  <si>
    <t>Peter Holten Muhlmann</t>
  </si>
  <si>
    <t>ubiquity6.com</t>
  </si>
  <si>
    <t>Ubiquity6</t>
  </si>
  <si>
    <t>business-applications; entertainment</t>
  </si>
  <si>
    <t>/companies/ubiquity6/</t>
  </si>
  <si>
    <t>Our mission is to unlock new ways for people to connect in the physical spaces they care about.</t>
  </si>
  <si>
    <t>Anjney Midha</t>
  </si>
  <si>
    <t>1stdibs.com</t>
  </si>
  <si>
    <t>1stdibs</t>
  </si>
  <si>
    <t>NASDAQ: DIBS</t>
  </si>
  <si>
    <t>/companies/1stdibs/</t>
  </si>
  <si>
    <t>1stdibs is the leading marketplace for luxury antiques and vintage goods. Originally inspired by Parisian flea markets, today the website brings together more than 1,500 of the world’s most prestigious international dealers of antiques, vintage furniture and design, fine art, estate jewellery, vintage couture and fine homes.</t>
  </si>
  <si>
    <t>David Rosenblatt; Michael Bruno; Laurence Forcione</t>
  </si>
  <si>
    <t>aninebing.com</t>
  </si>
  <si>
    <t>Anine Bing</t>
  </si>
  <si>
    <t>/companies/anine-bing/</t>
  </si>
  <si>
    <t>Classic, yet edgy pieces for the modern woman.</t>
  </si>
  <si>
    <t>Team; Team; Damir Becirovic; Danny Rimer; Team</t>
  </si>
  <si>
    <t>becausemarket.com</t>
  </si>
  <si>
    <t>Because</t>
  </si>
  <si>
    <t>/companies/because/</t>
  </si>
  <si>
    <t>Because is a social, community centric, personal care brand for older adults. We empower the older generation by enabling their contributions to product innovation. Getting feedback first hand, we deliver constant product customization directly to their doorsteps.</t>
  </si>
  <si>
    <t>Alexi Suvacioglu; Luca Gualco</t>
  </si>
  <si>
    <t>bit-odd.com</t>
  </si>
  <si>
    <t>BIT ODD</t>
  </si>
  <si>
    <t>/companies/bit-odd/</t>
  </si>
  <si>
    <t>Building games filled with wonder, weirdness and delight</t>
  </si>
  <si>
    <t>Lasse Louhento; Jani Lintunen; Taneli Oksama</t>
  </si>
  <si>
    <t>curtsyapp.com</t>
  </si>
  <si>
    <t>Curtsy</t>
  </si>
  <si>
    <t>/companies/curtsy/</t>
  </si>
  <si>
    <t>Say &amp;#x27;peace out&amp;#x27; to being bored of your clothes.</t>
  </si>
  <si>
    <t>David Oates; Clara Agnes; Eli Allen; William Ault</t>
  </si>
  <si>
    <t>goodeggs.com</t>
  </si>
  <si>
    <t>Good Eggs</t>
  </si>
  <si>
    <t>/companies/good-eggs/</t>
  </si>
  <si>
    <t>We connect you to local farmers and foodmakers. You shop for exactly what you want, and we deliver it all to your door.</t>
  </si>
  <si>
    <t>Bentley Hall; Alon Salant; Rob Spiro</t>
  </si>
  <si>
    <t>otrium.com</t>
  </si>
  <si>
    <t>Otrium</t>
  </si>
  <si>
    <t>/companies/otrium/</t>
  </si>
  <si>
    <t>Otrium’s mission is to build the world’s leading online outlet, connecting previous collections with fashion-lovers.</t>
  </si>
  <si>
    <t>Max Klijnstra; Milan Daniels</t>
  </si>
  <si>
    <t>Team; Team; Danny Rimer; Sofia Dolfe; Team</t>
  </si>
  <si>
    <t>supersolid.com</t>
  </si>
  <si>
    <t>Supersolid</t>
  </si>
  <si>
    <t>/companies/supersolid/</t>
  </si>
  <si>
    <t>Supersolid is a London-based mobile games studio, whose creations include Super Penguins and Adventure Town.</t>
  </si>
  <si>
    <t>Ed Chin; Kenneth Fejer; Michelle Chuang; Tommy Chuang</t>
  </si>
  <si>
    <t>teemo.co</t>
  </si>
  <si>
    <t>Teemo</t>
  </si>
  <si>
    <t>/companies/teemo/</t>
  </si>
  <si>
    <t>Teemo is a performance-based mobile advertising platform for offline retailers.</t>
  </si>
  <si>
    <t>Benoit Grouchko; Guillaume Charhon; Francois Wyss</t>
  </si>
  <si>
    <t>bluebottlecoffee.com</t>
  </si>
  <si>
    <t>Blue Bottle Coffee</t>
  </si>
  <si>
    <t>OTCMKTS:NSRGY</t>
  </si>
  <si>
    <t>/companies/blue-bottle-coffee/</t>
  </si>
  <si>
    <t>Blue Bottle Coffee is an Oakland and Brooklyn-based online coffee company, with a small network of cafes, wholesale partners, an espresso cart and some vintage German coffee roasters.</t>
  </si>
  <si>
    <t>James Freeman; Bryan Meehan</t>
  </si>
  <si>
    <t>ciphercloud.com</t>
  </si>
  <si>
    <t>CipherCloud</t>
  </si>
  <si>
    <t>/companies/ciphercloud/</t>
  </si>
  <si>
    <t>CipherCloud is the leader in cloud information protection, enabling organisations to securely adopt cloud applications by overcoming data privacy, residency, security and regulatory compliance risks.</t>
  </si>
  <si>
    <t>Pravin Kothari</t>
  </si>
  <si>
    <t>getjuice.com</t>
  </si>
  <si>
    <t>Creative Juice</t>
  </si>
  <si>
    <t>/companies/creative-juice/</t>
  </si>
  <si>
    <t>The financial network for creators.</t>
  </si>
  <si>
    <t>Sima Gandhi; Ezra Cooperstein</t>
  </si>
  <si>
    <t>curbside.com</t>
  </si>
  <si>
    <t>Curbside</t>
  </si>
  <si>
    <t>/companies/curbside/</t>
  </si>
  <si>
    <t>Curbside is reinventing the local shopping experience by making it faster and easier for consumers to find, buy and pick up products at local stores. Curbside’s technology allows it to accurately represent retailers’ inventory and reliably alert local stores when customers approach.</t>
  </si>
  <si>
    <t>Jaron Waldman; Denis Laprise</t>
  </si>
  <si>
    <t>withdouble.com</t>
  </si>
  <si>
    <t>Double</t>
  </si>
  <si>
    <t>/companies/double/</t>
  </si>
  <si>
    <t>Work better with your executive assistant.</t>
  </si>
  <si>
    <t>Alice Default</t>
  </si>
  <si>
    <t>faceit.com</t>
  </si>
  <si>
    <t>FACEIT</t>
  </si>
  <si>
    <t>/companies/faceit/</t>
  </si>
  <si>
    <t>FACEIT is the premier platform for gamers to compete on their favourite games. Powered by a number of proprietary features, including its fully automated tournament management system and the FACEIT Matchmaking algorithm, FACEIT allows gamers to easily play tournaments and leagues and get rewarded for their efforts and skills with virtual and real life prizes. FACEIT TV, renowned for the production and broadcasting of some of the highest quality events in eSports, offers visibility to those players that make it to the final challenges.</t>
  </si>
  <si>
    <t>Niccolo Maisto; Michele Attisani</t>
  </si>
  <si>
    <t>goat.com</t>
  </si>
  <si>
    <t>GOAT</t>
  </si>
  <si>
    <t>/companies/goat/</t>
  </si>
  <si>
    <t>GOAT is a premium marketplace for buying and selling authentic sneakers. Founded in 2015 to bring trust and safety to sneaker reselling, the platform now offers the largest selection of sneakers ranging from general releases to rare exclusives.</t>
  </si>
  <si>
    <t>Eddy Lu; Daishin Sugano</t>
  </si>
  <si>
    <t>just-eat.com</t>
  </si>
  <si>
    <t>Just Eat</t>
  </si>
  <si>
    <t>LON:JE</t>
  </si>
  <si>
    <t>/companies/just-eat/</t>
  </si>
  <si>
    <t>Just Eat has reinvented the takeaway. From keystroke to doorstep, the London-headquartered company has built a seamless multi-platform service, with 40,000 takeaways on its roster, covering 13 countries from Scandinavia to Latin America.</t>
  </si>
  <si>
    <t>David Buttress</t>
  </si>
  <si>
    <t>Team; Team; Jan Hammer; Ben Holmes; Team</t>
  </si>
  <si>
    <t>withpersona.com</t>
  </si>
  <si>
    <t>Persona</t>
  </si>
  <si>
    <t>/companies/persona/</t>
  </si>
  <si>
    <t>Automate your identity verification process throughout the customer lifecycle — from collecting information to making decisions — all in one place.</t>
  </si>
  <si>
    <t>Rick Song; Charles Yeh</t>
  </si>
  <si>
    <t>scienceexchange.com</t>
  </si>
  <si>
    <t>Science Exchange</t>
  </si>
  <si>
    <t>/companies/science-exchange/</t>
  </si>
  <si>
    <t>Science Exchange is a marketplace for scientific collaboration, where researchers can order experiments from the world&amp;#x27;s best labs.</t>
  </si>
  <si>
    <t>Elizabeth Iorns; Dan Knox</t>
  </si>
  <si>
    <t>solvo.finance</t>
  </si>
  <si>
    <t>Solvo</t>
  </si>
  <si>
    <t>/companies/solvo/</t>
  </si>
  <si>
    <t>Solvo provides access to quality crypto investments in a new, seamless and transparent way</t>
  </si>
  <si>
    <t>Ayelen Denovitzer; Shailendra Sason</t>
  </si>
  <si>
    <t>adallom.com</t>
  </si>
  <si>
    <t>Adallom</t>
  </si>
  <si>
    <t>Microsoft</t>
  </si>
  <si>
    <t>/companies/adallom/</t>
  </si>
  <si>
    <t>Adallom is a SaaS security pioneer, which enhances the way enterprises secure information in SaaS by monitoring all activity, detecting unauthorised access and protecting users in real time.</t>
  </si>
  <si>
    <t>Assaf Rappaport; Roy Reznik</t>
  </si>
  <si>
    <t>armadainteractive.com</t>
  </si>
  <si>
    <t>Armada Interactive</t>
  </si>
  <si>
    <t>/companies/armada-interactive/</t>
  </si>
  <si>
    <t>Samuli Syvähuoko; Tero Teelahti; Giuliano Cremaschi; Nick Joore; Mikko Kinnunen; Juha Matikainen; Didier Pippel</t>
  </si>
  <si>
    <t>baller.tv</t>
  </si>
  <si>
    <t>BallerTV</t>
  </si>
  <si>
    <t>/companies/ballertv/</t>
  </si>
  <si>
    <t>Featuring live streams, replays, and highlights of top amateur sporting events.</t>
  </si>
  <si>
    <t>Aaron Hawkey; Rob Angarita; Sandeep Hingorani</t>
  </si>
  <si>
    <t>Team; Team; Danny Rimer; Damir Becirovic; Team</t>
  </si>
  <si>
    <t>beautypie.com</t>
  </si>
  <si>
    <t>Beauty Pie</t>
  </si>
  <si>
    <t>/companies/beauty-pie/</t>
  </si>
  <si>
    <t>Beauty Pie is the first luxury beauty product buyers’ club.</t>
  </si>
  <si>
    <t>Kevin Cornils; Marcia Kilgore</t>
  </si>
  <si>
    <t>biggergames.com</t>
  </si>
  <si>
    <t>Bigger Games</t>
  </si>
  <si>
    <t>/companies/bigger-games/</t>
  </si>
  <si>
    <t>Bigger Games is an Istanbul-based mobile gaming company founded by three former team members of Peak Games, building a world-class studio for casual puzzle games.</t>
  </si>
  <si>
    <t>Hakan Ulvan</t>
  </si>
  <si>
    <t>Team; Team; Sofia Dolfe; Stephane Kurgan; Team</t>
  </si>
  <si>
    <t>brightback.com</t>
  </si>
  <si>
    <t>Brightback</t>
  </si>
  <si>
    <t>/companies/brightback/</t>
  </si>
  <si>
    <t>Customer retention made easy</t>
  </si>
  <si>
    <t>Guy Marion; Cory Watilo</t>
  </si>
  <si>
    <t>dropbox.com</t>
  </si>
  <si>
    <t>NASDAQ:DBX</t>
  </si>
  <si>
    <t>/companies/dropbox/</t>
  </si>
  <si>
    <t>Dropbox is a modern workspace designed to reduce busywork-so you can focus on the things that matter.</t>
  </si>
  <si>
    <t>Drew Houston; Arash Ferdowsi</t>
  </si>
  <si>
    <t>lacoonsecurity.com</t>
  </si>
  <si>
    <t>Lacoon</t>
  </si>
  <si>
    <t>Check Point Software</t>
  </si>
  <si>
    <t>/companies/lacoon/</t>
  </si>
  <si>
    <t>Lacoon Mobile Security provides device agnostic advance risk assessment and protection against the dynamic, ever-evolving mobile threat landscape.</t>
  </si>
  <si>
    <t>Michael Shaulov; Emanuel Avner; Ohad Bobrov</t>
  </si>
  <si>
    <t>lovefilm.com</t>
  </si>
  <si>
    <t>LoveFilm</t>
  </si>
  <si>
    <t>NASDAQ:AMZN</t>
  </si>
  <si>
    <t>/companies/lovefilm/</t>
  </si>
  <si>
    <t>LOVEFILM is a leading European film and TV series subscription service, with over two millions members in the UK and Germany. It was acquired by Amazon in 2011.</t>
  </si>
  <si>
    <t>Simon Franks</t>
  </si>
  <si>
    <t>trymonad.co</t>
  </si>
  <si>
    <t>Monad</t>
  </si>
  <si>
    <t>/companies/monad/</t>
  </si>
  <si>
    <t>The first security data cloud platform</t>
  </si>
  <si>
    <t>Christian Almenar; Jacolon Walker</t>
  </si>
  <si>
    <t>net-a-porter.com</t>
  </si>
  <si>
    <t>Net-A-Porter</t>
  </si>
  <si>
    <t>SIX:CFR</t>
  </si>
  <si>
    <t>/companies/net-a-porter/</t>
  </si>
  <si>
    <t>Net-a-Porter is the world’s foremost online luxury fashion retailer. Richemont acquired 93% of Net-a-Porter shares in 2010.</t>
  </si>
  <si>
    <t>Natalie Massenet</t>
  </si>
  <si>
    <t>ozon.ru</t>
  </si>
  <si>
    <t>OZON.ru</t>
  </si>
  <si>
    <t>NASDAQ: OZON</t>
  </si>
  <si>
    <t>/companies/ozonru/</t>
  </si>
  <si>
    <t>Russia’s leading digital retailer, Ozon.ru covers bases from entertainment to software and fashion to logistics. With 50% of Russians now online, the company is growing fast across its divisions which include Sapato, O-Courier and Ozon.travel.</t>
  </si>
  <si>
    <t>Alexander Shulgin</t>
  </si>
  <si>
    <t>peoplevox.co.uk</t>
  </si>
  <si>
    <t>Peoplevox</t>
  </si>
  <si>
    <t>Descartes</t>
  </si>
  <si>
    <t>/companies/peoplevox/</t>
  </si>
  <si>
    <t>Peoplevox is the leading provider of software-as-a-service warehouse management for e-commerce. Peoplevox recognises that the warehouse software and systems that have served traditional warehouses and retail are not built for the demands of current-day e-commerce fulfilment. Its technology enables the fastest growing e-commerce companies to scale their e-commerce operations and provides end-to-end visibility of the online buying process, allowing consumers real-time visibility of their purchases.</t>
  </si>
  <si>
    <t>Jonathan Bellwood</t>
  </si>
  <si>
    <t>playfish.com</t>
  </si>
  <si>
    <t>Playfish</t>
  </si>
  <si>
    <t>NASDAQ:EA</t>
  </si>
  <si>
    <t>/companies/playfish/</t>
  </si>
  <si>
    <t>Playfish, a pioneering developer and publisher of free games for social platforms, was acquired by Electronic Arts in 2009.</t>
  </si>
  <si>
    <t>quill.chat</t>
  </si>
  <si>
    <t>Quill</t>
  </si>
  <si>
    <t>Twitter</t>
  </si>
  <si>
    <t>/companies/quill/</t>
  </si>
  <si>
    <t>Messaging for people &amp;amp; teams that focus.</t>
  </si>
  <si>
    <t>Ludwig Pettersson</t>
  </si>
  <si>
    <t>quixotic.io</t>
  </si>
  <si>
    <t>Quixotic</t>
  </si>
  <si>
    <t>/companies/fanbase/</t>
  </si>
  <si>
    <t>The NFT Marketplace for Layer 2.</t>
  </si>
  <si>
    <t>rpxcorp.com</t>
  </si>
  <si>
    <t>RPX Corporation</t>
  </si>
  <si>
    <t>NASDAQ: RPXC</t>
  </si>
  <si>
    <t>/companies/rpx-corporation/</t>
  </si>
  <si>
    <t>RPX Corporation is a pioneering provider of patent risk solutions, offering defensive buying, acquisition syndication, patent intelligence, insurance and advisory services.</t>
  </si>
  <si>
    <t>John Amster; Geoffrey Barker</t>
  </si>
  <si>
    <t>swiftkey.net</t>
  </si>
  <si>
    <t>SwiftKey</t>
  </si>
  <si>
    <t>/companies/swiftkey/</t>
  </si>
  <si>
    <t>Award-winning personalised technology company SwiftKey applies intelligent technology to a wide range of real-world language problems. The company’s mission is to make communicating more personalized and human, anticipating a world where mobile technology adapts to the individual, not the other way around. SwiftKey technology was embedded on more than 100 million devices in 2013 and has also been a global hit with consumers.</t>
  </si>
  <si>
    <t>Jon Reynolds</t>
  </si>
  <si>
    <t>topi.tech</t>
  </si>
  <si>
    <t>Topi</t>
  </si>
  <si>
    <t>/companies/topi/</t>
  </si>
  <si>
    <t>Topi is a financial technology venture providing new payment solutions for the B2B market.</t>
  </si>
  <si>
    <t>Estelle Merle; Charlotte Pallua</t>
  </si>
  <si>
    <t>trialpay.com</t>
  </si>
  <si>
    <t>Trialpay</t>
  </si>
  <si>
    <t>Visa</t>
  </si>
  <si>
    <t>/companies/trialpay/</t>
  </si>
  <si>
    <t>TrialPay was founded in 2006 as an alternative payment platform, placing targeted promotions around transactions. The company has since grown into the leading value-exchange advertising platform serving developers in mobile and social gaming, utility software and online services, reaching over 200 million monthly users in over 180 countries.</t>
  </si>
  <si>
    <t>Terry Angelos; Eddie Lim; Alex Rampell</t>
  </si>
  <si>
    <t>trolltech.com</t>
  </si>
  <si>
    <t>Trolltech</t>
  </si>
  <si>
    <t>OMX:NOK1V</t>
  </si>
  <si>
    <t>/companies/trolltech/</t>
  </si>
  <si>
    <t>Qt (formerly Trolltech) a leading provider of linux and cross-platform development software, was acquired by Nokia in 2008.</t>
  </si>
  <si>
    <t>Eirik Chambe-Eng</t>
  </si>
  <si>
    <t>type_of_demo</t>
  </si>
  <si>
    <t>Stage</t>
  </si>
  <si>
    <t>Partners</t>
  </si>
  <si>
    <t>Founded Year</t>
  </si>
  <si>
    <t>Partnered Year</t>
  </si>
  <si>
    <t>Categories</t>
  </si>
  <si>
    <t>langchain.com</t>
  </si>
  <si>
    <t>0.8</t>
  </si>
  <si>
    <t>For you guys that might mean personalized vectorstores... or agent configs.</t>
  </si>
  <si>
    <t>LangChain</t>
  </si>
  <si>
    <t>LangChain is an LLM programming framework for AI applications.</t>
  </si>
  <si>
    <t>Early</t>
  </si>
  <si>
    <t>Sonya Huang</t>
  </si>
  <si>
    <t>AI/ML; Enterprise</t>
  </si>
  <si>
    <t>rox.com</t>
  </si>
  <si>
    <t>For you guys that might mean personalized agents or swarms.</t>
  </si>
  <si>
    <t>Rox</t>
  </si>
  <si>
    <t>[{"value":"mike.terrill@rox.com","type":"personal","confidence":88,"sources":[{"domain":"nonsense.sourceforge.net","uri":"http://nonsense.sourceforge.net/demo/techdirt","extracted_on":"2022-07-28","last_seen_on":"2022-07-28","still_on_page":false}],"first_name":"Mike","last_name":"Terrill","position":null,"position_raw":null,"seniority":null,"department":null,"linkedin":null,"twitter":null,"phone_number":null,"verification":{"date":"2025-02-18","status":"invalid"}},{"value":"quell@rox.com","type":"personal","confidence":75,"sources":[{"domain":"nonsense.sourceforge.net","uri":"http://nonsense.sourceforge.net/demo/slashdot","extracted_on":"2024-09-10","last_seen_on":"2024-09-10","still_on_page":false}],"first_name":null,"last_name":null,"position":null,"position_raw":null,"seniority":null,"department":null,"linkedin":null,"twitter":null,"phone_number":null,"verification":{"date":null,"status":null}},{"value":"punk@rox.com","type":"generic","confidence":75,"sources":[{"domain":"members.tripod.com","uri":"http://members.tripod.com/~xodour_1/sub/icq.html","extracted_on":"2018-10-08","last_seen_on":"2025-01-22","still_on_page":true}],"first_name":null,"last_name":null,"position":null,"position_raw":null,"seniority":null,"department":null,"linkedin":null,"twitter":null,"phone_number":null,"verification":{"date":null,"status":null}},{"value":"arudeve@rox.com","type":"personal","confidence":74,"sources":[{"domain":"nonsense.sourceforge.net","uri":"http://nonsense.sourceforge.net/demo/techdirt","extracted_on":"2024-03-14","last_seen_on":"2024-03-14","still_on_page":true}],"first_name":null,"last_name":null,"position":null,"position_raw":null,"seniority":null,"department":null,"linkedin":null,"twitter":null,"phone_number":null,"verification":{"date":null,"status":null}},{"value":"getting@rox.com","type":"generic","confidence":74,"sources":[{"domain":"nonsense.sourceforge.net","uri":"http://nonsense.sourceforge.net/demo/slashdot","extracted_on":"2022-12-13","last_seen_on":"2022-12-13","still_on_page":true}],"first_name":null,"last_name":null,"position":null,"position_raw":null,"seniority":null,"department":null,"linkedin":null,"twitter":null,"phone_number":null,"verification":{"date":null,"status":null}},{"value":"kayla.kilgour@rox.com","type":"personal","confidence":15,"sources":[{"domain":"nonsense.sourceforge.net","uri":"http://nonsense.sourceforge.net/demo/slashdot","extracted_on":"2023-08-25","last_seen_on":"2023-08-25","still_on_page":false}],"first_name":"Kayla","last_name":"Kilgour","position":null,"position_raw":null,"seniority":null,"department":null,"linkedin":null,"twitter":null,"phone_number":null,"verification":{"date":null,"status":null}},{"value":"um@rox.com","type":"personal","confidence":10,"sources":[{"domain":"vanade.com","uri":"http://vanade.com/~blc/members.cgi","extracted_on":"2023-11-21","last_seen_on":"2023-11-21","still_on_page":false}],"first_name":null,"last_name":null,"position":null,"position_raw":null,"seniority":null,"department":null,"linkedin":null,"twitter":null,"phone_number":null,"verification":{"date":null,"status":null}},{"value":"stella@rox.com","type":"personal","confidence":10,"sources":[{"domain":"nonsense.sourceforge.net","uri":"http://nonsense.sourceforge.net/demo/slashdot","extracted_on":"2023-11-09","last_seen_on":"2023-11-09","still_on_page":false}],"first_name":null,"last_name":null,"position":null,"position_raw":null,"seniority":null,"department":null,"linkedin":null,"twitter":null,"phone_number":null,"verification":{"date":null,"status":null}},{"value":"rox@rox.com","type":"personal","confidence":10,"sources":[{"domain":"rox.com.au","uri":"http://rox.com.au/collection/chrysophrase-pendant","extracted_on":"2023-11-06","last_seen_on":"2024-02-06","still_on_page":false},{"domain":"rox.com.au","uri":"http://rox.com.au/contact","extracted_on":"2023-05-06","last_seen_on":"2023-08-06","still_on_page":false}],"first_name":null,"last_name":null,"position":null,"position_raw":null,"seniority":null,"department":null,"linkedin":null,"twitter":null,"phone_number":null,"verification":{"date":"2025-02-20","status":"invalid"}},{"value":"lrstsky@rox.com","type":"personal","confidence":10,"sources":[{"domain":"986faq.com","uri":"http://986faq.com/_themes/xoc/nomail.asp","extracted_on":"2022-11-27","last_seen_on":"2024-03-31","still_on_page":false}],"first_name":null,"last_name":null,"position":null,"position_raw":null,"seniority":null,"department":null,"linkedin":null,"twitter":null,"phone_number":null,"verification":{"date":null,"status":null}}]</t>
  </si>
  <si>
    <t>Rox helps businesses secure and grow revenue.</t>
  </si>
  <si>
    <t>Konstantine Buhler</t>
  </si>
  <si>
    <t>blockaid.io</t>
  </si>
  <si>
    <t>0.7</t>
  </si>
  <si>
    <t>For you guys that might mean personalized risk scores... or threat detections.</t>
  </si>
  <si>
    <t>Blockaid</t>
  </si>
  <si>
    <t>[{"value":"dafna@blockaid.io","type":"personal","confidence":99,"sources":[{"domain":"linkedin.com","uri":"https://www.google.com/search?q=site:linkedin.com%20dafna%20sborovsky%20blockaid","extracted_on":"2025-01-07","last_seen_on":"2025-01-07","still_on_page":true}],"first_name":"Dafna","last_name":"Sborovsky","position":"Director of Operations","position_raw":"Head of Business operations &amp; HR","seniority":null,"department":"executive","linkedin":"https://www.linkedin.com/in/dafna-sborovsky-a4172216a","twitter":null,"phone_number":null,"verification":{"date":"2025-01-07","status":"valid"}},{"value":"glenn@blockaid.io","type":"personal","confidence":99,"sources":[{"domain":"blockworks.co","uri":"http://blockworks.co/news/celsius-mining-headed-by-hut-8-exec","extracted_on":"2024-04-10","last_seen_on":"2024-04-10","still_on_page":true}],"first_name":"Glenn","last_name":"Rachlin","position":null,"position_raw":"GTM","seniority":null,"department":null,"linkedin":"https://www.linkedin.com/in/glennrachlin","twitter":null,"phone_number":null,"verification":{"date":"2025-01-24","status":"valid"}},{"value":"eden@blockaid.io","type":"personal","confidence":98,"sources":[{"domain":"linkedin.com","uri":"https://www.google.com/search?q=site:linkedin.com%20eden%20azar%20blockaid","extracted_on":"2025-01-08","last_seen_on":"2025-01-08","still_on_page":true}],"first_name":"Eden","last_name":"Azar","position":"Executive Assistant","position_raw":"Executive Assistant Office Manager","seniority":"executive","department":"operations","linkedin":"https://www.linkedin.com/in/eden-azar-996313202","twitter":null,"phone_number":null,"verification":{"date":"2025-01-08","status":"valid"}},{"value":"raz@blockaid.io","type":"personal","confidence":98,"sources":[{"domain":"linkedin.com","uri":"https://www.google.com/search?q=site:linkedin.com%20raz%20niv%20blockaid","extracted_on":"2025-01-07","last_seen_on":"2025-01-07","still_on_page":true},{"domain":"blockaid.io","uri":"http://blockaid.io/about-us","extracted_on":"2024-10-09","last_seen_on":"2024-10-09","still_on_page":true},{"domain":"maxbit.cc","uri":"http://maxbit.cc/heres-how-crypto-firms-like-coinbase-are-fending-off-drainer-hacker-groups","extracted_on":"2024-05-11","last_seen_on":"2024-05-11","still_on_page":true}],"first_name":"Raz","last_name":"Niv","position":"Co-Founder","position_raw":"Co-Founder","seniority":null,"department":"executive","linkedin":"https://www.linkedin.com/in/raz-niv-22b741214","twitter":null,"phone_number":null,"verification":{"date":"2025-01-16","status":"valid"}},{"value":"tim@blockaid.io","type":"personal","confidence":97,"sources":[{"domain":"linkedin.com","uri":"https://www.google.com/search?q=site:linkedin.com%20tim%20windhorst%20blockaid","extracted_on":"2025-01-03","last_seen_on":"2025-01-03","still_on_page":true}],"first_name":"Tim","last_name":"Windhorst","position":"Web3 Security Specialist","position_raw":"Securing Web3","seniority":null,"department":null,"linkedin":"https://www.linkedin.com/in/tim-windhorst-7b94141a","twitter":null,"phone_number":null,"verification":{"date":"2025-01-24","status":"valid"}},{"value":"guy@blockaid.io","type":"personal","confidence":97,"sources":[{"domain":"blockaid.io","uri":"http://blockaid.io/blog","extracted_on":"2024-10-09","last_seen_on":"2024-10-09","still_on_page":true}],"first_name":"Guy","last_name":"Muroch","position":null,"position_raw":null,"seniority":null,"department":null,"linkedin":"https://www.linkedin.com/in/guy-muroch-3536a4159","twitter":null,"phone_number":null,"verification":{"date":"2025-02-22","status":"valid"}},{"value":"ido@blockaid.io","type":"personal","confidence":96,"sources":[{"domain":"linkedin.com","uri":"https://www.google.com/search?q=site:linkedin.com%20ido%20ben-natan%20blockaid","extracted_on":"2025-01-07","last_seen_on":"2025-01-07","still_on_page":true},{"domain":"blockaid.io","uri":"http://blockaid.io/about-us","extracted_on":"2024-10-09","last_seen_on":"2024-10-09","still_on_page":true},{"domain":"blocking.net","uri":"http://blocking.net/coinbase-wallet-quietly-integrates-blockaid-security-tool.html","extracted_on":"2024-05-09","last_seen_on":"2024-05-09","still_on_page":true}],"first_name":"Ido","last_name":"Ben-Natan","position":"CEO","position_raw":"Co-Founder &amp; CEO","seniority":"executive","department":"executive","linkedin":"https://www.linkedin.com/in/ido-ben-natan-576a4483","twitter":null,"phone_number":null,"verification":{"date":"2025-01-02","status":"valid"}},{"value":"contact@blockaid.io","type":"generic","confidence":95,"sources":[{"domain":"blockaid.io","uri":"http://blockaid.io/legal/privacy-policy","extracted_on":"2024-01-16","last_seen_on":"2025-01-09","still_on_page":true}],"first_name":null,"last_name":null,"position":null,"position_raw":null,"seniority":null,"department":"support","linkedin":null,"twitter":null,"phone_number":null,"verification":{"date":null,"status":null}}]</t>
  </si>
  <si>
    <t>Blockaid builds web3 security to protect users from fraud, phishing, and hacks.</t>
  </si>
  <si>
    <t>Shaun Maguire</t>
  </si>
  <si>
    <t>Crypto; Enterprise</t>
  </si>
  <si>
    <t>blues.io</t>
  </si>
  <si>
    <t>For you guys that might mean personalized device configs... or data routing.</t>
  </si>
  <si>
    <t>Blues</t>
  </si>
  <si>
    <t>[{"value":"support@blues.io","type":"generic","confidence":99,"sources":[{"domain":"dev.blues.io","uri":"http://dev.blues.io/hardware/notecarrier-datasheet/notecarrier-aa","extracted_on":"2022-05-31","last_seen_on":"2023-11-30","still_on_page":false},{"domain":"dev.blues.io","uri":"http://dev.blues.io/hardware/airnote/airnote-datasheet","extracted_on":"2022-06-01","last_seen_on":"2023-11-29","still_on_page":false},{"domain":"dev.blues.io","uri":"http://dev.blues.io/hardware/notecarrier-datasheet/notecarrier-b","extracted_on":"2021-10-19","last_seen_on":"2023-11-28","still_on_page":false},{"domain":"dev.blues.io","uri":"http://dev.blues.io/datasheets/notecarrier-datasheet/notecarrier-aa","extracted_on":"2023-11-16","last_seen_on":"2023-11-16","still_on_page":false},{"domain":"dev.blues.io","uri":"http://dev.blues.io/hardware/notecard-datasheet/note-nbna-500","extracted_on":"2021-10-19","last_seen_on":"2023-10-19","still_on_page":false}],"first_name":null,"last_name":null,"position":null,"position_raw":null,"seniority":null,"department":"support","linkedin":null,"twitter":null,"phone_number":null,"verification":{"date":"2025-02-04","status":"valid"}},{"value":"policies@blues.io","type":"generic","confidence":98,"sources":[{"domain":"blues.io","uri":"http://blues.io/privacy","extracted_on":"2022-02-20","last_seen_on":"2023-11-22","still_on_page":false}],"first_name":null,"last_name":null,"position":null,"position_raw":null,"seniority":null,"department":null,"linkedin":null,"twitter":null,"phone_number":null,"verification":{"date":null,"status":null}}]</t>
  </si>
  <si>
    <t>Blues Wireless</t>
  </si>
  <si>
    <t>Blues Wireless builds and deploys wireless connected devices.</t>
  </si>
  <si>
    <t>Enterprise</t>
  </si>
  <si>
    <t>breeze.cash</t>
  </si>
  <si>
    <t>For you guys that might mean personalized payment methods... or payout options.</t>
  </si>
  <si>
    <t>Breeze</t>
  </si>
  <si>
    <t>[{"value":"millie@breeze.cash","type":"personal","confidence":99,"sources":[{"domain":"linkedin.com","uri":"https://www.google.com/search?q=site:linkedin.com%20millie%20yang%20breeze","extracted_on":"2025-01-03","last_seen_on":"2025-01-03","still_on_page":true}],"first_name":"Millie","last_name":"Yang","position":"CEO","position_raw":"CEO and Co-founder","seniority":"executive","department":"executive","linkedin":"https://www.linkedin.com/in/millie-yang-b8041bab","twitter":null,"phone_number":null,"verification":{"date":"2025-01-30","status":"valid"}}]</t>
  </si>
  <si>
    <t>Breeze.cash</t>
  </si>
  <si>
    <t>Breeze.cash unlocks new revenue for businesses with crypto payments.</t>
  </si>
  <si>
    <t>Pre-Seed/Seed</t>
  </si>
  <si>
    <t>Crypto; FinTech</t>
  </si>
  <si>
    <t>caldera.xyz</t>
  </si>
  <si>
    <t>For you guys that might mean personalized chain configs or gas fees.</t>
  </si>
  <si>
    <t>Caldera</t>
  </si>
  <si>
    <t>[{"value":"alex@caldera.xyz","type":"personal","confidence":94,"sources":[{"domain":"gritdaily.com","uri":"http://gritdaily.com/caldera-launches-guardian-nodes-creating-a-new-path-for-teams-to-raise-funds-and-decentralize-their-network","extracted_on":"2024-05-24","last_seen_on":"2025-02-25","still_on_page":true},{"domain":"globalbusinessarticles.biz","uri":"http://globalbusinessarticles.biz/caldera-launches-guardian-nodes-creating-a-new-path-for-teams-to-raise-funds-and-decentralize-their-network","extracted_on":"2024-08-07","last_seen_on":"2025-02-16","still_on_page":true},{"domain":"cryptoevents.global","uri":"http://cryptoevents.global/caldera-launches-guardian-nodes-creating-a-new-path-for-teams-to-raise-funds-and-decentralize-their-network","extracted_on":"2024-08-18","last_seen_on":"2025-02-11","still_on_page":true},{"domain":"dicocrypto.fr","uri":"http://dicocrypto.fr/caldera-lance-guardian-nodes-creant-une-nouvelle-voie-permettant-aux-equipes-de-collecter-des-fonds-et-de-decentraliser-leur-reseau.html","extracted_on":"2025-02-11","last_seen_on":"2025-02-11","still_on_page":true},{"domain":"allcryptocurrencydaily.com","uri":"http://allcryptocurrencydaily.com/pr/2024/05/24/caldera-launches-guardian-nodes-creating-a-new-path-for-teams-to-raise-funds-and-decentralize-their-network","extracted_on":"2024-07-18","last_seen_on":"2025-02-03","still_on_page":true},{"domain":"cryptocurrenciesnewz.com","uri":"http://cryptocurrenciesnewz.com/2024/05/24/caldera-launches-guardian-nodes-creating-a-new-path-for-teams-to-raise-funds-and-decentralize-their-network","extracted_on":"2024-06-01","last_seen_on":"2025-02-03","still_on_page":true},{"domain":"thestockdork.com","uri":"http://thestockdork.com/caldera-launches-guardian-nodes-creating-a-new-path-for-teams-to-raise-funds-and-decentralize-their-network","extracted_on":"2024-10-23","last_seen_on":"2025-01-25","still_on_page":true},{"domain":"crypitol.com","uri":"http://crypitol.com/2024/07/11/caldera-launches-guardian-nodes-creating-a-new-path-for-teams-to-raise-funds-and-decentralize-their-network","extracted_on":"2024-10-23","last_seen_on":"2025-01-23","still_on_page":true},{"domain":"the-blockchain.com","uri":"http://the-blockchain.com/2024/05/24/caldera-launches-guardian-nodes-creating-a-new-path-for-teams-to-raise-funds-and-decentralize-their-network","extracted_on":"2025-01-20","last_seen_on":"2025-01-20","still_on_page":true},{"domain":"financeshots.com","uri":"http://financeshots.com/caldera-launches-guardian-nodes-creating-a-new-path-for-teams-to-raise-funds-and-decentralize-their-network","extracted_on":"2025-01-12","last_seen_on":"2025-01-12","still_on_page":true},{"domain":"bitcoinleef.com","uri":"http://bitcoinleef.com/caldera-launches-guardian-nodes-creating-a-new-path-for-teams-to-raise-funds-and-decentralize-their-network","extracted_on":"2024-07-28","last_seen_on":"2025-01-09","still_on_page":true},{"domain":"magcrypto.net","uri":"http://magcrypto.net/caldera-launches-guardian-nodes-creating-a-new-path-for-teams-to-raise-funds-and-decentralize-their-network","extracted_on":"2024-07-08","last_seen_on":"2025-01-09","still_on_page":true},{"domain":"paidarticlesposting.com","uri":"http://paidarticlesposting.com/caldera-launches-guardian-nodes-creating-a-new-path-for-teams-to-raise-funds-and-decentralize-their-network","extracted_on":"2024-12-28","last_seen_on":"2024-12-28","still_on_page":true},{"domain":"techstartups.com","uri":"http://techstartups.com/2024/05/24/caldera-launches-guardian-nodes-creating-a-new-path-for-teams-to-raise-funds-and-decentralize-their-network","extracted_on":"2024-09-17","last_seen_on":"2024-12-24","still_on_page":true},{"domain":"cryptosnewss.com","uri":"http://cryptosnewss.com/caldera-launches-guardian-nodes-creating-a-new-path-for-teams-to-raise-funds-and-decentralize-their-network","extracted_on":"2024-09-23","last_seen_on":"2024-12-23","still_on_page":true},{"domain":"attirer.io","uri":"http://attirer.io/caldera-launches-guardian-nodes-creating-a-new-path-for-teams-to-raise-funds-and-decentralize-their-network","extracted_on":"2024-09-22","last_seen_on":"2024-12-22","still_on_page":true},{"domain":"crypto-news.net","uri":"http://crypto-news.net/caldera-launches-guardian-nodes-creating-a-new-path-for-teams-to-raise-funds-and-decentralize-their-network","extracted_on":"2024-09-12","last_seen_on":"2024-12-21","still_on_page":true},{"domain":"getwide.com","uri":"http://getwide.com/caldera-launches-guardian-nodes-creating-a-new-path-for-teams-to-raise-funds-and-decentralize-their-network","extracted_on":"2024-06-19","last_seen_on":"2024-12-20","still_on_page":true},{"domain":"chainaffairs.com","uri":"http://chainaffairs.com/caldera-launches-guardian-nodes-creating-a-new-path-for-teams-to-raise-funds-and-decentralize-their-network","extracted_on":"2024-09-18","last_seen_on":"2024-12-19","still_on_page":true},{"domain":"thefintechmag.com","uri":"http://thefintechmag.com/caldera-launches-guardian-nodes-creating-a-new-path-for-teams-to-raise-funds-and-decentralize-their-network","extracted_on":"2024-12-17","last_seen_on":"2024-12-17","still_on_page":true},{"domain":"web3.rodeo","uri":"http://web3.rodeo/caldera-launches-guardian-nodes-creating-a-new-path-for-teams-to-raise-funds-and-decentralize-their-network-blockchain-news-opinion-tv-and-jobs","extracted_on":"2024-06-16","last_seen_on":"2024-12-16","still_on_page":true},{"domain":"gocryptoblogs.com","uri":"http://gocryptoblogs.com/us-state-news-updates/caldera-launches-guardian-nodes-creating-a-new-path-for-teams-to-raise-funds-and-decentralize-their-network-2","extracted_on":"2024-06-13","last_seen_on":"2024-12-15","still_on_page":true},{"domain":"computerserviceonline.net","uri":"http://computerserviceonline.net/caldera-launches-guardian-nodes-creating-a-new-path-for-teams-to-raise-funds-and-decentralize-their-network","extracted_on":"2024-06-08","last_seen_on":"2024-12-14","still_on_page":true},{"domain":"blocktelegraph.io","uri":"http://blocktelegraph.io/caldera-launches-guardian-nodes-creating-a-new-path-for-teams-to-raise-funds-and-decentralize-their-network","extracted_on":"2024-12-12","last_seen_on":"2024-12-12","still_on_page":true},{"domain":"marketingsuccessonline.com","uri":"http://marketingsuccessonline.com/caldera-launches-guardian-nodes-creating-a-new-path-for-teams-to-raise-funds-and-decentralize-their-network","extracted_on":"2024-12-09","last_seen_on":"2024-12-09","still_on_page":true},{"domain":"mpost.io","uri":"http://mpost.io/caldera-launches-guardian-nodes-creating-a-new-path-for-teams-to-raise-funds-and-decentralize-their-network","extracted_on":"2024-06-03","last_seen_on":"2024-12-05","still_on_page":true},{"domain":"cryptonewsland.com","uri":"http://cryptonewsland.com/caldera-launches-guardian-nodes-creating-a-new-path-for-teams-to-raise-funds-and-decentralize-their-network","extracted_on":"2024-05-31","last_seen_on":"2024-12-03","still_on_page":true},{"domain":"coingabbar.com","uri":"http://coingabbar.com/en/crypto-press-release/caldera-launches-guardian-nodes-creating-a-new-path-for-teams-to-raise-funds-and-decentralize-their-network","extracted_on":"2024-05-25","last_seen_on":"2024-11-28","still_on_page":true},{"domain":"coinjournal.net","uri":"http://coinjournal.net/news/caldera-launches-guardian-nodes-creating-a-new-path-for-teams-to-raise-funds-and-decentralize-their-network","extracted_on":"2024-05-27","last_seen_on":"2024-11-27","still_on_page":true},{"domain":"dailycrunch.co.in","uri":"http://dailycrunch.co.in/2024/05/24/caldera-launches-guardian-nodes-creating-a-new-path-for-teams-to-raise-funds-and-decentralize-their-network","extracted_on":"2024-05-24","last_seen_on":"2024-11-25","still_on_page":false}],"first_name":null,"last_name":null,"position":null,"position_raw":null,"seniority":null,"department":null,"linkedin":null,"twitter":null,"phone_number":null,"verification":{"date":"2025-02-25","status":"accept_all"}}]</t>
  </si>
  <si>
    <t>Caldera enables dynamic Web3 experiences by enabling developers to launch performant application-specific blockchains.</t>
  </si>
  <si>
    <t>Crypto</t>
  </si>
  <si>
    <t>canvasapp.com</t>
  </si>
  <si>
    <t>For you guys that might mean personalized metrics or KPIs.</t>
  </si>
  <si>
    <t>Supernova</t>
  </si>
  <si>
    <t>[{"value":"ryan@canvasapp.com","type":"personal","confidence":99,"sources":[{"domain":"caia.org","uri":"http://caia.org/blog/2024/10/23/rise-connected-spreadsheet-killer-app-modern-data-stack","extracted_on":"2024-10-27","last_seen_on":"2025-01-29","still_on_page":true},{"domain":"sapphireventures.com","uri":"http://sapphireventures.com/blog/rise-of-the-connected-spreadsheet-the-killer-app-for-the-modern-data-stack","extracted_on":"2023-01-17","last_seen_on":"2024-12-25","still_on_page":true},{"domain":"canvasapp.com","uri":"http://canvasapp.com/blog/a-founders-guide-to-building-out-your-data-stack","extracted_on":"2023-07-29","last_seen_on":"2024-11-17","still_on_page":false},{"domain":"canvasapp.com","uri":"http://canvasapp.com/blog/enabling-ad-hoc-analysis","extracted_on":"2023-07-29","last_seen_on":"2024-11-17","still_on_page":false},{"domain":"canvasapp.com","uri":"http://canvasapp.com/blog/how-much-does-a-data-warehouse-cost","extracted_on":"2023-01-29","last_seen_on":"2024-11-17","still_on_page":false},{"domain":"canvasapp.com","uri":"http://canvasapp.com/blog/rise-of-the-connected-spreadsheet-the-killer-app-for-the-modern-data-stack","extracted_on":"2022-10-30","last_seen_on":"2024-11-17","still_on_page":false},{"domain":"canvasapp.com","uri":"http://canvasapp.com/blog/why-were-building-canvas-a-data-tool-for-non-technical-teams","extracted_on":"2022-03-23","last_seen_on":"2024-11-17","still_on_page":false}],"first_name":"Ryan","last_name":"Buick","position":"Cofounder","position_raw":"Cofounder","seniority":null,"department":"executive","linkedin":"https://www.linkedin.com/in/ryanjbuick/","twitter":"ryanjbuick","phone_number":null,"verification":{"date":"2025-01-01","status":"valid"}},{"value":"luke@canvasapp.com","type":"personal","confidence":96,"sources":[{"domain":"hacolyte.com","uri":"http://hacolyte.com/item/38099086","extracted_on":"2023-11-15","last_seen_on":"2025-02-25","still_on_page":true},{"domain":"hacker-careers.com","uri":"http://hacker-careers.com/job/canvas/sales-engineer/9e5c6404-ac46-4c0c-ac37-1dc90879f8a9","extracted_on":"2024-06-27","last_seen_on":"2024-06-27","still_on_page":false},{"domain":"hnhiring.com","uri":"http://hnhiring.com/locations/sf","extracted_on":"2023-11-01","last_seen_on":"2024-01-02","still_on_page":false}],"first_name":null,"last_name":null,"position":null,"position_raw":null,"seniority":null,"department":null,"linkedin":null,"twitter":null,"phone_number":null,"verification":{"date":"2025-01-22","status":"valid"}},{"value":"luke.zapart@canvasapp.com","type":"personal","confidence":95,"sources":[{"domain":"canvasapp.com","uri":"http://canvasapp.com/blog/extend-your-runway-cheap-cash-is-over","extracted_on":"2022-10-30","last_seen_on":"2024-11-17","still_on_page":false}],"first_name":null,"last_name":null,"position":null,"position_raw":null,"seniority":null,"department":null,"linkedin":null,"twitter":null,"phone_number":null,"verification":{"date":null,"status":null}},{"value":"hello@canvasapp.com","type":"generic","confidence":94,"sources":[{"domain":"canvasapp.com","uri":"http://canvasapp.com","extracted_on":"2024-11-17","last_seen_on":"2024-11-17","still_on_page":false},{"domain":"canvasapp.com","uri":"http://canvasapp.com/blog/a-founders-guide-to-building-out-your-data-stack","extracted_on":"2024-09-25","last_seen_on":"2024-11-17","still_on_page":false},{"domain":"canvasapp.com","uri":"http://canvasapp.com/blog/postgres-schemas-in-gpt","extracted_on":"2024-09-25","last_seen_on":"2024-11-17","still_on_page":false},{"domain":"canvasapp.com","uri":"http://canvasapp.com/blog/rise-of-the-connected-spreadsheet-the-killer-app-for-the-modern-data-stack","extracted_on":"2024-05-23","last_seen_on":"2024-11-17","still_on_page":false},{"domain":"canvasapp.com","uri":"http://canvasapp.com/blog/why-were-building-canvas-a-data-tool-for-non-technical-teams","extracted_on":"2024-09-25","last_seen_on":"2024-11-17","still_on_page":false},{"domain":"subscribed.fyi","uri":"http://subscribed.fyi/canvas/how-to-reduce","extracted_on":"2024-06-07","last_seen_on":"2024-10-05","still_on_page":false}],"first_name":null,"last_name":null,"position":null,"position_raw":null,"seniority":null,"department":"support","linkedin":null,"twitter":null,"phone_number":null,"verification":{"date":null,"status":null}},{"value":"will@canvasapp.com","type":"personal","confidence":93,"sources":[{"domain":"canvasapp.com","uri":"http://canvasapp.com/blog/events-architecture-for-react-and-webassembly","extracted_on":"2022-10-30","last_seen_on":"2024-11-17","still_on_page":false},{"domain":"canvasapp.com","uri":"http://canvasapp.com/blog/postgres-schemas-in-gpt","extracted_on":"2023-04-29","last_seen_on":"2024-11-17","still_on_page":false},{"domain":"canvasapp.com","uri":"http://canvasapp.com/blog/snowflake-security-with-network-access-policies","extracted_on":"2022-10-30","last_seen_on":"2024-11-17","still_on_page":false},{"domain":"canvasapp.com","uri":"http://canvasapp.com/blog/text-to-sql-in-production","extracted_on":"2023-07-29","last_seen_on":"2024-11-17","still_on_page":false}],"first_name":null,"last_name":null,"position":null,"position_raw":null,"seniority":null,"department":null,"linkedin":null,"twitter":null,"phone_number":null,"verification":{"date":null,"status":null}},{"value":"security@canvasapp.com","type":"generic","confidence":92,"sources":[{"domain":"canvasapp.com","uri":"http://canvasapp.com/docs/security/data-security","extracted_on":"2023-04-29","last_seen_on":"2024-11-23","still_on_page":false},{"domain":"canvasapp.com","uri":"http://canvasapp.com/docs/security","extracted_on":"2024-06-25","last_seen_on":"2024-11-17","still_on_page":false},{"domain":"canvasapp.com","uri":"http://canvasapp.com/docs/security/bug-bounty-program","extracted_on":"2024-02-23","last_seen_on":"2024-11-17","still_on_page":false},{"domain":"canvasapp.com","uri":"http://canvasapp.com/security","extracted_on":"2022-10-29","last_seen_on":"2024-11-17","still_on_page":false}],"first_name":null,"last_name":null,"position":null,"position_raw":null,"seniority":null,"department":"support","linkedin":null,"twitter":null,"phone_number":null,"verification":{"date":null,"status":null}}]</t>
  </si>
  <si>
    <t>Canvas</t>
  </si>
  <si>
    <t>Canvas is a collaborative data exploration tool that helps modern business teams make decisions without SQL.</t>
  </si>
  <si>
    <t>chainguard.dev</t>
  </si>
  <si>
    <t>For you guys that might mean personalized image versions... or security policies.</t>
  </si>
  <si>
    <t>Chainguard</t>
  </si>
  <si>
    <t>[{"value":"daniella@chainguard.dev","type":"personal","confidence":94,"sources":[{"domain":"linkedin.com","uri":"https://www.google.com/search?q=site:linkedin.com%20daniella%20aguinaga%20chainguard","extracted_on":"2025-01-13","last_seen_on":"2025-01-13","still_on_page":true}],"first_name":"Daniella","last_name":"Aguinaga","position":"Global HR Partner","position_raw":"Manager, Global People Operations","seniority":null,"department":"executive","linkedin":"https://www.linkedin.com/in/daniella-aguinaga-a0a267b0","twitter":null,"phone_number":null,"verification":{"date":"2025-02-02","status":"accept_all"}},{"value":"kathryn@chainguard.dev","type":"personal","confidence":94,"sources":[{"domain":"linkedin.com","uri":"https://www.google.com/search?q=site:linkedin.com%20kathryn%20fish%20chainguard","extracted_on":"2025-01-13","last_seen_on":"2025-01-13","still_on_page":true}],"first_name":"Kathryn","last_name":"Fish","position":"Sales Enablement Director","position_raw":"Director, Sales Enablement","seniority":null,"department":"sales","linkedin":"https://www.linkedin.com/in/kathrynsfish","twitter":null,"phone_number":null,"verification":{"date":"2025-02-24","status":"accept_all"}},{"value":"kim@chainguard.dev","type":"personal","confidence":94,"sources":[{"domain":"linkedin.com","uri":"https://www.google.com/search?q=site:linkedin.com%20kim%20lewandowski%20chainguard","extracted_on":"2025-01-14","last_seen_on":"2025-01-14","still_on_page":true},{"domain":"supercharge.work","uri":"http://supercharge.work/startup/chainguard","extracted_on":"2022-06-06","last_seen_on":"2024-12-18","still_on_page":true}],"first_name":"Kim","last_name":"Lewandowski","position":"Founder","position_raw":"Founder / Product","seniority":"executive","department":"executive","linkedin":"https://www.linkedin.com/in/kimsterv","twitter":null,"phone_number":null,"verification":{"date":"2025-02-18","status":"accept_all"}},{"value":"george@chainguard.dev","type":"personal","confidence":93,"sources":[{"domain":"linkedin.com","uri":"https://www.google.com/search?q=site:linkedin.com%20george%20cuchural%20chainguard","extracted_on":"2025-01-14","last_seen_on":"2025-01-14","still_on_page":true}],"first_name":"George","last_name":"Cuchural","position":"Regional Sales Director","position_raw":"Regional Sales Director","seniority":null,"department":"sales","linkedin":"https://www.linkedin.com/in/georgecuchural","twitter":null,"phone_number":null,"verification":{"date":"2025-02-24","status":"accept_all"}},{"value":"john@chainguard.dev","type":"personal","confidence":93,"sources":[{"domain":"linkedin.com","uri":"https://www.google.com/search?q=site:linkedin.com%20john%20meyers%20chainguard","extracted_on":"2025-01-13","last_seen_on":"2025-01-13","still_on_page":true}],"first_name":"John","last_name":"Meyers","position":"Head of Labs","position_raw":"Head of Chainguard Labs","seniority":"executive","department":"management","linkedin":"https://www.linkedin.com/in/john-speed-meyers-66b6a740","twitter":null,"phone_number":null,"verification":{"date":"2025-02-25","status":"accept_all"}},{"value":"dlorenc@chainguard.dev","type":"personal","confidence":93,"sources":[{"domain":"learning.acm.org","uri":"http://learning.acm.org/binaries/content/assets/leaning-center/webinar-slides/2022/danlorenctechtalk_slides.pdf","extracted_on":"2023-06-18","last_seen_on":"2025-02-01","still_on_page":true},{"domain":"chainguard.dev","uri":"http://chainguard.dev/legal/privacy-notice","extracted_on":"2024-09-22","last_seen_on":"2025-01-15","still_on_page":true},{"domain":"chainguard.dev","uri":"http://chainguard.dev/privacy","extracted_on":"2023-10-12","last_seen_on":"2025-01-15","still_on_page":true},{"domain":"chainguard.dev","uri":"http://chainguard.dev/privacy-notice","extracted_on":"2022-11-27","last_seen_on":"2024-12-29","still_on_page":true},{"domain":"git.xinac.net","uri":"http://git.xinac.net/github/k3s/commits/branch/master/scripts","extracted_on":"2024-11-09","last_seen_on":"2024-11-09","still_on_page":false},{"domain":"github.com","uri":"http://github.com/dlorenc","extracted_on":"2023-01-08","last_seen_on":"2023-01-08","still_on_page":false},{"domain":"githublab.com","uri":"http://githublab.com/profile/mihaimaruseac","extracted_on":"2022-10-19","last_seen_on":"2022-10-19","still_on_page":false},{"domain":"blog.chainguard.dev","uri":"http://blog.chainguard.dev/a-fulcio-deep-dive","extracted_on":"2022-06-01","last_seen_on":"2022-09-01","still_on_page":false}],"first_name":"Dan","last_name":"Lorenc","position":null,"position_raw":null,"seniority":null,"department":null,"linkedin":"https://www.linkedin.com/in/danlorenc","twitter":null,"phone_number":"+1 518 248 0862","verification":{"date":"2025-02-24","status":"accept_all"}},{"value":"matt@chainguard.dev","type":"personal","confidence":92,"sources":[{"domain":"linkedin.com","uri":"https://www.google.com/search?q=site:linkedin.com%20matt%20moore%20chainguard","extracted_on":"2025-01-14","last_seen_on":"2025-01-14","still_on_page":true}],"first_name":"Matt","last_name":"Moore","position":"CTO","position_raw":"Founder / CTO","seniority":"executive","department":"executive","linkedin":"https://www.linkedin.com/in/mattmoor","twitter":null,"phone_number":null,"verification":{"date":"2025-02-20","status":"accept_all"}},{"value":"ryan@chainguard.dev","type":"personal","confidence":92,"sources":[{"domain":"linkedin.com","uri":"https://www.google.com/search?q=site:linkedin.com%20ryan%20carlson%20chainguard","extracted_on":"2025-01-14","last_seen_on":"2025-01-14","still_on_page":true}],"first_name":"Ryan","last_name":"Carlson","position":"President","position_raw":"President","seniority":"executive","department":"executive","linkedin":"https://www.linkedin.com/in/ryancarlson","twitter":null,"phone_number":null,"verification":{"date":"2025-02-24","status":"accept_all"}},{"value":"michelle@chainguard.dev","type":"personal","confidence":92,"sources":[{"domain":"linkedin.com","uri":"https://www.google.com/search?q=site:linkedin.com%20michelle%20sellke%20chainguard","extracted_on":"2025-01-14","last_seen_on":"2025-01-14","still_on_page":true}],"first_name":"Michelle","last_name":"Sellke","position":"Account Executive","position_raw":"Account Executive","seniority":"executive","department":"sales","linkedin":"https://www.linkedin.com/in/michelle-sellke-8ba63116","twitter":null,"phone_number":null,"verification":{"date":"2025-01-23","status":"accept_all"}},{"value":"seth@chainguard.dev","type":"personal","confidence":91,"sources":[{"domain":"linkedin.com","uri":"https://www.google.com/search?q=site:linkedin.com%20seth%20watkins%20chainguard","extracted_on":"2025-01-14","last_seen_on":"2025-01-14","still_on_page":true}],"first_name":"Seth","last_name":"Watkins","position":"Regional Sales Director","position_raw":"Regional Sales Director","seniority":null,"department":"sales","linkedin":"https://www.linkedin.com/in/watkinsseth","twitter":null,"phone_number":null,"verification":{"date":"2025-02-01","status":"accept_all"}}]</t>
  </si>
  <si>
    <t>Chainguard helps organizations secure their software supply chains through products, tooling, and education.</t>
  </si>
  <si>
    <t>Bogomil Balkansky</t>
  </si>
  <si>
    <t>chkk.io</t>
  </si>
  <si>
    <t>For you guys that might mean personalized add-ons... or cluster configs.</t>
  </si>
  <si>
    <t>Chkk</t>
  </si>
  <si>
    <t>[{"value":"legal@chkk.io","type":"generic","confidence":75,"sources":[{"domain":"chkk.io","uri":"http://chkk.io/terms","extracted_on":"2023-12-18","last_seen_on":"2024-11-29","still_on_page":true}],"first_name":null,"last_name":null,"position":null,"position_raw":null,"seniority":null,"department":"legal","linkedin":null,"twitter":null,"phone_number":null,"verification":{"date":null,"status":null}}]</t>
  </si>
  <si>
    <t>Chkk keeps complex Kubernetes environments up and running.</t>
  </si>
  <si>
    <t>coana.tech</t>
  </si>
  <si>
    <t>For you guys that might mean personalized SBOMs... or reachability reports.</t>
  </si>
  <si>
    <t>Coana</t>
  </si>
  <si>
    <t>[{"value":"anders@coana.tech","type":"personal","confidence":99,"sources":[{"domain":"linkedin.com","uri":"https://www.google.com/search?q=site:linkedin.com%20anders%20s%C3%B8ndergaard%20coana","extracted_on":"2025-01-07","last_seen_on":"2025-01-07","still_on_page":true}],"first_name":"Anders","last_name":"Søndergaard","position":"CEO","position_raw":"Co-founder &amp; CEO","seniority":"executive","department":"executive","linkedin":"https://www.linkedin.com/in/andersslinkedin","twitter":null,"phone_number":null,"verification":{"date":null,"status":null}},{"value":"martin@coana.tech","type":"personal","confidence":98,"sources":[{"domain":"linkedin.com","uri":"https://www.google.com/search?q=site:linkedin.com%20martin%20torp%20coana","extracted_on":"2025-01-07","last_seen_on":"2025-01-07","still_on_page":true}],"first_name":"Martin","last_name":"Torp","position":"Chief Product Officer","position_raw":"Chief Product Officer","seniority":"executive","department":"executive","linkedin":"https://www.linkedin.com/in/martin-torp-7b94b98a","twitter":null,"phone_number":null,"verification":{"date":"2024-12-27","status":"valid"}},{"value":"benjamin@coana.tech","type":"personal","confidence":97,"sources":[{"domain":"linkedin.com","uri":"https://www.google.com/search?q=site:linkedin.com%20benjamin%20nielsen%20coana","extracted_on":"2025-01-07","last_seen_on":"2025-01-07","still_on_page":true}],"first_name":"Benjamin","last_name":"Nielsen","position":"Co-founder and Chief Technology Officer","position_raw":"Co-founder &amp; CTO","seniority":"executive","department":"executive","linkedin":"https://www.linkedin.com/in/benjamin-barslev-nielsen-510699b6","twitter":null,"phone_number":null,"verification":{"date":"2025-01-07","status":"valid"}}]</t>
  </si>
  <si>
    <t>Coana scans for security vulnerabilities in open source dependencies.</t>
  </si>
  <si>
    <t>cyera.io</t>
  </si>
  <si>
    <t>For you guys that might mean personalized data classifications... or data access policies.</t>
  </si>
  <si>
    <t>Cyera</t>
  </si>
  <si>
    <t>[{"value":"sharons@cyera.io","type":"personal","confidence":99,"sources":[{"domain":"linkedin.com","uri":"https://www.google.com/search?q=site:linkedin.com%20sharon%20shaked%20cyera","extracted_on":"2025-01-07","last_seen_on":"2025-01-07","still_on_page":true}],"first_name":"Sharon","last_name":"Shaked","position":"Vice President of Partnerships","position_raw":"VP Partnerships &amp; People","seniority":"executive","department":"executive","linkedin":"https://www.linkedin.com/in/sharon-shaked-8a614a19","twitter":null,"phone_number":null,"verification":{"date":"2025-01-22","status":"valid"}},{"value":"eileenw@cyera.io","type":"personal","confidence":99,"sources":[{"domain":"linkedin.com","uri":"https://www.google.com/search?q=site:linkedin.com%20eileen%20wade%20cyera","extracted_on":"2025-01-07","last_seen_on":"2025-01-07","still_on_page":true}],"first_name":"Eileen","last_name":"Wade","position":"Chief Operating Officer","position_raw":"Head of Global Field Operations","seniority":"executive","department":"executive","linkedin":"https://www.linkedin.com/in/eileen-wade-22a0bb3","twitter":null,"phone_number":null,"verification":{"date":"2025-02-24","status":"valid"}},{"value":"bevan.boote@cyera.io","type":"personal","confidence":99,"sources":[{"domain":"linkedin.com","uri":"https://www.google.com/search?q=site:linkedin.com%20bevan%20boote%20cyera","extracted_on":"2025-01-07","last_seen_on":"2025-01-07","still_on_page":true}],"first_name":"Bevan","last_name":"Boote","position":"Director of Strategic Accounts","position_raw":"Director, Strategic Accounts","seniority":null,"department":"finance","linkedin":"https://www.linkedin.com/in/bevan-boote-b94479a9","twitter":null,"phone_number":null,"verification":{"date":"2025-01-07","status":"valid"}},{"value":"russ.slaten@cyera.io","type":"personal","confidence":99,"sources":[{"domain":"linkedin.com","uri":"https://www.google.com/search?q=site:linkedin.com%20russ%20slaten%20cyera","extracted_on":"2025-01-07","last_seen_on":"2025-01-07","still_on_page":true}],"first_name":"Russ","last_name":"Slaten","position":"Vice President of Customer Success","position_raw":"VP, Customer Success","seniority":"executive","department":"support","linkedin":"https://www.linkedin.com/in/russslaten","twitter":null,"phone_number":null,"verification":{"date":null,"status":null}},{"value":"shiranb@cyera.io","type":"personal","confidence":99,"sources":[{"domain":"linkedin.com","uri":"https://www.google.com/search?q=site:linkedin.com%20shiran%20bareli%20cyera","extracted_on":"2025-01-07","last_seen_on":"2025-01-07","still_on_page":true}],"first_name":"Shiran","last_name":"Bareli","position":"Director of Research","position_raw":"Head Of Research","seniority":null,"department":"education","linkedin":"https://www.linkedin.com/in/shiran-bareli","twitter":null,"phone_number":null,"verification":{"date":"2025-01-07","status":"valid"}},{"value":"conor.russo@cyera.io","type":"personal","confidence":99,"sources":[{"domain":"linkedin.com","uri":"https://www.google.com/search?q=site:linkedin.com%20conor%20russo%20cyera","extracted_on":"2025-01-03","last_seen_on":"2025-01-03","still_on_page":true}],"first_name":"Conor","last_name":"Russo","position":"GRC Analyst","position_raw":"GRC Analyst","seniority":null,"department":null,"linkedin":"https://www.linkedin.com/in/conorrusso","twitter":null,"phone_number":null,"verification":{"date":null,"status":null}},{"value":"david.mcallen@cyera.io","type":"personal","confidence":99,"sources":[{"domain":"linkedin.com","uri":"https://www.google.com/search?q=site:linkedin.com%20david%20mcallen%20cyera","extracted_on":"2025-01-03","last_seen_on":"2025-01-03","still_on_page":true}],"first_name":"David","last_name":"McAllen","position":"Sales Director","position_raw":"Sales Director | South Texas &amp; Louisiana","seniority":null,"department":"sales","linkedin":"https://www.linkedin.com/in/david-mcallen-b2095911","twitter":null,"phone_number":null,"verification":{"date":"2025-01-29","status":"valid"}},{"value":"stever@cyera.io","type":"personal","confidence":99,"sources":[{"domain":"linkedin.com","uri":"https://www.google.com/search?q=site:linkedin.com%20steve%20rog%20cyera","extracted_on":"2025-01-03","last_seen_on":"2025-01-03","still_on_page":true}],"first_name":"Steve","last_name":"Rog","position":"Vice President of Sales","position_raw":"Vice President of Worldwide Sales","seniority":"executive","department":"sales","linkedin":"https://www.linkedin.com/in/steve-rog-8309b36","twitter":null,"phone_number":null,"verification":{"date":"2025-01-07","status":"valid"}},{"value":"russ@cyera.io","type":"personal","confidence":99,"sources":[{"domain":"linkedin.com","uri":"https://www.google.com/search?q=site:linkedin.com%20russ%20slaten%20cyera","extracted_on":"2025-01-03","last_seen_on":"2025-01-03","still_on_page":true}],"first_name":"Russ","last_name":"Slaten","position":"Vice President of Customer Success","position_raw":"VP, Customer Success","seniority":"executive","department":"support","linkedin":"https://www.linkedin.com/in/russslaten","twitter":null,"phone_number":null,"verification":{"date":"2025-02-03","status":"valid"}},{"value":"megan.bickford@cyera.io","type":"personal","confidence":99,"sources":[{"domain":"linkedin.com","uri":"https://www.google.com/search?q=site:linkedin.com%20megan%20bickford%20cyera","extracted_on":"2025-01-03","last_seen_on":"2025-01-03","still_on_page":true}],"first_name":"Megan","last_name":"Bickford","position":"Director of Demand Generation","position_raw":"Head of Demand Generation","seniority":null,"department":"management","linkedin":"https://www.linkedin.com/in/megantederick","twitter":null,"phone_number":null,"verification":{"date":"2025-02-12","status":"valid"}}]</t>
  </si>
  <si>
    <t>Cyera transforms the way organizations secure data in the cloud with Data Reality.</t>
  </si>
  <si>
    <t>Doug Leone</t>
  </si>
  <si>
    <t>deno.land</t>
  </si>
  <si>
    <t>For you guys that might mean personalized module imports or security permissions.</t>
  </si>
  <si>
    <t>Deno</t>
  </si>
  <si>
    <t>Deno is building application development for the modern web.</t>
  </si>
  <si>
    <t>Lauren Reeder</t>
  </si>
  <si>
    <t>dust.tt</t>
  </si>
  <si>
    <t>For you guys that might mean personalized agents... or data integrations.</t>
  </si>
  <si>
    <t>Dust</t>
  </si>
  <si>
    <t>[{"value":"gabriel@dust.tt","type":"personal","confidence":99,"sources":[{"domain":"linkedin.com","uri":"https://www.google.com/search?q=site:linkedin.com%20gabriel%20hubert%20dust","extracted_on":"2025-01-07","last_seen_on":"2025-01-07","still_on_page":true}],"first_name":"Gabriel","last_name":"Hubert","position":"Co-Founder","position_raw":"Co-Founder","seniority":null,"department":"executive","linkedin":"https://www.linkedin.com/in/gabhubert","twitter":null,"phone_number":null,"verification":{"date":"2025-02-13","status":"valid"}},{"value":"spolu@dust.tt","type":"personal","confidence":98,"sources":[{"domain":"yeswelab.com","uri":"http://yeswelab.com/blogs/aplicaciones-de-la-inteligencia-artificial/dust-xp1-herramienta-productividad","extracted_on":"2024-07-14","last_seen_on":"2025-01-14","still_on_page":true},{"domain":"linkedin.com","uri":"https://www.google.com/search?q=site:linkedin.com%20stanislas%20polu%20dust","extracted_on":"2025-01-07","last_seen_on":"2025-01-07","still_on_page":true},{"domain":"topaifor.com","uri":"http://topaifor.com/ai/dust","extracted_on":"2024-06-17","last_seen_on":"2024-12-17","still_on_page":true}],"first_name":"Stanislas","last_name":"Polu","position":"Software Engineer","position_raw":"Software Engineer &amp; Co-Founder","seniority":null,"department":"it","linkedin":"https://www.linkedin.com/in/spolu","twitter":null,"phone_number":null,"verification":{"date":"2025-02-20","status":"valid"}},{"value":"team@dust.tt","type":"generic","confidence":95,"sources":[{"domain":"thataicollection.com","uri":"http://thataicollection.com/en/application/dust","extracted_on":"2023-11-02","last_seen_on":"2023-11-02","still_on_page":false}],"first_name":null,"last_name":null,"position":null,"position_raw":null,"seniority":null,"department":"support","linkedin":null,"twitter":null,"phone_number":null,"verification":{"date":null,"status":null}}]</t>
  </si>
  <si>
    <t>Dust is an AI operating system for smart teams.</t>
  </si>
  <si>
    <t>gadget.dev</t>
  </si>
  <si>
    <t>For you guys that might mean personalized Shopify OAuth settings or custom API connections...</t>
  </si>
  <si>
    <t>Gadget</t>
  </si>
  <si>
    <t>[{"value":"mohammad@gadget.dev","type":"personal","confidence":94,"sources":[{"domain":"linkedin.com","uri":"https://www.google.com/search?q=site:linkedin.com%20mohammad%20h%20gadget","extracted_on":"2025-01-14","last_seen_on":"2025-01-14","still_on_page":true}],"first_name":"Mohammad","last_name":"H","position":"Co-Founder","position_raw":"Co-Founder","seniority":null,"department":"executive","linkedin":"https://www.linkedin.com/in/mohashemi","twitter":null,"phone_number":null,"verification":{"date":"2025-01-14","status":"accept_all"}},{"value":"kyle@gadget.dev","type":"personal","confidence":93,"sources":[{"domain":"linkedin.com","uri":"https://www.google.com/search?q=site:linkedin.com%20kyle%20tate%20gadget","extracted_on":"2025-01-13","last_seen_on":"2025-01-13","still_on_page":true}],"first_name":"Kyle","last_name":"Tate","position":"Director of Data","position_raw":"Head of Data","seniority":null,"department":"it","linkedin":"https://www.linkedin.com/in/kyletate","twitter":null,"phone_number":null,"verification":{"date":"2025-02-22","status":"accept_all"}},{"value":"harry@gadget.dev","type":"personal","confidence":92,"sources":[{"domain":"linkedin.com","uri":"https://www.google.com/search?q=site:linkedin.com%20harry%20brundage%20gadget","extracted_on":"2025-01-13","last_seen_on":"2025-01-13","still_on_page":true},{"domain":"gadget.dev","uri":"http://gadget.dev/blog/5-tips-for-scaling-your-shopify-app-during-black-friday-cyber-monday","extracted_on":"2023-12-12","last_seen_on":"2024-06-26","still_on_page":false},{"domain":"gadget.dev","uri":"http://gadget.dev/blog/announcing-gadgets-8-5m-seed-round","extracted_on":"2021-12-12","last_seen_on":"2024-06-20","still_on_page":false},{"domain":"gadget.dev","uri":"http://gadget.dev/blog/announcing-file-storage-with-the-file-field-type","extracted_on":"2022-03-12","last_seen_on":"2024-06-19","still_on_page":false},{"domain":"gadget.dev","uri":"http://gadget.dev/blog/the-ultimate-guide-to-syncing-data-from-shopify","extracted_on":"2023-12-12","last_seen_on":"2024-06-18","still_on_page":false},{"domain":"gadget.dev","uri":"http://gadget.dev/blog/announcing-http-routes","extracted_on":"2022-03-12","last_seen_on":"2024-06-12","still_on_page":false}],"first_name":"Harry","last_name":"Brundage","position":"Co-founder and Chief Technology Officer","position_raw":"Co-founder &amp; CTO","seniority":"executive","department":"executive","linkedin":"https://www.linkedin.com/in/harrybrundage","twitter":null,"phone_number":null,"verification":{"date":"2025-02-24","status":"accept_all"}},{"value":"mister@gadget.dev","type":"personal","confidence":80,"sources":[{"domain":"linkedin.com","uri":"https://www.google.com/search?q=site:linkedin.com%20mister-aa-a4b523251%20gadget","extracted_on":"2025-01-14","last_seen_on":"2025-01-14","still_on_page":true}],"first_name":null,"last_name":null,"position":"CEO","position_raw":"Chief Executive Officer","seniority":"executive","department":"executive","linkedin":"https://www.linkedin.com/in/mister-aa-a4b523251","twitter":null,"phone_number":null,"verification":{"date":"2025-01-14","status":"accept_all"}},{"value":"legal@gadget.dev","type":"generic","confidence":79,"sources":[{"domain":"onelive.com","uri":"http://onelive.com/legal/processors","extracted_on":"2023-11-03","last_seen_on":"2025-01-23","still_on_page":true},{"domain":"gadget.dev","uri":"http://gadget.dev/terms","extracted_on":"2022-09-17","last_seen_on":"2025-01-17","still_on_page":true}],"first_name":null,"last_name":null,"position":null,"position_raw":null,"seniority":null,"department":"legal","linkedin":null,"twitter":null,"phone_number":null,"verification":{"date":null,"status":null}},{"value":"support@gadget.dev","type":"generic","confidence":78,"sources":[{"domain":"gadget.dev","uri":"http://gadget.dev/terms","extracted_on":"2021-12-12","last_seen_on":"2025-01-17","still_on_page":true},{"domain":"350atl.org","uri":"http://350atl.org","extracted_on":"2024-02-04","last_seen_on":"2024-11-04","still_on_page":false},{"domain":"appsrankings.com","uri":"http://appsrankings.com/shopify/superspeed-free-speed-boost","extracted_on":"2023-11-08","last_seen_on":"2024-08-30","still_on_page":false},{"domain":"gadget.dev","uri":"http://gadget.dev/how-it-works","extracted_on":"2023-12-12","last_seen_on":"2024-06-26","still_on_page":false},{"domain":"gadget.dev","uri":"http://gadget.dev","extracted_on":"2023-12-12","last_seen_on":"2024-04-19","still_on_page":false},{"domain":"apps.shopify.com","uri":"http://apps.shopify.com/superspeed-free-speed-boost","extracted_on":"2020-06-22","last_seen_on":"2023-02-10","still_on_page":false},{"domain":"gadget.dev","uri":"http://gadget.dev/privacy","extracted_on":"2021-09-12","last_seen_on":"2021-12-12","still_on_page":false}],"first_name":null,"last_name":null,"position":null,"position_raw":null,"seniority":null,"department":"support","linkedin":null,"twitter":null,"phone_number":null,"verification":{"date":null,"status":null}},{"value":"hello@gadget.dev","type":"generic","confidence":77,"sources":[{"domain":"gadget.dev","uri":"http://gadget.dev/blog/from-queue-to-completion-background-actions-are-now-available-on-all-gadget-projects","extracted_on":"2024-04-19","last_seen_on":"2025-01-17","still_on_page":true}],"first_name":null,"last_name":null,"position":null,"position_raw":null,"seniority":null,"department":"support","linkedin":null,"twitter":null,"phone_number":null,"verification":{"date":null,"status":null}},{"value":"riley@gadget.dev","type":"personal","confidence":67,"sources":[{"domain":"gadget.dev","uri":"http://gadget.dev/blog/building-for-shopify-how-to-improve-your-lcp-score-when-developing-apps-with-gadget","extracted_on":"2024-06-25","last_seen_on":"2024-06-26","still_on_page":false},{"domain":"gadget.dev","uri":"http://gadget.dev/blog/case-study-alleyoop","extracted_on":"2023-12-12","last_seen_on":"2024-06-26","still_on_page":false},{"domain":"gadget.dev","uri":"http://gadget.dev/blog/case-study-potv","extracted_on":"2022-09-24","last_seen_on":"2024-06-26","still_on_page":false},{"domain":"gadget.dev","uri":"http://gadget.dev/blog/one-click-deploys-and-environments","extracted_on":"2024-06-25","last_seen_on":"2024-06-26","still_on_page":false},{"domain":"gadget.dev","uri":"http://gadget.dev/blog/realtime-queries-ggt-add-and-other-quality-of-life-changes","extracted_on":"2024-06-25","last_seen_on":"2024-06-26","still_on_page":false}],"first_name":"Riley","last_name":"Draward","position":"Developer Advocate","position_raw":"Developer Advocate","seniority":null,"department":"it","linkedin":"https://www.linkedin.com/in/riley-draward-4b9a7039","twitter":null,"phone_number":null,"verification":{"date":null,"status":null}},{"value":"jane@gadget.dev","type":"personal","confidence":64,"sources":[{"domain":"gadget.dev","uri":"http://gadget.dev/blog/case-study-media-carry","extracted_on":"2023-12-12","last_seen_on":"2024-06-26","still_on_page":false},{"domain":"gadget.dev","uri":"http://gadget.dev/blog/case-study-meekco-cross-border-expansion","extracted_on":"2023-12-12","last_seen_on":"2024-06-26","still_on_page":false},{"domain":"gadget.dev","uri":"http://gadget.dev/blog/case-study-onelive","extracted_on":"2023-08-17","last_seen_on":"2024-06-26","still_on_page":false},{"domain":"gadget.dev","uri":"http://gadget.dev/blog/powering-your-side-projects-with-gadget","extracted_on":"2023-12-12","last_seen_on":"2024-06-26","still_on_page":false}],"first_name":null,"last_name":null,"position":null,"position_raw":null,"seniority":null,"department":null,"linkedin":null,"twitter":null,"phone_number":null,"verification":{"date":null,"status":null}},{"value":"ralf@gadget.dev","type":"personal","confidence":63,"sources":[{"domain":"gadget.dev","uri":"http://gadget.dev/blog/gadget-projects-are-now-powered-by-node-18","extracted_on":"2023-12-12","last_seen_on":"2024-06-26","still_on_page":false},{"domain":"gadget.dev","uri":"http://gadget.dev/blog/how-to-pass-the-shopify-app-store-review-the-first-time-part-2-the-app-listing","extracted_on":"2023-12-12","last_seen_on":"2024-06-26","still_on_page":false},{"domain":"gadget.dev","uri":"http://gadget.dev/blog/instantly-upgrade-your-shopify-apps-api-version-with-gadget","extracted_on":"2024-06-25","last_seen_on":"2024-06-26","still_on_page":false},{"domain":"gadget.dev","uri":"http://gadget.dev/blog/new-metafield-types-and-shopify-api-resources-now-available","extracted_on":"2024-06-25","last_seen_on":"2024-06-26","still_on_page":false},{"domain":"gadget.dev","uri":"http://gadget.dev/blog/resource-tracking-made-easy-introducing-the-usage-billing-page","extracted_on":"2024-06-25","last_seen_on":"2024-06-26","still_on_page":false}],"first_name":null,"last_name":null,"position":null,"position_raw":null,"seniority":null,"department":null,"linkedin":null,"twitter":null,"phone_number":null,"verification":{"date":null,"status":null}}]</t>
  </si>
  <si>
    <t>Gadget is a development platform designed to rid ecommerce app developers of busywork.</t>
  </si>
  <si>
    <t>gladia.io</t>
  </si>
  <si>
    <t>For you guys that might mean personalized speaker diarization... or custom vocab.</t>
  </si>
  <si>
    <t>Gladia</t>
  </si>
  <si>
    <t>[{"value":"cdacbert@gladia.io","type":"personal","confidence":99,"sources":[{"domain":"linkedin.com","uri":"https://www.google.com/search?q=site:linkedin.com%20constant%20dacbert%20gladia","extracted_on":"2025-01-07","last_seen_on":"2025-01-07","still_on_page":true}],"first_name":"Constant","last_name":"Dacbert","position":"Sales Director","position_raw":"Head of Sales","seniority":null,"department":"sales","linkedin":"https://www.linkedin.com/in/constant-dacbert-b18716109","twitter":null,"phone_number":null,"verification":{"date":"2025-02-03","status":"valid"}},{"value":"jlauglaney@gladia.io","type":"personal","confidence":98,"sources":[{"domain":"linkedin.com","uri":"https://www.google.com/search?q=site:linkedin.com%20jeremy%20lauglaney%20gladia","extracted_on":"2025-01-07","last_seen_on":"2025-01-07","still_on_page":true}],"first_name":"Jeremy","last_name":"Lauglaney","position":"Account Executive","position_raw":"Account Executive at Gladia","seniority":"executive","department":"sales","linkedin":"https://www.linkedin.com/in/jeremy-lauglaney-966581a4","twitter":null,"phone_number":null,"verification":{"date":null,"status":null}},{"value":"contact@gladia.io","type":"generic","confidence":97,"sources":[{"domain":"gladia.io","uri":"http://gladia.io/legal-notice","extracted_on":"2023-11-12","last_seen_on":"2025-01-19","still_on_page":true}],"first_name":null,"last_name":null,"position":null,"position_raw":null,"seniority":null,"department":"support","linkedin":null,"twitter":null,"phone_number":null,"verification":{"date":"2025-02-03","status":"valid"}},{"value":"jlqueguiner@gladia.io","type":"personal","confidence":97,"sources":[{"domain":"companies.whoiswho.eena.org","uri":"http://companies.whoiswho.eena.org/companies/gladia","extracted_on":"2024-05-02","last_seen_on":"2025-02-05","still_on_page":true},{"domain":"gladia.io","uri":"http://gladia.io/privacy-notice","extracted_on":"2023-11-12","last_seen_on":"2025-01-19","still_on_page":true},{"domain":"eena.org","uri":"http://eena.org/knowledge-hub/documents/who-is-who-in-the-public-safety-industry-17-2024-june","extracted_on":"2024-07-23","last_seen_on":"2024-12-17","still_on_page":true}],"first_name":null,"last_name":null,"position":null,"position_raw":null,"seniority":null,"department":null,"linkedin":null,"twitter":null,"phone_number":null,"verification":{"date":"2025-01-29","status":"valid"}},{"value":"security@gladia.io","type":"generic","confidence":96,"sources":[{"domain":"gladia.io","uri":"http://gladia.io/security","extracted_on":"2024-02-25","last_seen_on":"2025-01-19","still_on_page":true}],"first_name":null,"last_name":null,"position":null,"position_raw":null,"seniority":null,"department":"support","linkedin":null,"twitter":null,"phone_number":null,"verification":{"date":null,"status":null}},{"value":"support@gladia.io","type":"generic","confidence":95,"sources":[{"domain":"gladia.io","uri":"http://gladia.io/contact","extracted_on":"2023-11-12","last_seen_on":"2025-01-19","still_on_page":true},{"domain":"gladia.io","uri":"http://gladia.io/legal-notice","extracted_on":"2023-11-12","last_seen_on":"2025-01-19","still_on_page":true},{"domain":"gladia.io","uri":"http://gladia.io/privacy-notice","extracted_on":"2023-11-12","last_seen_on":"2025-01-19","still_on_page":true},{"domain":"gladia.io","uri":"http://gladia.io/security","extracted_on":"2024-02-25","last_seen_on":"2025-01-19","still_on_page":true},{"domain":"gladia.io","uri":"http://gladia.io/general-terms-of-use","extracted_on":"2023-11-12","last_seen_on":"2024-10-19","still_on_page":false}],"first_name":null,"last_name":null,"position":null,"position_raw":null,"seniority":null,"department":"support","linkedin":null,"twitter":null,"phone_number":null,"verification":{"date":"2025-01-03","status":"valid"}},{"value":"sales@gladia.io","type":"generic","confidence":90,"sources":[{"domain":"gladia.io","uri":"http://gladia.io/terms-conditions","extracted_on":"2023-11-12","last_seen_on":"2025-01-19","still_on_page":true}],"first_name":null,"last_name":null,"position":null,"position_raw":null,"seniority":null,"department":"sales","linkedin":null,"twitter":null,"phone_number":null,"verification":{"date":null,"status":null}},{"value":"talent@gladia.io","type":"generic","confidence":89,"sources":[{"domain":"speechpro.io","uri":"http://speechpro.io/post/529","extracted_on":"2022-12-25","last_seen_on":"2024-12-25","still_on_page":true}],"first_name":null,"last_name":null,"position":null,"position_raw":null,"seniority":null,"department":null,"linkedin":null,"twitter":null,"phone_number":null,"verification":{"date":"2025-02-03","status":"valid"}},{"value":"admin@gladia.io","type":"generic","confidence":88,"sources":[{"domain":"gladia.io","uri":"http://gladia.io/privacy-notice","extracted_on":"2023-11-12","last_seen_on":"2025-01-19","still_on_page":true}],"first_name":null,"last_name":null,"position":null,"position_raw":null,"seniority":null,"department":"it","linkedin":null,"twitter":null,"phone_number":null,"verification":{"date":"2025-02-03","status":"valid"}}]</t>
  </si>
  <si>
    <t>Gladia is a multilingual audio intelligence API that leverage enterprise audio data.</t>
  </si>
  <si>
    <t>graphiant.com</t>
  </si>
  <si>
    <t>For you guys that might mean personalized PoPs... or edge policies.</t>
  </si>
  <si>
    <t>Graphiant</t>
  </si>
  <si>
    <t>[{"value":"sanela@graphiant.com","type":"personal","confidence":99,"sources":[{"domain":"linkedin.com","uri":"https://www.google.com/search?q=site:linkedin.com%20sanela%20nasufovic%20graphiant","extracted_on":"2025-01-11","last_seen_on":"2025-01-11","still_on_page":true}],"first_name":"Sanela","last_name":"Nasufovic","position":"Director of Operations","position_raw":"Director Of Operations","seniority":null,"department":"executive","linkedin":"https://www.linkedin.com/in/sanela-nasufovic-b5a86034","twitter":null,"phone_number":null,"verification":{"date":"2025-01-11","status":"valid"}},{"value":"arsalan@graphiant.com","type":"personal","confidence":99,"sources":[{"domain":"linkedin.com","uri":"https://www.google.com/search?q=site:linkedin.com%20arsalan%20khan%20graphiant","extracted_on":"2025-01-09","last_seen_on":"2025-01-09","still_on_page":true}],"first_name":"Arsalan","last_name":"Khan","position":"Director of Service Engineering","position_raw":"Director Service Engineering","seniority":null,"department":"it","linkedin":"https://www.linkedin.com/in/arsalan-khan-b0a6543a","twitter":null,"phone_number":null,"verification":{"date":null,"status":null}},{"value":"mosaddaq@graphiant.com","type":"personal","confidence":99,"sources":[{"domain":"linkedin.com","uri":"https://www.google.com/search?q=site:linkedin.com%20mosaddaq%20turabi%20graphiant","extracted_on":"2025-01-09","last_seen_on":"2025-01-09","still_on_page":true}],"first_name":"Mosaddaq","last_name":"Turabi","position":"Director of Product Architecture","position_raw":"Director of Product Architectures","seniority":null,"department":"management","linkedin":"https://www.linkedin.com/in/mosaddaq-turabi-8a5a694","twitter":null,"phone_number":null,"verification":{"date":"2025-01-09","status":"valid"}},{"value":"pho@graphiant.com","type":"personal","confidence":99,"sources":[{"domain":"linkedin.com","uri":"https://www.google.com/search?q=site:linkedin.com%20paul%20ho%20graphiant","extracted_on":"2025-01-09","last_seen_on":"2025-01-09","still_on_page":true},{"domain":"graphiant.com","uri":"http://graphiant.com/resource/graphiant-technical-white-paper","extracted_on":"2024-09-19","last_seen_on":"2024-09-19","still_on_page":true}],"first_name":"Paul","last_name":"Ho","position":"Sales Engineering Director","position_raw":"SE Director","seniority":null,"department":"sales","linkedin":"https://www.linkedin.com/in/paul-ho-2563902","twitter":null,"phone_number":null,"verification":{"date":"2025-01-09","status":"valid"}},{"value":"lalit@graphiant.com","type":"personal","confidence":98,"sources":[{"domain":"linkedin.com","uri":"https://www.google.com/search?q=site:linkedin.com%20lalit%20kumar%20graphiant","extracted_on":"2025-02-05","last_seen_on":"2025-02-05","still_on_page":true}],"first_name":"Lalit","last_name":"Kumar","position":"Director of Software Engineering","position_raw":"Head of Backend/Director Cloud Software Engineering","seniority":null,"department":"it","linkedin":"https://www.linkedin.com/in/lalit4209","twitter":null,"phone_number":null,"verification":{"date":"2025-01-12","status":"valid"}},{"value":"robert@graphiant.com","type":"personal","confidence":98,"sources":[{"domain":"graphiant.com","uri":"http://graphiant.com/author/mattkrieg/page/2","extracted_on":"2024-09-12","last_seen_on":"2024-09-12","still_on_page":true}],"first_name":"Robert","last_name":"Mccreary","position":null,"position_raw":null,"seniority":null,"department":null,"linkedin":null,"twitter":null,"phone_number":null,"verification":{"date":"2025-02-24","status":"invalid"}},{"value":"archish@graphiant.com","type":"personal","confidence":98,"sources":[{"domain":"linkedin.com","uri":"https://www.google.com/search?q=site:linkedin.com%20archish%20dalal%20graphiant","extracted_on":"2025-01-09","last_seen_on":"2025-01-09","still_on_page":true},{"domain":"graphiant.com","uri":"http://graphiant.com/reimagining-connectivity-bandwidth-modern-business","extracted_on":"2024-09-19","last_seen_on":"2024-09-19","still_on_page":true}],"first_name":"Archish","last_name":"Dalal","position":"Director of Partnerships","position_raw":"Director - Product, Partnerships, Alliances","seniority":null,"department":"management","linkedin":"https://www.linkedin.com/in/archishdalal","twitter":null,"phone_number":null,"verification":{"date":"2025-01-09","status":"valid"}},{"value":"khalid.raza@graphiant.com","type":"personal","confidence":98,"sources":[{"domain":"wwt.com","uri":"http://wwt.com/event/66b4cad4b1dcff1cc311dbfb","extracted_on":"2025-01-25","last_seen_on":"2025-01-25","still_on_page":true},{"domain":"netcraftsmen.com","uri":"http://netcraftsmen.com/naas-network-as-a-service-taxonomy","extracted_on":"2024-05-24","last_seen_on":"2024-12-17","still_on_page":true},{"domain":"onug.net","uri":"http://onug.net/events/naas-the-evolution-from-private-routed-wans-to-the-network-is-the-cloud","extracted_on":"2024-10-22","last_seen_on":"2024-10-22","still_on_page":true},{"domain":"forgeglobal.com","uri":"http://forgeglobal.com/graphiant_stock","extracted_on":"2024-10-16","last_seen_on":"2024-10-16","still_on_page":true},{"domain":"edgeir.com","uri":"http://edgeir.com/edge-computing-shows-centralized-model-of-networking-is-broken-how-to-fix-it-20220822","extracted_on":"2024-10-07","last_seen_on":"2024-10-07","still_on_page":true},{"domain":"edgeir.com","uri":"http://edgeir.com/eating-the-internet-the-rise-of-edge-computing-and-a-new-business-network-20230116","extracted_on":"2024-10-07","last_seen_on":"2024-10-07","still_on_page":true},{"domain":"founderlodge.com","uri":"http://founderlodge.com/latest-news/graphiant-secures-62-million-in-series-b-funding-to-accelerate-growth-and-expansion-of-next-generation-edge-services","extracted_on":"2024-09-24","last_seen_on":"2024-09-24","still_on_page":true},{"domain":"itmagazine.com","uri":"http://itmagazine.com/2024/03/12/how-remote-work-continues-to-propel-network-innovation","extracted_on":"2024-09-14","last_seen_on":"2024-09-14","still_on_page":true},{"domain":"graphiant.com","uri":"http://graphiant.com/graphiant-named-finalist-in-light-readings-leading-lights-awards-for-outstanding-use-case-in-networked-edge","extracted_on":"2024-08-17","last_seen_on":"2024-08-17","still_on_page":true},{"domain":"nemertes.com","uri":"http://nemertes.com/hs34-introducing-graphiant-stateless-cloud-wan","extracted_on":"2024-07-25","last_seen_on":"2024-07-25","still_on_page":true},{"domain":"networkworld.com","uri":"http://networkworld.com/article/1312757/remote-work-continues-to-drive-network-innovation.html","extracted_on":"2024-06-25","last_seen_on":"2024-06-25","still_on_page":true},{"domain":"networkdemand.net","uri":"http://networkdemand.net/news/it-infra-news/networking-news/graphiant-introduces-substitute-for-mpls-and-sdwan","extracted_on":"2024-05-30","last_seen_on":"2024-05-30","still_on_page":true},{"domain":"blog.telegeography.com","uri":"http://blog.telegeography.com/podcast-season-4-recap-part-5","extracted_on":"2024-03-20","last_seen_on":"2024-03-20","still_on_page":true},{"domain":"graphiant.com","uri":"http://graphiant.com","extracted_on":"2024-02-28","last_seen_on":"2024-02-28","still_on_page":true},{"domain":"dev.futuriom.com","uri":"http://dev.futuriom.com/p9","extracted_on":"2024-03-16","last_seen_on":"2024-03-16","still_on_page":false}],"first_name":"Khalid","last_name":"Raza","position":"CEO","position_raw":"CEO","seniority":"executive","department":"executive","linkedin":null,"twitter":null,"phone_number":null,"verification":{"date":"2025-02-21","status":"valid"}},{"value":"stephanie@graphiant.com","type":"personal","confidence":97,"sources":[{"domain":"linkedin.com","uri":"https://www.google.com/search?q=site:linkedin.com%20stephanie%20anderson%20graphiant","extracted_on":"2025-01-09","last_seen_on":"2025-01-09","still_on_page":true}],"first_name":"Stephanie","last_name":"Anderson","position":"Director of Revenue Operations","position_raw":"Director of Revenue Operations","seniority":null,"department":"management","linkedin":"https://www.linkedin.com/in/stephanie-anderson-0ab59068","twitter":null,"phone_number":null,"verification":{"date":"2025-02-16","status":"valid"}},{"value":"kristen@graphiant.com","type":"personal","confidence":97,"sources":[{"domain":"linkedin.com","uri":"https://www.google.com/search?q=site:linkedin.com%20kristen%20gee%20graphiant","extracted_on":"2025-01-17","last_seen_on":"2025-01-17","still_on_page":true},{"domain":"graphiant.com","uri":"http://graphiant.com/about-us","extracted_on":"2024-09-19","last_seen_on":"2024-09-19","still_on_page":true}],"first_name":"Kristen","last_name":"Gee","position":"Product Manager","position_raw":"Product Manager","seniority":"senior","department":"management","linkedin":"https://www.linkedin.com/in/kristen-gee-1585b9b2","twitter":null,"phone_number":null,"verification":{"date":"2024-12-28","status":"valid"}}]</t>
  </si>
  <si>
    <t>Graphiant is creating a new model for connectivity in a rapidly changing world.</t>
  </si>
  <si>
    <t>Bill Coughran</t>
  </si>
  <si>
    <t>guided.energy</t>
  </si>
  <si>
    <t>For you guys that might mean personalized charger options... or reimbursement policies.</t>
  </si>
  <si>
    <t>Guided Energy</t>
  </si>
  <si>
    <t>[{"value":"anant@guided.energy","type":"personal","confidence":99,"sources":[{"domain":"linkedin.com","uri":"https://www.google.com/search?q=site:linkedin.com%20anant%20kapoor%20guided","extracted_on":"2025-02-18","last_seen_on":"2025-02-18","still_on_page":true},{"domain":"slush.org","uri":"http://slush.org/speakers/anant-kapoor-co-founder-ceo-guided-energy","extracted_on":"2025-01-07","last_seen_on":"2025-01-07","still_on_page":true},{"domain":"evmagazine.com","uri":"http://evmagazine.com/fleet-and-commercial/guided-energys-ai-platform-transforms-electric-fleets","extracted_on":"2024-03-08","last_seen_on":"2024-12-18","still_on_page":true},{"domain":"telematicswire.net","uri":"http://telematicswire.net/guided-energy-raises-5-2m-for-ev-fleet-automation","extracted_on":"2024-02-21","last_seen_on":"2024-05-21","still_on_page":true}],"first_name":"Anant","last_name":"Kapoor","position":"Co-Founder","position_raw":"Co-Founder | Accelerating fleet electrification","seniority":"executive","department":"executive","linkedin":"https://www.linkedin.com/in/anantk147","twitter":null,"phone_number":null,"verification":{"date":null,"status":null}},{"value":"eric@guided.energy","type":"personal","confidence":98,"sources":[{"domain":"linkedin.com","uri":"https://www.google.com/search?q=site:linkedin.com%20eric%20daoud%20guided","extracted_on":"2025-01-07","last_seen_on":"2025-01-07","still_on_page":true}],"first_name":"Eric","last_name":"Daoud","position":"Chief Technology Officer","position_raw":"Co-Founder, CTO","seniority":"executive","department":"it","linkedin":"https://www.linkedin.com/in/ericdaoud","twitter":null,"phone_number":null,"verification":{"date":"2025-01-07","status":"valid"}},{"value":"carl@guided.energy","type":"personal","confidence":97,"sources":[{"domain":"linkedin.com","uri":"https://www.google.com/search?q=site:linkedin.com%20carl%20graup%20guided","extracted_on":"2025-01-07","last_seen_on":"2025-01-07","still_on_page":true}],"first_name":"Carl","last_name":"Graup","position":"Founder Associate","position_raw":"Founder's Associate","seniority":"executive","department":"executive","linkedin":"https://www.linkedin.com/in/carl-graup-a1ab7322b","twitter":null,"phone_number":null,"verification":{"date":"2025-01-07","status":"valid"}}]</t>
  </si>
  <si>
    <t>Guided is an AI fleet and energy management platform to power renewable, electric fleets.</t>
  </si>
  <si>
    <t>Bryan Schreier</t>
  </si>
  <si>
    <t>AI/ML; Climate Tech</t>
  </si>
  <si>
    <t>jitx.com</t>
  </si>
  <si>
    <t>For you guys that might mean personalized BOMs... or component selection.</t>
  </si>
  <si>
    <t>JITX</t>
  </si>
  <si>
    <t>[{"value":"a.parakh@jitx.com","type":"personal","confidence":99,"sources":[{"domain":"jitx.com","uri":"http://jitx.com/about","extracted_on":"2024-11-15","last_seen_on":"2024-11-15","still_on_page":true}],"first_name":"Aashna","last_name":"Parakh","position":"Software Engineer","position_raw":"Software Engineer","seniority":null,"department":"it","linkedin":"https://www.linkedin.com/in/aashna-parakh-85aa7312a","twitter":null,"phone_number":null,"verification":{"date":null,"status":null}},{"value":"k.chang@jitx.com","type":"personal","confidence":99,"sources":[{"domain":"jitx.com","uri":"http://jitx.com/about","extracted_on":"2024-11-15","last_seen_on":"2024-11-15","still_on_page":true}],"first_name":"Kenneth","last_name":"Chang","position":null,"position_raw":null,"seniority":null,"department":null,"linkedin":"https://www.linkedin.com/in/kennethchang","twitter":null,"phone_number":null,"verification":{"date":"2025-01-24","status":"valid"}},{"value":"c.allendorph@jitx.com","type":"personal","confidence":98,"sources":[{"domain":"jitx.com","uri":"http://jitx.com/about","extracted_on":"2024-11-15","last_seen_on":"2024-11-15","still_on_page":true}],"first_name":"Carl","last_name":"Allendorph","position":"Senior Application Engineer","position_raw":"Senior Application Engineer","seniority":"senior","department":"it","linkedin":"https://www.linkedin.com/in/carl-allendorph-54a2851b","twitter":null,"phone_number":null,"verification":{"date":"2024-12-28","status":"valid"}},{"value":"j.bachrach@jitx.com","type":"personal","confidence":98,"sources":[{"domain":"allaboutcircuits.com","uri":"http://allaboutcircuits.com/podcast/jitx-aims-provide-superpowers-circuit-design-engineers","extracted_on":"2024-02-19","last_seen_on":"2024-05-19","still_on_page":true}],"first_name":"Jonathan","last_name":"Bachrach","position":null,"position_raw":null,"seniority":null,"department":null,"linkedin":null,"twitter":null,"phone_number":null,"verification":{"date":"2025-01-04","status":"valid"}},{"value":"b.gupta@jitx.com","type":"personal","confidence":97,"sources":[{"domain":"jitx.com","uri":"http://jitx.com/about","extracted_on":"2024-11-15","last_seen_on":"2024-11-15","still_on_page":true}],"first_name":"Bhusan","last_name":"Gupta","position":"Hardware Architect","position_raw":"Hardware Architect","seniority":null,"department":null,"linkedin":"https://www.linkedin.com/in/bhusangupta","twitter":null,"phone_number":null,"verification":{"date":null,"status":null}},{"value":"d.haldane@jitx.com","type":"personal","confidence":97,"sources":[{"domain":"linkedin.com","uri":"https://www.google.com/search?q=site:linkedin.com%20duncan%20haldane%20jitx","extracted_on":"2025-01-07","last_seen_on":"2025-01-07","still_on_page":true},{"domain":"techfocus.podbean.com","uri":"http://techfocus.podbean.com/page/2","extracted_on":"2025-01-27","last_seen_on":"2025-01-27","still_on_page":true},{"domain":"jitx.com","uri":"http://jitx.com/about","extracted_on":"2024-11-15","last_seen_on":"2024-11-15","still_on_page":true},{"domain":"eejournal.com","uri":"http://eejournal.com/fish_fry/one-eda-tool-one-giant-leap-for-hardware-how-jitx-is-reshaping-circuit-board-design","extracted_on":"2024-10-01","last_seen_on":"2024-10-01","still_on_page":true},{"domain":"ailifetips.com","uri":"http://ailifetips.com/ai-pcb-design-tool","extracted_on":"2024-07-19","last_seen_on":"2024-07-19","still_on_page":true},{"domain":"podcast.altium.com","uri":"http://podcast.altium.com/page/4","extracted_on":"2024-06-07","last_seen_on":"2024-06-07","still_on_page":true}],"first_name":"Duncan","last_name":"Haldane","position":"CEO","position_raw":"Co-founder/CEO","seniority":"executive","department":"executive","linkedin":"https://www.linkedin.com/in/duncan-haldane","twitter":null,"phone_number":null,"verification":{"date":"2025-02-09","status":"valid"}},{"value":"p.li@jitx.com","type":"personal","confidence":96,"sources":[{"domain":"linkedin.com","uri":"https://www.google.com/search?q=site:linkedin.com%20patrick%20li%20jitx","extracted_on":"2025-01-07","last_seen_on":"2025-01-07","still_on_page":true},{"domain":"jitx.com","uri":"http://jitx.com/about","extracted_on":"2024-11-15","last_seen_on":"2024-11-15","still_on_page":true}],"first_name":"Patrick","last_name":"Li","position":"Chief Technology Officer","position_raw":"Co-founder/CTO","seniority":"executive","department":"it","linkedin":"https://www.linkedin.com/in/patrick-li-623186bb","twitter":null,"phone_number":null,"verification":{"date":"2025-02-17","status":"valid"}},{"value":"e.lau@jitx.com","type":"personal","confidence":95,"sources":[{"domain":"jitx.com","uri":"http://jitx.com/about","extracted_on":"2024-11-15","last_seen_on":"2024-11-15","still_on_page":true}],"first_name":"Erwin","last_name":"Lau","position":"Senior Software Engineer","position_raw":"Senior Software Engineer","seniority":"senior","department":"it","linkedin":"https://www.linkedin.com/in/erwin-lau-smart-kiddo","twitter":null,"phone_number":null,"verification":{"date":"2025-01-13","status":"valid"}},{"value":"j.watson@jitx.com","type":"personal","confidence":94,"sources":[{"domain":"jitx.com","uri":"http://jitx.com/about","extracted_on":"2024-11-15","last_seen_on":"2024-11-15","still_on_page":true}],"first_name":"Jason","last_name":"Watson","position":"Senior Software Engineer","position_raw":"Sr. Software Engineer","seniority":"senior","department":"it","linkedin":"https://www.linkedin.com/in/jwatson0","twitter":null,"phone_number":null,"verification":{"date":"2025-02-24","status":"valid"}},{"value":"a.zhu@jitx.com","type":"personal","confidence":93,"sources":[{"domain":"jitx.com","uri":"http://jitx.com/about","extracted_on":"2024-11-15","last_seen_on":"2024-11-15","still_on_page":true}],"first_name":"Alan","last_name":"Zhu","position":"Senior Software Engineer","position_raw":"Senior Software Engineer","seniority":"senior","department":"it","linkedin":"https://www.linkedin.com/in/axzhu","twitter":null,"phone_number":null,"verification":{"date":"2025-02-21","status":"invalid"}}]</t>
  </si>
  <si>
    <t>JITX lets electrical engineers write code to design circuit boards.</t>
  </si>
  <si>
    <t>ledgy.com</t>
  </si>
  <si>
    <t>For you guys that might mean personalized grants... or vesting schedules.</t>
  </si>
  <si>
    <t>Ledgy</t>
  </si>
  <si>
    <t>[{"value":"thorhildur@ledgy.com","type":"personal","confidence":99,"sources":[{"domain":"ledgy.com","uri":"http://ledgy.com/careers","extracted_on":"2024-10-02","last_seen_on":"2024-10-02","still_on_page":true}],"first_name":"Thórhildur","last_name":"Thorleiksdóttir","position":null,"position_raw":null,"seniority":null,"department":null,"linkedin":"https://www.linkedin.com/in/thorhildur-thorleiks","twitter":null,"phone_number":null,"verification":{"date":null,"status":null}},{"value":"gregory.hartley@ledgy.com","type":"personal","confidence":99,"sources":[{"domain":"linkedin.com","uri":"https://www.google.com/search?q=site:linkedin.com%20gregory%20hartley%20ledgy","extracted_on":"2025-02-24","last_seen_on":"2025-02-24","still_on_page":true},{"domain":"ledgy.com","uri":"http://ledgy.com/careers","extracted_on":"2024-10-02","last_seen_on":"2024-10-02","still_on_page":true}],"first_name":"Gregory","last_name":"Hartley","position":null,"position_raw":"Senior Account Executive","seniority":null,"department":null,"linkedin":"https://www.linkedin.com/in/gregoryhartley","twitter":null,"phone_number":null,"verification":{"date":"2025-02-24","status":"valid"}},{"value":"daniel@ledgy.com","type":"personal","confidence":99,"sources":[{"domain":"ledgy.com","uri":"http://ledgy.com/careers","extracted_on":"2024-10-02","last_seen_on":"2024-10-02","still_on_page":true}],"first_name":"Daniel","last_name":"Almasi","position":"Senior Software Engineer","position_raw":"Senior Software Engineer","seniority":"senior","department":"it","linkedin":"https://www.linkedin.com/in/danielmarkalmasi","twitter":null,"phone_number":null,"verification":{"date":null,"status":null}},{"value":"armon@ledgy.com","type":"personal","confidence":99,"sources":[{"domain":"ledgy.com","uri":"http://ledgy.com/about-us","extracted_on":"2024-10-02","last_seen_on":"2024-10-02","still_on_page":true}],"first_name":"Armon","last_name":"Bättig","position":"Enterprise Sales Manager","position_raw":"Building Enterprise Sales","seniority":"senior","department":"sales","linkedin":"https://www.linkedin.com/in/armon-baettig","twitter":null,"phone_number":null,"verification":{"date":null,"status":null}},{"value":"yoko@ledgy.com","type":"personal","confidence":99,"sources":[{"domain":"ledgy.com","uri":"http://ledgy.com/blog/yoko-public-markets","extracted_on":"2024-07-22","last_seen_on":"2025-01-09","still_on_page":true},{"domain":"linkedin.com","uri":"https://www.google.com/search?q=site:linkedin.com%20yoko%20spirig%20ledgy","extracted_on":"2025-01-07","last_seen_on":"2025-01-07","still_on_page":true},{"domain":"ledgy.com","uri":"http://ledgy.com/about-us","extracted_on":"2024-10-02","last_seen_on":"2024-10-02","still_on_page":true}],"first_name":"Yoko","last_name":"Spirig","position":"Co-Founder","position_raw":"Co-Founder","seniority":null,"department":"executive","linkedin":"https://www.linkedin.com/in/yoko-spirig-b128ba257","twitter":null,"phone_number":null,"verification":{"date":"2025-01-21","status":"valid"}},{"value":"stefanie@ledgy.com","type":"personal","confidence":98,"sources":[{"domain":"linkedin.com","uri":"https://www.google.com/search?q=site:linkedin.com%20stefanie%20lynch%20ledgy","extracted_on":"2025-01-07","last_seen_on":"2025-01-07","still_on_page":true}],"first_name":"Stefanie","last_name":"Lynch","position":"Head of Product","position_raw":"Head of Product","seniority":"executive","department":"management","linkedin":"https://www.linkedin.com/in/stefanie-lynch-9a25a779","twitter":null,"phone_number":null,"verification":{"date":"2025-01-07","status":"valid"}},{"value":"jules@ledgy.com","type":"personal","confidence":98,"sources":[{"domain":"ledgy.com","uri":"http://ledgy.com/careers","extracted_on":"2024-10-02","last_seen_on":"2024-10-02","still_on_page":true}],"first_name":"Jules","last_name":"Henze","position":"Software Engineer","position_raw":"Software Engineer","seniority":null,"department":"it","linkedin":"https://www.linkedin.com/in/jules-henze-1258b4115","twitter":null,"phone_number":null,"verification":{"date":null,"status":null}},{"value":"valerie@ledgy.com","type":"personal","confidence":98,"sources":[{"domain":"linkedin.com","uri":"https://www.google.com/search?q=site:linkedin.com%20valerie%20baia%20ledgy","extracted_on":"2025-01-07","last_seen_on":"2025-01-07","still_on_page":true},{"domain":"ledgy.com","uri":"http://ledgy.com/careers","extracted_on":"2024-10-02","last_seen_on":"2024-10-02","still_on_page":true}],"first_name":"Valerie","last_name":"Baia","position":"Account Executive","position_raw":"Enterprise Account Executive and Regional Manager DACH &amp; UKI","seniority":"executive","department":"sales","linkedin":"https://www.linkedin.com/in/valerie-baia-28942827","twitter":null,"phone_number":null,"verification":{"date":"2025-02-20","status":"valid"}},{"value":"svein@ledgy.com","type":"personal","confidence":98,"sources":[{"domain":"linkedin.com","uri":"https://www.google.com/search?q=site:linkedin.com%20svein%20undheim%20ledgy","extracted_on":"2025-01-07","last_seen_on":"2025-01-07","still_on_page":true},{"domain":"ledgy.com","uri":"http://ledgy.com/about-us","extracted_on":"2024-10-02","last_seen_on":"2024-10-02","still_on_page":true}],"first_name":"Svein","last_name":"Undheim","position":"Director of Financial Reporting","position_raw":"Head of Financial Reporting","seniority":null,"department":"finance","linkedin":"https://www.linkedin.com/in/sveinpetterundheim","twitter":null,"phone_number":null,"verification":{"date":"2025-01-07","status":"valid"}},{"value":"timo@ledgy.com","type":"personal","confidence":98,"sources":[{"domain":"dev.to","uri":"http://dev.to/thepracticaldev/who-is-hiring-as-of-february-2019-1hcf","extracted_on":"2021-07-18","last_seen_on":"2025-01-20","still_on_page":true},{"domain":"linkedin.com","uri":"https://www.google.com/search?q=site:linkedin.com%20timo%20horstschaefer%20ledgy","extracted_on":"2025-01-07","last_seen_on":"2025-01-07","still_on_page":true},{"domain":"swiss-startups.ch","uri":"http://swiss-startups.ch/gruender","extracted_on":"2022-05-24","last_seen_on":"2024-12-13","still_on_page":true},{"domain":"swiss-startups.ch","uri":"http://swiss-startups.ch/tag/timo-horstschaefer","extracted_on":"2022-02-17","last_seen_on":"2024-12-11","still_on_page":true},{"domain":"swiss-startups.ch","uri":"http://swiss-startups.ch/timo-horstschaefer-von-ledgy","extracted_on":"2022-05-24","last_seen_on":"2024-12-09","still_on_page":true},{"domain":"swiss-startups.ch","uri":"http://swiss-startups.ch/tag/ledgy","extracted_on":"2021-08-01","last_seen_on":"2024-12-08","still_on_page":true},{"domain":"swiss-startups.ch","uri":"http://swiss-startups.ch/category/gruender/page/3","extracted_on":"2022-05-24","last_seen_on":"2023-12-08","still_on_page":false},{"domain":"ledgy.com","uri":"http://ledgy.com/de/blog/blockchain-notary","extracted_on":"2020-02-07","last_seen_on":"2021-06-13","still_on_page":false},{"domain":"ledgy.com","uri":"http://ledgy.com/fr/about-us","extracted_on":"2020-03-08","last_seen_on":"2021-04-22","still_on_page":false},{"domain":"ledgy.com","uri":"http://ledgy.com/about-us","extracted_on":"2020-03-03","last_seen_on":"2021-04-09","still_on_page":false},{"domain":"ledgy.com","uri":"http://ledgy.com/en/blog/verifying-documents-on-the-blockchain","extracted_on":"2021-01-25","last_seen_on":"2021-01-25","still_on_page":false},{"domain":"ledgy.com","uri":"http://ledgy.com/en/blog/blockchain-notary","extracted_on":"2020-07-18","last_seen_on":"2021-01-19","still_on_page":false}],"first_name":"Timo","last_name":"Horstschaefer","position":"Chief Technology Officer","position_raw":"CTO &amp; Co-founder","seniority":"executive","department":"it","linkedin":"https://www.linkedin.com/in/timohorstschaefer","twitter":null,"phone_number":null,"verification":{"date":"2025-01-10","status":"valid"}}]</t>
  </si>
  <si>
    <t>Ledgy’s platform gives companies, employees and investors insight into equity ownership.</t>
  </si>
  <si>
    <t>Luciana Lixandru</t>
  </si>
  <si>
    <t>FinTech</t>
  </si>
  <si>
    <t>mindy.com</t>
  </si>
  <si>
    <t>For you guys that might mean personalized CRM fields or integrations.</t>
  </si>
  <si>
    <t>Mindy</t>
  </si>
  <si>
    <t>[{"value":"pranav@mindy.com","type":"personal","confidence":99,"sources":[{"domain":"linkedin.com","uri":"https://www.google.com/search?q=site:linkedin.com%20pranav%20mulgund%20mindy","extracted_on":"2025-01-03","last_seen_on":"2025-01-03","still_on_page":true}],"first_name":"Pranav","last_name":"Mulgund","position":"Head of Product","position_raw":"Head of Product","seniority":"executive","department":"management","linkedin":"https://www.linkedin.com/in/pranavmulgund","twitter":null,"phone_number":null,"verification":{"date":null,"status":null}},{"value":"cdo@mindy.com","type":"personal","confidence":98,"sources":[{"domain":"linkedin.com","uri":"https://www.google.com/search?q=site:linkedin.com%20cuong%20do%20mindy","extracted_on":"2025-01-07","last_seen_on":"2025-01-07","still_on_page":true}],"first_name":"Cuong","last_name":"Do","position":"Co-Founder","position_raw":"Co-Founder","seniority":null,"department":"executive","linkedin":"https://www.linkedin.com/in/cuong-do-5331","twitter":null,"phone_number":null,"verification":{"date":"2025-01-01","status":"valid"}},{"value":"naveen@mindy.com","type":"personal","confidence":97,"sources":[{"domain":"linkedin.com","uri":"https://www.google.com/search?q=site:linkedin.com%20naveen%20kashyap%20mindy","extracted_on":"2025-01-03","last_seen_on":"2025-01-03","still_on_page":true}],"first_name":"Naveen","last_name":"Kashyap","position":null,"position_raw":null,"seniority":null,"department":null,"linkedin":"https://www.linkedin.com/in/itsnaveenkashyap","twitter":null,"phone_number":null,"verification":{"date":null,"status":null}},{"value":"jeff@mindy.com","type":"personal","confidence":96,"sources":[{"domain":"linkedin.com","uri":"https://www.google.com/search?q=site:linkedin.com%20jeff%20gibson%20mindy","extracted_on":"2025-01-03","last_seen_on":"2025-01-03","still_on_page":true}],"first_name":"Jeff","last_name":"Gibson","position":"Founding Engineer","position_raw":"Founding Engineer","seniority":null,"department":"it","linkedin":"https://www.linkedin.com/in/jeff-gibson-89a131292","twitter":null,"phone_number":null,"verification":{"date":null,"status":null}},{"value":"support@mindy.com","type":"generic","confidence":95,"sources":[{"domain":"mindy.com","uri":"http://mindy.com/privacy","extracted_on":"2024-01-21","last_seen_on":"2024-12-28","still_on_page":true},{"domain":"mindy.com","uri":"http://mindy.com/tos","extracted_on":"2024-01-21","last_seen_on":"2024-12-28","still_on_page":true}],"first_name":null,"last_name":null,"position":null,"position_raw":null,"seniority":null,"department":"support","linkedin":null,"twitter":null,"phone_number":null,"verification":{"date":null,"status":null}},{"value":"dmca@mindy.com","type":"generic","confidence":75,"sources":[{"domain":"mindy.com","uri":"http://mindy.com/tos","extracted_on":"2024-01-21","last_seen_on":"2024-12-28","still_on_page":true}],"first_name":null,"last_name":null,"position":null,"position_raw":null,"seniority":null,"department":"legal","linkedin":null,"twitter":null,"phone_number":null,"verification":{"date":null,"status":null}}]</t>
  </si>
  <si>
    <t>Mindy is an email-first chief-of-staff that can help with everything from complex research to shopping to organizing your meetings.</t>
  </si>
  <si>
    <t>Roelof Botha</t>
  </si>
  <si>
    <t>AI/ML; Consumer</t>
  </si>
  <si>
    <t>n8n.io</t>
  </si>
  <si>
    <t>For you guys that might mean personalized integrations or node configurations.</t>
  </si>
  <si>
    <t>n8n</t>
  </si>
  <si>
    <t>[{"value":"bart@n8n.io","type":"personal","confidence":99,"sources":[{"domain":"n8n.io","uri":"http://n8n.io/integrations/code","extracted_on":"2024-12-17","last_seen_on":"2025-01-08","still_on_page":true},{"domain":"n8n.io","uri":"http://n8n.io/integrations/gmail","extracted_on":"2024-08-16","last_seen_on":"2025-01-08","still_on_page":true},{"domain":"n8n.io","uri":"http://n8n.io/integrations/if","extracted_on":"2024-08-16","last_seen_on":"2025-01-08","still_on_page":true},{"domain":"n8n.io","uri":"http://n8n.io/integrations/sticky-note","extracted_on":"2024-08-16","last_seen_on":"2025-01-08","still_on_page":true},{"domain":"n8n.io","uri":"http://n8n.io/workflows/2312-attach-a-default-error-handler-to-all-active-workflows","extracted_on":"2024-08-16","last_seen_on":"2024-12-19","still_on_page":true},{"domain":"community.n8n.io","uri":"http://community.n8n.io/t/amsterdam-pizza-meetup-thursday-november-14/60203","extracted_on":"2024-11-30","last_seen_on":"2024-11-30","still_on_page":true}],"first_name":"Bart","last_name":"Veldhuizen","position":"Community Manager","position_raw":"Senior Community Manager","seniority":"senior","department":"management","linkedin":"https://www.linkedin.com/in/bartveldhuizen","twitter":null,"phone_number":null,"verification":{"date":"2025-01-29","status":"valid"}},{"value":"milorad@n8n.io","type":"personal","confidence":99,"sources":[{"domain":"n8n.io","uri":"http://n8n.io/workflows/1993-suspicious-login-detection","extracted_on":"2024-06-26","last_seen_on":"2024-12-22","still_on_page":true},{"domain":"n8n.io","uri":"http://n8n.io/workflows","extracted_on":"2024-09-17","last_seen_on":"2024-09-17","still_on_page":true}],"first_name":"Milorad","last_name":"Filipović","position":"Senior Frontend Engineer","position_raw":"Senior Frontend Engineer","seniority":"senior","department":"it","linkedin":"https://www.linkedin.com/in/milorad-filipovi%c4%87-47188882","twitter":null,"phone_number":null,"verification":{"date":null,"status":null}},{"value":"oleg@n8n.io","type":"personal","confidence":99,"sources":[{"domain":"community.n8n.io","uri":"http://community.n8n.io/t/how-to-access-full-chat-transcript-when-using-n8n-chat-package/33528","extracted_on":"2024-01-11","last_seen_on":"2025-01-16","still_on_page":true},{"domain":"n8n.io","uri":"http://n8n.io/workflows/1956-ai-summarize-podcast-episode-and-enhance-using-wikipedia","extracted_on":"2024-09-18","last_seen_on":"2024-12-21","still_on_page":true},{"domain":"n8n.io","uri":"http://n8n.io/integrations/html","extracted_on":"2024-09-17","last_seen_on":"2024-09-17","still_on_page":true},{"domain":"n8n.io","uri":"http://n8n.io/integrations/webhook","extracted_on":"2024-09-17","last_seen_on":"2024-09-17","still_on_page":true}],"first_name":"Oleg","last_name":"Ivaniv","position":"Senior Frontend Engineer","position_raw":"Senior Frontend Engineer","seniority":"senior","department":"it","linkedin":"https://www.linkedin.com/in/oleg-ivaniv-604bb285","twitter":null,"phone_number":null,"verification":{"date":"2025-01-08","status":"valid"}},{"value":"niklas@n8n.io","type":"personal","confidence":99,"sources":[{"domain":"n8n.io","uri":"http://n8n.io/workflows/2106-reach-out-via-email-to-new-form-submissions-that-meet-a-certain-criteria","extracted_on":"2024-06-25","last_seen_on":"2025-01-08","still_on_page":true},{"domain":"n8n.io","uri":"http://n8n.io/workflows/2116-verify-emails-and-enrich-new-form-leads-and-save-them-to-hubspot","extracted_on":"2024-06-25","last_seen_on":"2025-01-08","still_on_page":true},{"domain":"n8n.io","uri":"http://n8n.io/workflows/2393-save-n8n-cloud-invoices-received-in-gmail-in-google-drive","extracted_on":"2024-09-17","last_seen_on":"2024-12-19","still_on_page":true},{"domain":"community.n8n.io","uri":"http://community.n8n.io/t/cant-send-email-with-multiple-attachments/22736","extracted_on":"2023-07-13","last_seen_on":"2024-11-30","still_on_page":true},{"domain":"n8n.io","uri":"http://n8n.io/workflows","extracted_on":"2024-09-17","last_seen_on":"2024-09-17","still_on_page":true},{"domain":"community.n8n.io","uri":"http://community.n8n.io/t/cant-send-email-with-multiple-attachments/22736/9","extracted_on":"2023-10-13","last_seen_on":"2024-01-14","still_on_page":false}],"first_name":"Niklas","last_name":"Hatje","position":"Senior Product Manager","position_raw":"Senior Produktmanager","seniority":"senior","department":"management","linkedin":"https://www.linkedin.com/in/niklashatje","twitter":null,"phone_number":null,"verification":{"date":"2025-01-20","status":"valid"}},{"value":"david@n8n.io","type":"personal","confidence":99,"sources":[{"domain":"community.n8n.io","uri":"http://community.n8n.io/t/how-can-i-get-the-most-recent-google-calendar-events-when-using-the-get-many-option-without-getting-every-single-event-throughout-history/23130","extracted_on":"2023-07-13","last_seen_on":"2025-01-20","still_on_page":true},{"domain":"linkedin.com","uri":"https://www.google.com/search?q=site:linkedin.com%20david%20roberts%20n8n","extracted_on":"2025-01-07","last_seen_on":"2025-01-07","still_on_page":true},{"domain":"n8n.io","uri":"http://n8n.io/press","extracted_on":"2024-09-17","last_seen_on":"2024-09-17","still_on_page":true},{"domain":"n8n.io","uri":"http://n8n.io/workflows","extracted_on":"2024-09-17","last_seen_on":"2024-09-17","still_on_page":true}],"first_name":"David","last_name":"Roberts","position":"Head of Product","position_raw":"Head of Product","seniority":"executive","department":"management","linkedin":"https://www.linkedin.com/in/david-roberts-52b11922","twitter":null,"phone_number":null,"verification":{"date":"2025-02-08","status":"valid"}},{"value":"emilio@n8n.io","type":"personal","confidence":98,"sources":[{"domain":"linkedin.com","uri":"https://www.google.com/search?q=site:linkedin.com%20emilio%20turco%20n8n","extracted_on":"2025-01-07","last_seen_on":"2025-01-07","still_on_page":true}],"first_name":"Emilio","last_name":"Turco","position":"Senior Account Executive","position_raw":"Senior Account Executive | AMER EMEA &amp; ASIA","seniority":"executive","department":"sales","linkedin":"https://www.linkedin.com/in/emilio-turco-26b230a5","twitter":null,"phone_number":null,"verification":{"date":"2024-12-30","status":"valid"}},{"value":"marcus@n8n.io","type":"personal","confidence":98,"sources":[{"domain":"linkedin.com","uri":"https://www.google.com/search?q=site:linkedin.com%20marcus%20specht%20n8n","extracted_on":"2025-01-07","last_seen_on":"2025-01-07","still_on_page":true}],"first_name":"Marcus","last_name":"Specht","position":"Partner Engineer","position_raw":"Partner Engineer","seniority":null,"department":"it","linkedin":"https://www.linkedin.com/in/marcus-specht-83ab9a17","twitter":null,"phone_number":null,"verification":{"date":"2025-02-08","status":"valid"}},{"value":"candice@n8n.io","type":"personal","confidence":98,"sources":[{"domain":"n8n.io","uri":"http://n8n.io/workflows/2145-when-specific-event-created-in-google-calendar-duplicate-and-rename-google-file","extracted_on":"2024-09-17","last_seen_on":"2024-12-18","still_on_page":true},{"domain":"n8n.io","uri":"http://n8n.io/integrations/google-drive","extracted_on":"2024-09-17","last_seen_on":"2024-09-17","still_on_page":true}],"first_name":"Candice","last_name":"Capelle","position":null,"position_raw":null,"seniority":null,"department":null,"linkedin":"https://www.linkedin.com/in/candicecapelle","twitter":null,"phone_number":null,"verification":{"date":"2025-02-08","status":"valid"}},{"value":"giulio@n8n.io","type":"personal","confidence":98,"sources":[{"domain":"n8n.io","uri":"http://n8n.io/workflows/1931-report-number-of-weekly-created-records-in-an-app","extracted_on":"2023-08-08","last_seen_on":"2025-02-10","still_on_page":true}],"first_name":"Giulio","last_name":"Andreini","position":"Product Design Lead","position_raw":"Product Design Lead","seniority":"senior","department":"design","linkedin":"https://www.linkedin.com/in/giulioandreini","twitter":null,"phone_number":null,"verification":{"date":null,"status":null}},{"value":"liam@n8n.io","type":"personal","confidence":97,"sources":[{"domain":"linkedin.com","uri":"https://www.google.com/search?q=site:linkedin.com%20liam%20mulligan%20n8n","extracted_on":"2025-01-07","last_seen_on":"2025-01-07","still_on_page":true}],"first_name":"Liam","last_name":"Mulligan","position":"Account Executive","position_raw":"Senior Account Executive","seniority":"executive","department":"sales","linkedin":"https://www.linkedin.com/in/mulliganliam","twitter":null,"phone_number":null,"verification":{"date":"2025-02-17","status":"valid"}}]</t>
  </si>
  <si>
    <t>n8n is a free low-code workflow automation tool.</t>
  </si>
  <si>
    <t>Matt Miller</t>
  </si>
  <si>
    <t>oasis.security</t>
  </si>
  <si>
    <t>Oasis</t>
  </si>
  <si>
    <t>[{"value":"cameron.wilson@oasis.security","type":"personal","confidence":99,"sources":[{"domain":"linkedin.com","uri":"https://www.google.com/search?q=site:linkedin.com%20cameron%20wilson%20oasis","extracted_on":"2025-01-03","last_seen_on":"2025-01-03","still_on_page":true}],"first_name":"Cameron","last_name":"Wilson","position":null,"position_raw":null,"seniority":null,"department":null,"linkedin":"https://www.linkedin.com/in/cameron-wilson-0968581b9","twitter":null,"phone_number":null,"verification":{"date":"2025-02-23","status":"valid"}},{"value":"amit@oasis.security","type":"personal","confidence":99,"sources":[{"domain":"linkedin.com","uri":"https://www.google.com/search?q=site:linkedin.com%20amit%20zimerman%20oasis","extracted_on":"2025-01-07","last_seen_on":"2025-01-07","still_on_page":true},{"domain":"csoonline.com","uri":"http://csoonline.com/article/3564657/how-ai-is-becoming-a-powerful-tool-for-offensive-cybersecurity-practitioners.html","extracted_on":"2024-10-21","last_seen_on":"2024-10-21","still_on_page":true},{"domain":"oasis.security","uri":"http://oasis.security/about-non-human-identity-management","extracted_on":"2024-10-03","last_seen_on":"2024-10-03","still_on_page":true}],"first_name":"Amit","last_name":"Zimerman","position":"Chief Product Officer","position_raw":"Co-Founder &amp; Chief Product Officer","seniority":"executive","department":"executive","linkedin":"https://www.linkedin.com/in/amit-zimerman","twitter":null,"phone_number":null,"verification":{"date":"2025-01-07","status":"valid"}},{"value":"danny@oasis.security","type":"personal","confidence":99,"sources":[{"domain":"secureworld.io","uri":"http://secureworld.io/industry-news/recipe-cybersecurity-restaurant-industry","extracted_on":"2024-10-04","last_seen_on":"2024-10-04","still_on_page":true},{"domain":"oasis.security","uri":"http://oasis.security/about-non-human-identity-management","extracted_on":"2024-10-03","last_seen_on":"2024-10-03","still_on_page":true},{"domain":"startuprise.org","uri":"http://startuprise.org/israel-based-oasis-security-raises-40-mn-funding","extracted_on":"2024-08-10","last_seen_on":"2024-08-10","still_on_page":true},{"domain":"startuprise.org","uri":"http://startuprise.org/oasis-security-secures-35mn-series-a-funding","extracted_on":"2024-08-10","last_seen_on":"2024-08-10","still_on_page":true},{"domain":"tabloidnasional.com","uri":"http://tabloidnasional.com/tech/oasis-security-raises-40m-to-solve-the-non-human-identity-security-gap","extracted_on":"2024-08-07","last_seen_on":"2024-08-07","still_on_page":true},{"domain":"oasis.security","uri":"http://oasis.security/resources/oasis-secures-35m-series-a-extension-to-automate-non-human-identity-security","extracted_on":"2024-07-23","last_seen_on":"2024-07-23","still_on_page":true},{"domain":"oasis.security","uri":"http://oasis.security/resources/videos/oasis-security-ceo-danny-brickman-on-ismg","extracted_on":"2024-07-23","last_seen_on":"2024-07-23","still_on_page":true},{"domain":"oasis.security","uri":"http://oasis.security/resources/videos/non-human-identity-management-what-is-it-why-its-important","extracted_on":"2024-07-23","last_seen_on":"2024-07-23","still_on_page":true},{"domain":"databreachtoday.com","uri":"http://databreachtoday.com/identity-access-management-c-446/p-3","extracted_on":"2024-07-18","last_seen_on":"2024-07-18","still_on_page":true},{"domain":"databreachtoday.com","uri":"http://databreachtoday.com/nonhuman-identity-management-revolution-a-25045","extracted_on":"2024-07-18","last_seen_on":"2024-07-18","still_on_page":true},{"domain":"cuinfosecurity.com","uri":"http://cuinfosecurity.com/identity-access-management-c-446/p-3","extracted_on":"2024-07-15","last_seen_on":"2024-07-15","still_on_page":true},{"domain":"aitoday.io","uri":"http://aitoday.io/authors/anna-delaney-i-3368/p-2","extracted_on":"2024-07-11","last_seen_on":"2024-07-11","still_on_page":true},{"domain":"aitoday.io","uri":"http://aitoday.io/nonhuman-identity-management-revolution-a-25045","extracted_on":"2024-07-10","last_seen_on":"2024-07-10","still_on_page":true},{"domain":"hudsonweekly.com","uri":"http://hudsonweekly.com/oasis-security-raises-35-million-in-series-a-extension-funding-round-for-non-human-identity-management-solutions","extracted_on":"2024-05-31","last_seen_on":"2024-05-31","still_on_page":true},{"domain":"lastwatchdog.com","uri":"http://lastwatchdog.com/news-alert-oasis-security-raises-40m-for-non-human-identity-management-platform","extracted_on":"2024-05-06","last_seen_on":"2024-05-06","still_on_page":true},{"domain":"oasis.security","uri":"http://oasis.security/resources/press-release-oasis-security-raises-40m","extracted_on":"2024-03-20","last_seen_on":"2024-03-20","still_on_page":true}],"first_name":"Danny","last_name":"Brickman","position":null,"position_raw":null,"seniority":null,"department":null,"linkedin":"https://www.linkedin.com/in/danny-brickman","twitter":null,"phone_number":null,"verification":{"date":"2025-02-17","status":"valid"}},{"value":"ido.geffen@oasis.security","type":"personal","confidence":98,"sources":[{"domain":"oasis.security","uri":"http://oasis.security/blog","extracted_on":"2024-10-03","last_seen_on":"2024-10-03","still_on_page":true}],"first_name":"Ido","last_name":"Geffen","position":null,"position_raw":null,"seniority":null,"department":null,"linkedin":"https://www.linkedin.com/in/ido-geffen-77b4bb15","twitter":null,"phone_number":null,"verification":{"date":null,"status":null}},{"value":"vitalii.trofymenko@oasis.security","type":"personal","confidence":98,"sources":[{"domain":"oasis.security","uri":"http://oasis.security/blog","extracted_on":"2024-10-03","last_seen_on":"2024-10-03","still_on_page":true}],"first_name":"Vitalii","last_name":"Trofymenko","position":null,"position_raw":null,"seniority":null,"department":null,"linkedin":"https://www.linkedin.com/in/vitalii-trofymenko-3337ab15b","twitter":null,"phone_number":null,"verification":{"date":null,"status":null}},{"value":"or.farkash@oasis.security","type":"personal","confidence":97,"sources":[{"domain":"linkedin.com","uri":"https://www.google.com/search?q=site:linkedin.com%20or%20farkash%20oasis","extracted_on":"2025-01-07","last_seen_on":"2025-01-07","still_on_page":true}],"first_name":"Or","last_name":"Farkash","position":"Director of Engineering","position_raw":"Director of Engineering","seniority":null,"department":"it","linkedin":"https://www.linkedin.com/in/or-farkash-2a95ab25b","twitter":null,"phone_number":null,"verification":{"date":"2025-02-18","status":"valid"}},{"value":"veronika.gorkina@oasis.security","type":"personal","confidence":97,"sources":[{"domain":"linkedin.com","uri":"https://www.google.com/search?q=site:linkedin.com%20veronika%20gorkina%20oasis","extracted_on":"2025-01-03","last_seen_on":"2025-01-03","still_on_page":true}],"first_name":"Veronika","last_name":"Gorkina","position":null,"position_raw":null,"seniority":null,"department":null,"linkedin":"https://www.linkedin.com/in/veronika-gorkina-97620534","twitter":null,"phone_number":null,"verification":{"date":"2025-01-18","status":"valid"}},{"value":"alon.ribak@oasis.security","type":"personal","confidence":96,"sources":[{"domain":"linkedin.com","uri":"https://www.google.com/search?q=site:linkedin.com%20alon%20ribak%20oasis","extracted_on":"2025-01-07","last_seen_on":"2025-01-07","still_on_page":true}],"first_name":"Alon","last_name":"Ribak","position":"Director of Operations","position_raw":"Head of Operations","seniority":null,"department":"executive","linkedin":"https://www.linkedin.com/in/alon-ribak-872225aa","twitter":null,"phone_number":null,"verification":{"date":"2025-01-07","status":"valid"}},{"value":"david.rokacz@oasis.security","type":"personal","confidence":96,"sources":[{"domain":"linkedin.com","uri":"https://www.google.com/search?q=site:linkedin.com%20david%20rokacz%20oasis","extracted_on":"2025-01-03","last_seen_on":"2025-01-03","still_on_page":true}],"first_name":"David","last_name":"Rokacz","position":null,"position_raw":null,"seniority":null,"department":null,"linkedin":"https://www.linkedin.com/in/david-rokacz-9034234a","twitter":null,"phone_number":null,"verification":{"date":"2025-02-23","status":"valid"}},{"value":"nick@oasis.security","type":"personal","confidence":95,"sources":[{"domain":"linkedin.com","uri":"https://www.google.com/search?q=site:linkedin.com%20nick%20billy%20oasis","extracted_on":"2025-01-03","last_seen_on":"2025-01-03","still_on_page":true}],"first_name":"Nick","last_name":"Billy","position":"Growth Manager","position_raw":"Growth","seniority":"senior","department":"management","linkedin":"https://www.linkedin.com/in/nickbilly","twitter":null,"phone_number":null,"verification":{"date":null,"status":null}}]</t>
  </si>
  <si>
    <t>Oasis Security</t>
  </si>
  <si>
    <t>Oasis is the first enterprise platform for non-human identity management.</t>
  </si>
  <si>
    <t>osohq.com</t>
  </si>
  <si>
    <t>For you guys that might mean personalized roles or permissions...</t>
  </si>
  <si>
    <t>Oso</t>
  </si>
  <si>
    <t>[{"value":"sam@osohq.com","type":"personal","confidence":94,"sources":[{"domain":"linkedin.com","uri":"https://www.google.com/search?q=site:linkedin.com%20sam%20scott%20osohq","extracted_on":"2025-01-14","last_seen_on":"2025-01-14","still_on_page":true},{"domain":"yescode.org","uri":"http://yescode.org/podcast/rbac-with-oso","extracted_on":"2024-03-16","last_seen_on":"2024-12-31","still_on_page":true}],"first_name":"Sam","last_name":"Scott","position":"CTO","position_raw":"Cofounder/CTO","seniority":"executive","department":"executive","linkedin":"https://www.linkedin.com/in/samjs","twitter":null,"phone_number":null,"verification":{"date":"2025-02-13","status":"accept_all"}},{"value":"graham@osohq.com","type":"personal","confidence":93,"sources":[{"domain":"linkedin.com","uri":"https://www.google.com/search?q=site:linkedin.com%20graham%20neray%20osohq","extracted_on":"2025-01-14","last_seen_on":"2025-01-14","still_on_page":true}],"first_name":"Graham","last_name":"Neray","position":"Chief Executive Officer","position_raw":"Cofounder &amp; CEO","seniority":"executive","department":"executive","linkedin":"https://www.linkedin.com/in/grahamneray","twitter":null,"phone_number":null,"verification":{"date":"2025-02-11","status":"accept_all"}},{"value":"eric@osohq.com","type":"personal","confidence":92,"sources":[{"domain":"linkedin.com","uri":"https://www.google.com/search?q=site:linkedin.com%20eric%20daniels%20osohq","extracted_on":"2025-01-14","last_seen_on":"2025-01-14","still_on_page":true}],"first_name":"Eric","last_name":"Daniels","position":"Director of Engineering","position_raw":"Head of Engineering","seniority":null,"department":"it","linkedin":"https://www.linkedin.com/in/eric-daniels-746b8015","twitter":null,"phone_number":null,"verification":{"date":"2025-01-27","status":"accept_all"}},{"value":"dan@osohq.com","type":"personal","confidence":91,"sources":[{"domain":"linkedin.com","uri":"https://www.google.com/search?q=site:linkedin.com%20dan%20alvarez%20osohq","extracted_on":"2025-01-13","last_seen_on":"2025-01-13","still_on_page":true}],"first_name":"Dan","last_name":"Alvarez","position":"Owner","position_raw":"Business Owner","seniority":null,"department":null,"linkedin":"https://www.linkedin.com/in/dan-alvarez-7b6a99222","twitter":null,"phone_number":null,"verification":{"date":"2025-01-27","status":"accept_all"}},{"value":"oso@osohq.com","type":"personal","confidence":84,"sources":[{"domain":"osohq.com","uri":"http://osohq.com/post/the-hanselminutes-podcast-cryptography-101-with-oso","extracted_on":"2023-06-04","last_seen_on":"2025-01-22","still_on_page":true}],"first_name":null,"last_name":null,"position":null,"position_raw":null,"seniority":null,"department":null,"linkedin":null,"twitter":null,"phone_number":null,"verification":{"date":"2025-01-27","status":"accept_all"}},{"value":"security@osohq.com","type":"generic","confidence":84,"sources":[{"domain":"docs-preview.oso.dev","uri":"http://docs-preview.oso.dev/v/main/project/security.html","extracted_on":"2023-11-14","last_seen_on":"2025-02-14","still_on_page":true},{"domain":"parsers.vc","uri":"http://parsers.vc/startup/osohq.com","extracted_on":"2021-10-25","last_seen_on":"2025-01-27","still_on_page":true},{"domain":"osohq.com","uri":"http://osohq.com/company/security","extracted_on":"2022-05-21","last_seen_on":"2025-01-22","still_on_page":true},{"domain":"osohq.com","uri":"http://osohq.com/docs/oss/go/project.html","extracted_on":"2024-09-25","last_seen_on":"2025-01-22","still_on_page":true},{"domain":"osohq.com","uri":"http://osohq.com/docs/oss/java/project.html","extracted_on":"2025-01-22","last_seen_on":"2025-01-22","still_on_page":true},{"domain":"osohq.com","uri":"http://osohq.com/docs/oss/project.html","extracted_on":"2025-01-22","last_seen_on":"2025-01-22","still_on_page":true},{"domain":"osohq.com","uri":"http://osohq.com/terms","extracted_on":"2022-09-03","last_seen_on":"2025-01-22","still_on_page":true},{"domain":"docs-preview.oso.dev","uri":"http://docs-preview.oso.dev/v/main/project.html","extracted_on":"2022-06-14","last_seen_on":"2024-12-14","still_on_page":true}],"first_name":null,"last_name":null,"position":null,"position_raw":null,"seniority":null,"department":"support","linkedin":null,"twitter":null,"phone_number":null,"verification":{"date":"2025-01-27","status":"accept_all"}},{"value":"engineering@osohq.com","type":"generic","confidence":83,"sources":[{"domain":"osohq.com","uri":"http://osohq.com/docs/oss/go/project.html","extracted_on":"2024-06-25","last_seen_on":"2025-01-22","still_on_page":true},{"domain":"osohq.com","uri":"http://osohq.com/docs/oss/java/project.html","extracted_on":"2024-06-25","last_seen_on":"2025-01-22","still_on_page":true},{"domain":"osohq.com","uri":"http://osohq.com/docs/oss/project.html","extracted_on":"2024-04-19","last_seen_on":"2025-01-22","still_on_page":true},{"domain":"osohq.com","uri":"http://osohq.com/docs/oss/project/faq.html","extracted_on":"2024-06-25","last_seen_on":"2025-01-22","still_on_page":true},{"domain":"osohq.com","uri":"http://osohq.com/docs/oss/project/performance.html","extracted_on":"2024-06-25","last_seen_on":"2025-01-22","still_on_page":true},{"domain":"docs-preview.oso.dev","uri":"http://docs-preview.oso.dev/v/main/project/performance.html","extracted_on":"2024-04-06","last_seen_on":"2025-01-06","still_on_page":true},{"domain":"docs-preview.oso.dev","uri":"http://docs-preview.oso.dev/v/main/project.html","extracted_on":"2022-06-14","last_seen_on":"2024-12-14","still_on_page":true},{"domain":"docs-preview.oso.dev","uri":"http://docs-preview.oso.dev/v/main/project/faq.html","extracted_on":"2023-02-25","last_seen_on":"2024-12-01","still_on_page":true},{"domain":"docs.osohq.com","uri":"http://docs.osohq.com/node/project/faq.html","extracted_on":"2022-02-19","last_seen_on":"2023-11-19","still_on_page":false},{"domain":"docs.osohq.com","uri":"http://docs.osohq.com/rust/project/faq.html","extracted_on":"2023-09-23","last_seen_on":"2023-09-23","still_on_page":false}],"first_name":null,"last_name":null,"position":null,"position_raw":null,"seniority":null,"department":null,"linkedin":null,"twitter":null,"phone_number":null,"verification":{"date":"2025-01-27","status":"accept_all"}},{"value":"jobs@osohq.com","type":"generic","confidence":79,"sources":[{"domain":"osohq.com","uri":"http://osohq.com/company/jobs","extracted_on":"2022-09-03","last_seen_on":"2025-01-22","still_on_page":true}],"first_name":null,"last_name":null,"position":null,"position_raw":null,"seniority":null,"department":"hr","linkedin":null,"twitter":null,"phone_number":null,"verification":{"date":"2025-01-27","status":"accept_all"}},{"value":"wevavh@osohq.com","type":"personal","confidence":78,"sources":[{"domain":"agelg.be","uri":"http://agelg.be/membres.php","extracted_on":"2024-12-17","last_seen_on":"2024-12-17","still_on_page":true}],"first_name":null,"last_name":null,"position":null,"position_raw":null,"seniority":null,"department":null,"linkedin":null,"twitter":null,"phone_number":null,"verification":{"date":"2025-01-27","status":"accept_all"}},{"value":"info@osohq.com","type":"generic","confidence":60,"sources":[{"domain":"osohq.com","uri":"http://osohq.com/pricing","extracted_on":"2024-03-06","last_seen_on":"2024-04-19","still_on_page":false}],"first_name":null,"last_name":null,"position":null,"position_raw":null,"seniority":null,"department":"support","linkedin":null,"twitter":null,"phone_number":null,"verification":{"date":"2025-01-27","status":"accept_all"}}]</t>
  </si>
  <si>
    <t>Oso is an open-source library for developers to make it easier to build authorization in their applications.</t>
  </si>
  <si>
    <t>ottofinance.io</t>
  </si>
  <si>
    <t>For you guys that might mean personalized portfolio breakdowns... or client risk profiles.</t>
  </si>
  <si>
    <t>Otto</t>
  </si>
  <si>
    <t>[{"value":"jan.thomas@ottofinance.io","type":"personal","confidence":99,"sources":[{"domain":"linkedin.com","uri":"https://www.google.com/search?q=site:linkedin.com%20jan%20thomas%20ottofinance","extracted_on":"2025-01-07","last_seen_on":"2025-01-07","still_on_page":true}],"first_name":"Jan","last_name":"Thomas","position":"CEO","position_raw":"Co-Founder &amp; CEO","seniority":"executive","department":"executive","linkedin":"https://www.linkedin.com/in/jthomas8","twitter":null,"phone_number":null,"verification":{"date":"2025-01-07","status":"valid"}},{"value":"madeleine.debney@ottofinance.io","type":"personal","confidence":98,"sources":[{"domain":"linkedin.com","uri":"https://www.google.com/search?q=site:linkedin.com%20madeleine%20debney%20ottofinance","extracted_on":"2025-01-07","last_seen_on":"2025-01-07","still_on_page":true}],"first_name":"Madeleine","last_name":"Debney","position":"Co-Founder and Chief Operating Officer","position_raw":"Co-Founder &amp; COO","seniority":"executive","department":"executive","linkedin":"https://www.linkedin.com/in/madeleinedebney","twitter":null,"phone_number":null,"verification":{"date":"2025-01-07","status":"valid"}},{"value":"felix.fernandez@ottofinance.io","type":"personal","confidence":97,"sources":[{"domain":"linkedin.com","uri":"https://www.google.com/search?q=site:linkedin.com%20felix%20fernandez%20ottofinance","extracted_on":"2025-01-07","last_seen_on":"2025-01-07","still_on_page":true}],"first_name":"Felix","last_name":"Fernandez","position":"Founder Associate","position_raw":"Founder's Associate","seniority":"executive","department":"executive","linkedin":"https://www.linkedin.com/in/felix-fernandez","twitter":null,"phone_number":null,"verification":{"date":"2025-01-07","status":"valid"}},{"value":"hello@ottofinance.io","type":"generic","confidence":73,"sources":[{"domain":"ottofinance.io","uri":"http://ottofinance.io/financial-health","extracted_on":"2022-08-18","last_seen_on":"2024-02-18","still_on_page":false},{"domain":"ottofinance.io","uri":"http://ottofinance.io","extracted_on":"2022-08-18","last_seen_on":"2023-12-19","still_on_page":false}],"first_name":null,"last_name":null,"position":null,"position_raw":null,"seniority":null,"department":"support","linkedin":null,"twitter":null,"phone_number":null,"verification":{"date":null,"status":null}},{"value":"help@ottofinance.io","type":"generic","confidence":10,"sources":[{"domain":"ottofinance.io","uri":"http://ottofinance.io/help","extracted_on":"2024-06-19","last_seen_on":"2024-09-24","still_on_page":false}],"first_name":null,"last_name":null,"position":null,"position_raw":null,"seniority":null,"department":"support","linkedin":null,"twitter":null,"phone_number":null,"verification":{"date":null,"status":null}}]</t>
  </si>
  <si>
    <t>Otto Finance</t>
  </si>
  <si>
    <t>Otto revolutionizes wealth management by supercharging adviser productivity and transforming client experiences through AI-powered automation.</t>
  </si>
  <si>
    <t>popsink.com</t>
  </si>
  <si>
    <t>For you guys that might mean personalized data sources or connectors.</t>
  </si>
  <si>
    <t>Popsink</t>
  </si>
  <si>
    <t>[{"value":"colellaa@popsink.com","type":"personal","confidence":91,"sources":[{"domain":"linkedin.com","uri":"https://www.google.com/search?q=site:linkedin.com%20alexandre%20colella%20popsink","extracted_on":"2025-01-14","last_seen_on":"2025-01-14","still_on_page":true}],"first_name":"Alexandre","last_name":"Colella","position":"Chief Technology Officer","position_raw":"CTO &amp; Co-Founder","seniority":"executive","department":"it","linkedin":"https://www.linkedin.com/in/alexandrecolella","twitter":null,"phone_number":null,"verification":{"date":"2025-02-24","status":"accept_all"}},{"value":"pilots@popsink.com","type":"generic","confidence":84,"sources":[{"domain":"popsink.com","uri":"http://popsink.com/post/what-is-popsink-part-3-enter-popsink","extracted_on":"2022-06-15","last_seen_on":"2025-01-29","still_on_page":true}],"first_name":null,"last_name":null,"position":null,"position_raw":null,"seniority":null,"department":null,"linkedin":null,"twitter":null,"phone_number":null,"verification":{"date":null,"status":null}},{"value":"blackfriday2023@popsink.com","type":"generic","confidence":79,"sources":[{"domain":"popsink.com","uri":"http://popsink.com/blackfriday","extracted_on":"2025-01-06","last_seen_on":"2025-01-29","still_on_page":true}],"first_name":null,"last_name":null,"position":null,"position_raw":null,"seniority":null,"department":null,"linkedin":null,"twitter":null,"phone_number":null,"verification":{"date":null,"status":null}},{"value":"founders@popsink.com","type":"generic","confidence":79,"sources":[{"domain":"popsink.com","uri":"http://popsink.com","extracted_on":"2023-10-08","last_seen_on":"2025-01-29","still_on_page":true},{"domain":"popsink.com","uri":"http://popsink.com/blackfriday","extracted_on":"2025-01-06","last_seen_on":"2025-01-29","still_on_page":true},{"domain":"popsink.com","uri":"http://popsink.com/post/what-is-popsink-part-3-enter-popsink","extracted_on":"2025-01-06","last_seen_on":"2025-01-29","still_on_page":true},{"domain":"popsink.com","uri":"http://popsink.com/startups","extracted_on":"2024-04-09","last_seen_on":"2025-01-29","still_on_page":true},{"domain":"popsink.com","uri":"http://popsink.com/use-case/manufacturing-4-0","extracted_on":"2024-07-26","last_seen_on":"2025-01-29","still_on_page":true}],"first_name":null,"last_name":null,"position":null,"position_raw":null,"seniority":null,"department":null,"linkedin":null,"twitter":null,"phone_number":null,"verification":{"date":null,"status":null}},{"value":"blackfriday@popsink.com","type":"generic","confidence":78,"sources":[{"domain":"popsink.com","uri":"http://popsink.com/blackfriday","extracted_on":"2024-05-20","last_seen_on":"2025-01-29","still_on_page":true}],"first_name":null,"last_name":null,"position":null,"position_raw":null,"seniority":null,"department":null,"linkedin":null,"twitter":null,"phone_number":null,"verification":{"date":null,"status":null}},{"value":"kimaventures@popsink.com","type":"generic","confidence":77,"sources":[{"domain":"popsink.com","uri":"http://popsink.com/startups","extracted_on":"2024-01-08","last_seen_on":"2025-01-29","still_on_page":true}],"first_name":null,"last_name":null,"position":null,"position_raw":null,"seniority":null,"department":null,"linkedin":null,"twitter":null,"phone_number":null,"verification":{"date":null,"status":null}},{"value":"startups@popsink.com","type":"generic","confidence":76,"sources":[{"domain":"popsink.com","uri":"http://popsink.com/startups","extracted_on":"2024-01-08","last_seen_on":"2025-01-29","still_on_page":true}],"first_name":null,"last_name":null,"position":null,"position_raw":null,"seniority":null,"department":null,"linkedin":null,"twitter":null,"phone_number":null,"verification":{"date":null,"status":null}}]</t>
  </si>
  <si>
    <t>Popsink helps companies build the next generation of data services.</t>
  </si>
  <si>
    <t>prelude.org</t>
  </si>
  <si>
    <t>For you guys that might mean personalized detections... or control mappings.</t>
  </si>
  <si>
    <t>Prelude</t>
  </si>
  <si>
    <t>[{"value":"support@prelude.org","type":"generic","confidence":91,"sources":[{"domain":"feed.prelude.org","uri":"http://feed.prelude.org/p/how-we-do-business","extracted_on":"2021-07-06","last_seen_on":"2025-01-29","still_on_page":true},{"domain":"feed.prelude.org","uri":"http://feed.prelude.org/p/going-headless","extracted_on":"2021-07-06","last_seen_on":"2025-01-27","still_on_page":true},{"domain":"feed.prelude.org","uri":"http://feed.prelude.org/p/ask-us-anything","extracted_on":"2021-03-24","last_seen_on":"2025-01-26","still_on_page":true},{"domain":"feed.prelude.org","uri":"http://feed.prelude.org/p/protect-yo-self","extracted_on":"2021-03-30","last_seen_on":"2025-01-26","still_on_page":true},{"domain":"preludesecurity.com","uri":"http://preludesecurity.com/products/detect","extracted_on":"2023-01-28","last_seen_on":"2024-01-28","still_on_page":false},{"domain":"preludesecurity.com","uri":"http://preludesecurity.com/get-started","extracted_on":"2023-01-28","last_seen_on":"2023-04-28","still_on_page":false},{"domain":"preludesecurity.com","uri":"http://preludesecurity.com/privacy","extracted_on":"2022-12-03","last_seen_on":"2023-04-28","still_on_page":false},{"domain":"chains.prelude.org","uri":"http://chains.prelude.org:443/chains/bf43580d-8a9b-4872-9e88-005c9dbcf8f3/conti-deploy-ransomware","extracted_on":"2023-02-28","last_seen_on":"2023-02-28","still_on_page":false},{"domain":"chains.prelude.org","uri":"http://chains.prelude.org:443/chains/ec5b47e5-99a3-4aba-90f9-16eeb9c7a41d/apt38-wannacry","extracted_on":"2023-02-28","last_seen_on":"2023-02-28","still_on_page":false},{"domain":"chains.prelude.org","uri":"http://chains.prelude.org:443/techniques","extracted_on":"2023-02-28","last_seen_on":"2023-02-28","still_on_page":false},{"domain":"chains.prelude.org","uri":"http://chains.prelude.org:443/chains/e8755293-4fb6-45cb-828e-afd1d34bace4/apt40-educational-institutions","extracted_on":"2023-02-27","last_seen_on":"2023-02-27","still_on_page":false},{"domain":"chains.prelude.org","uri":"http://chains.prelude.org:443/chains/11918f8b-4576-4203-a25d-b1f059cd779a/conti-privilege-escalation-and-persistence","extracted_on":"2023-02-26","last_seen_on":"2023-02-26","still_on_page":false},{"domain":"prelude.org","uri":"http://prelude.org","extracted_on":"2020-11-16","last_seen_on":"2022-12-04","still_on_page":false},{"domain":"prelude.org","uri":"http://prelude.org/contact","extracted_on":"2022-05-20","last_seen_on":"2022-12-04","still_on_page":false},{"domain":"prelude.org","uri":"http://prelude.org/download","extracted_on":"2022-05-20","last_seen_on":"2022-12-04","still_on_page":false},{"domain":"prelude.org","uri":"http://prelude.org/products","extracted_on":"2022-05-20","last_seen_on":"2022-12-04","still_on_page":false},{"domain":"prelude.org","uri":"http://prelude.org/purpose","extracted_on":"2022-05-20","last_seen_on":"2022-12-04","still_on_page":false},{"domain":"preludesecurity.com","uri":"http://preludesecurity.com/prelude-resource-center","extracted_on":"2022-12-03","last_seen_on":"2022-12-04","still_on_page":false},{"domain":"feed.prelude.org","uri":"http://feed.prelude.org/p/purple-party","extracted_on":"2021-03-07","last_seen_on":"2021-03-07","still_on_page":false}],"first_name":null,"last_name":null,"position":null,"position_raw":null,"seniority":null,"department":"support","linkedin":null,"twitter":null,"phone_number":null,"verification":{"date":"2025-01-22","status":"valid"}},{"value":"me@prelude.org","type":"generic","confidence":75,"sources":[{"domain":"feed.prelude.org","uri":"http://feed.prelude.org/p/running-headless-operator","extracted_on":"2023-01-25","last_seen_on":"2025-01-26","still_on_page":true}],"first_name":null,"last_name":null,"position":null,"position_raw":null,"seniority":null,"department":null,"linkedin":null,"twitter":null,"phone_number":null,"verification":{"date":null,"status":null}},{"value":"jobs@prelude.org","type":"generic","confidence":75,"sources":[{"domain":"preludesecurity.com","uri":"http://preludesecurity.com/blog/continuing-the-prelude-mission-through-our-24mm-series-a-financing","extracted_on":"2022-12-03","last_seen_on":"2025-01-28","still_on_page":true},{"domain":"preludesecurity.com","uri":"http://preludesecurity.com/company","extracted_on":"2022-12-04","last_seen_on":"2022-12-04","still_on_page":false}],"first_name":null,"last_name":null,"position":null,"position_raw":null,"seniority":null,"department":"hr","linkedin":null,"twitter":null,"phone_number":null,"verification":{"date":null,"status":null}},{"value":"media@prelude.org","type":"generic","confidence":75,"sources":[{"domain":"preludesecurity.com","uri":"http://preludesecurity.com/blog/mitre-and-prelude-announce-partnership-to-offer-advanced-cybersecurity-for-small-and-mid-sized-organizations","extracted_on":"2022-12-03","last_seen_on":"2025-01-28","still_on_page":true}],"first_name":null,"last_name":null,"position":null,"position_raw":null,"seniority":null,"department":"communication","linkedin":null,"twitter":null,"phone_number":null,"verification":{"date":null,"status":null}}]</t>
  </si>
  <si>
    <t>Prelude is a technology company that hardens cybersecurity defenses.</t>
  </si>
  <si>
    <t>privy.io</t>
  </si>
  <si>
    <t>For you guys that might mean personalized auth flows... or wallet integrations.</t>
  </si>
  <si>
    <t>Privy</t>
  </si>
  <si>
    <t>[{"value":"madeleine@privy.io","type":"personal","confidence":99,"sources":[{"domain":"privy.io","uri":"http://privy.io/about-us","extracted_on":"2024-11-06","last_seen_on":"2024-11-06","still_on_page":true}],"first_name":"Madeleine","last_name":"Charity","position":"Software Engineer","position_raw":"Software Engineer","seniority":null,"department":"it","linkedin":"https://www.linkedin.com/in/madeleine-charity-23484713a","twitter":null,"phone_number":null,"verification":{"date":"2025-02-23","status":"valid"}},{"value":"jainil@privy.io","type":"personal","confidence":99,"sources":[{"domain":"privy.io","uri":"http://privy.io/about-us","extracted_on":"2024-11-06","last_seen_on":"2024-11-06","still_on_page":true}],"first_name":"Jainil","last_name":"Sutaria","position":null,"position_raw":null,"seniority":null,"department":null,"linkedin":"https://www.linkedin.com/in/jainilsutaria","twitter":null,"phone_number":null,"verification":{"date":"2025-02-23","status":"valid"}},{"value":"henri@privy.io","type":"personal","confidence":99,"sources":[{"domain":"sternhenri.medium.com","uri":"http://sternhenri.medium.com","extracted_on":"2023-01-08","last_seen_on":"2025-02-10","still_on_page":true}],"first_name":"Henri","last_name":"Stern","position":null,"position_raw":null,"seniority":null,"department":null,"linkedin":null,"twitter":null,"phone_number":null,"verification":{"date":"2025-02-17","status":"valid"}},{"value":"adrianna@privy.io","type":"personal","confidence":98,"sources":[{"domain":"linkedin.com","uri":"https://www.google.com/search?q=site:linkedin.com%20adrianna%20turner%20privy","extracted_on":"2025-01-03","last_seen_on":"2025-01-03","still_on_page":true}],"first_name":"Adrianna","last_name":"Turner","position":"Talent Acquisition Specialist","position_raw":"Talent Consultant","seniority":null,"department":null,"linkedin":"https://www.linkedin.com/in/adrianna-turner-55378362","twitter":null,"phone_number":null,"verification":{"date":null,"status":null}},{"value":"ankush@privy.io","type":"personal","confidence":98,"sources":[{"domain":"privy.io","uri":"http://privy.io/about-us","extracted_on":"2024-11-06","last_seen_on":"2024-11-06","still_on_page":true}],"first_name":"Ankush","last_name":"Swarnakar","position":"Software Engineer","position_raw":"Software Engineer","seniority":null,"department":"it","linkedin":"https://www.linkedin.com/in/ankushswarnakar","twitter":null,"phone_number":null,"verification":{"date":null,"status":null}},{"value":"andrew@privy.io","type":"personal","confidence":98,"sources":[{"domain":"privy.io","uri":"http://privy.io/about-us","extracted_on":"2024-11-06","last_seen_on":"2024-11-06","still_on_page":true}],"first_name":"Andrew","last_name":"Hollenbach","position":null,"position_raw":null,"seniority":null,"department":null,"linkedin":"https://www.linkedin.com/in/ahollenbach","twitter":null,"phone_number":null,"verification":{"date":"2025-01-30","status":"valid"}},{"value":"asta@privy.io","type":"personal","confidence":97,"sources":[{"domain":"linkedin.com","uri":"https://www.google.com/search?q=site:linkedin.com%20asta%20l%20privy","extracted_on":"2025-01-07","last_seen_on":"2025-01-07","still_on_page":true}],"first_name":"Asta","last_name":"L","position":"Co-Founder and Chief Technology Officer","position_raw":"Co-Founder &amp; CTO","seniority":"executive","department":"executive","linkedin":"https://www.linkedin.com/in/asta-li","twitter":null,"phone_number":null,"verification":{"date":null,"status":null}},{"value":"max@privy.io","type":"personal","confidence":97,"sources":[{"domain":"privy.io","uri":"http://privy.io/about-us","extracted_on":"2024-11-06","last_seen_on":"2024-11-06","still_on_page":true}],"first_name":"Max","last_name":"Segall","position":null,"position_raw":"Building","seniority":null,"department":null,"linkedin":"https://www.linkedin.com/in/max-segall-4794a436","twitter":null,"phone_number":null,"verification":{"date":null,"status":null}},{"value":"sales@privy.io","type":"generic","confidence":96,"sources":[{"domain":"privy.io","uri":"http://privy.io/pricing","extracted_on":"2023-08-12","last_seen_on":"2025-02-13","still_on_page":true}],"first_name":null,"last_name":null,"position":null,"position_raw":null,"seniority":null,"department":"sales","linkedin":null,"twitter":null,"phone_number":null,"verification":{"date":null,"status":null}},{"value":"support@privy.io","type":"generic","confidence":96,"sources":[{"domain":"status.privy.io","uri":"http://status.privy.io/en/history/1","extracted_on":"2023-08-23","last_seen_on":"2025-02-23","still_on_page":true},{"domain":"status.privy.io","uri":"http://status.privy.io/en/subscribe/email","extracted_on":"2023-11-12","last_seen_on":"2025-02-17","still_on_page":true},{"domain":"status.privy.io","uri":"http://status.privy.io/en/subscribe/webhook","extracted_on":"2024-02-17","last_seen_on":"2025-02-17","still_on_page":true},{"domain":"privy.io","uri":"http://privy.io/blog/global-embedded-wallets","extracted_on":"2025-01-30","last_seen_on":"2025-01-30","still_on_page":true},{"domain":"privy.io","uri":"http://privy.io/blog/note-on-privy-security","extracted_on":"2025-01-29","last_seen_on":"2025-01-29","still_on_page":true},{"domain":"privy.io","uri":"http://privy.io/blog/topics/customer%20spotlight","extracted_on":"2024-10-28","last_seen_on":"2025-01-29","still_on_page":true},{"domain":"privy.io","uri":"http://privy.io/blog/setting-a-secure-foundation","extracted_on":"2025-01-28","last_seen_on":"2025-01-28","still_on_page":true},{"domain":"privy.io","uri":"http://privy.io/vulnerability-disclosure","extracted_on":"2025-01-28","last_seen_on":"2025-01-28","still_on_page":true},{"domain":"hotbot.com","uri":"http://hotbot.com/articles/2024-privy-software-reviews-features-and-pricing","extracted_on":"2024-04-05","last_seen_on":"2025-01-06","still_on_page":true},{"domain":"parsers.vc","uri":"http://parsers.vc/startup/privy.io","extracted_on":"2023-12-04","last_seen_on":"2023-12-04","still_on_page":false}],"first_name":null,"last_name":null,"position":null,"position_raw":null,"seniority":null,"department":"support","linkedin":null,"twitter":null,"phone_number":null,"verification":{"date":null,"status":null}}]</t>
  </si>
  <si>
    <t>Privy makes Simple APIs to manage user data off-chain.</t>
  </si>
  <si>
    <t>querypal.com</t>
  </si>
  <si>
    <t>For you guys that might mean personalized integration setups... or even custom AI draft responses.</t>
  </si>
  <si>
    <t>QueryPal</t>
  </si>
  <si>
    <t>[{"value":"hello@querypal.com","type":"generic","confidence":99,"sources":[{"domain":"hunted.space","uri":"http://hunted.space/dashboard/querypal-2","extracted_on":"2024-06-14","last_seen_on":"2024-12-14","still_on_page":true}],"first_name":null,"last_name":null,"position":null,"position_raw":null,"seniority":null,"department":"support","linkedin":null,"twitter":null,"phone_number":null,"verification":{"date":null,"status":null}},{"value":"support@querypal.com","type":"generic","confidence":98,"sources":[{"domain":"querypal.com","uri":"http://querypal.com/resources","extracted_on":"2024-07-09","last_seen_on":"2025-02-04","still_on_page":true},{"domain":"uneed.best","uri":"http://uneed.best/tool/querypal","extracted_on":"2024-08-08","last_seen_on":"2024-12-27","still_on_page":true}],"first_name":null,"last_name":null,"position":null,"position_raw":null,"seniority":null,"department":"support","linkedin":null,"twitter":null,"phone_number":null,"verification":{"date":null,"status":null}},{"value":"legal@querypal.com","type":"generic","confidence":76,"sources":[{"domain":"querypal.com","uri":"http://querypal.com/privacy-policy","extracted_on":"2024-04-09","last_seen_on":"2025-02-04","still_on_page":true},{"domain":"querypal.com","uri":"http://querypal.com/terms-and-conditions","extracted_on":"2024-04-09","last_seen_on":"2025-02-04","still_on_page":true}],"first_name":null,"last_name":null,"position":null,"position_raw":null,"seniority":null,"department":"legal","linkedin":null,"twitter":null,"phone_number":null,"verification":{"date":null,"status":null}},{"value":"llm@querypal.com","type":"generic","confidence":75,"sources":[{"domain":"querypal.com","uri":"http://querypal.com/working-with-llms-handling-token-limits","extracted_on":"2024-01-09","last_seen_on":"2025-01-12","still_on_page":true}],"first_name":null,"last_name":null,"position":null,"position_raw":null,"seniority":null,"department":null,"linkedin":null,"twitter":null,"phone_number":null,"verification":{"date":null,"status":null}}]</t>
  </si>
  <si>
    <t>QueryPal, formerly CtrlStack, transforms your support operations by slashing ticket response times.</t>
  </si>
  <si>
    <t>quilt.app</t>
  </si>
  <si>
    <t>For you guys that might mean personalized integrations... or file types.</t>
  </si>
  <si>
    <t>Quilt</t>
  </si>
  <si>
    <t>[{"value":"michael@quilt.app","type":"personal","confidence":99,"sources":[{"domain":"quilt.app","uri":"http://quilt.app/privacy-policy","extracted_on":"2024-03-19","last_seen_on":"2024-12-29","still_on_page":true},{"domain":"quilt.app","uri":"http://quilt.app/terms","extracted_on":"2024-06-19","last_seen_on":"2024-12-29","still_on_page":true}],"first_name":"Michael","last_name":"Graczyk","position":null,"position_raw":null,"seniority":null,"department":null,"linkedin":"https://www.linkedin.com/in/michaelgraczyk","twitter":null,"phone_number":null,"verification":{"date":"2025-02-12","status":"valid"}},{"value":"michelle@quilt.app","type":"personal","confidence":98,"sources":[{"domain":"linkedin.com","uri":"https://www.google.com/search?q=site:linkedin.com%20michelle%20tan%20quilt","extracted_on":"2025-01-03","last_seen_on":"2025-01-03","still_on_page":true}],"first_name":"Michelle","last_name":"Tan","position":null,"position_raw":null,"seniority":null,"department":null,"linkedin":"https://www.linkedin.com/in/michelleqtan","twitter":null,"phone_number":null,"verification":{"date":null,"status":null}},{"value":"support@quilt.app","type":"generic","confidence":96,"sources":[{"domain":"quilt.app","uri":"http://quilt.app/securityfaq","extracted_on":"2024-08-18","last_seen_on":"2024-12-29","still_on_page":true},{"domain":"quilt.app","uri":"http://quilt.app/security","extracted_on":"2024-03-19","last_seen_on":"2024-06-19","still_on_page":false}],"first_name":null,"last_name":null,"position":null,"position_raw":null,"seniority":null,"department":"support","linkedin":null,"twitter":null,"phone_number":null,"verification":{"date":null,"status":null}},{"value":"dan@quilt.app","type":"personal","confidence":95,"sources":[{"domain":"quilt.app","uri":"http://quilt.app/blog/the-death-of-the-crm","extracted_on":"2024-08-18","last_seen_on":"2024-12-29","still_on_page":true}],"first_name":null,"last_name":null,"position":null,"position_raw":null,"seniority":null,"department":null,"linkedin":null,"twitter":null,"phone_number":null,"verification":{"date":null,"status":null}},{"value":"founders@quilt.app","type":"generic","confidence":79,"sources":[{"domain":"quilt.app","uri":"http://quilt.app","extracted_on":"2024-12-25","last_seen_on":"2024-12-29","still_on_page":true},{"domain":"quilt.app","uri":"http://quilt.app/blog/the-death-of-the-crm","extracted_on":"2024-12-25","last_seen_on":"2024-12-29","still_on_page":true},{"domain":"quilt.app","uri":"http://quilt.app/pricing","extracted_on":"2024-12-19","last_seen_on":"2024-12-29","still_on_page":true},{"domain":"quilt.app","uri":"http://quilt.app/solutions/for-proposal-and-rfp-teams","extracted_on":"2024-08-18","last_seen_on":"2024-12-29","still_on_page":true},{"domain":"quilt.app","uri":"http://quilt.app/security","extracted_on":"2024-12-19","last_seen_on":"2024-12-19","still_on_page":true}],"first_name":null,"last_name":null,"position":null,"position_raw":null,"seniority":null,"department":null,"linkedin":null,"twitter":null,"phone_number":null,"verification":{"date":null,"status":null}},{"value":"hello@quilt.app","type":"generic","confidence":78,"sources":[{"domain":"quilt.app","uri":"http://quilt.app","extracted_on":"2024-03-19","last_seen_on":"2024-12-29","still_on_page":true},{"domain":"quilt.app","uri":"http://quilt.app/blog/announcing-quilts-seed-round","extracted_on":"2024-03-19","last_seen_on":"2024-12-29","still_on_page":true},{"domain":"quilt.app","uri":"http://quilt.app/pricing","extracted_on":"2024-03-19","last_seen_on":"2024-03-19","still_on_page":false}],"first_name":null,"last_name":null,"position":null,"position_raw":null,"seniority":null,"department":"support","linkedin":null,"twitter":null,"phone_number":null,"verification":{"date":null,"status":null}},{"value":"contact@quilt.app","type":"generic","confidence":77,"sources":[{"domain":"quilt.app","uri":"http://quilt.app/support","extracted_on":"2024-03-19","last_seen_on":"2024-12-29","still_on_page":true}],"first_name":null,"last_name":null,"position":null,"position_raw":null,"seniority":null,"department":"support","linkedin":null,"twitter":null,"phone_number":null,"verification":{"date":null,"status":null}},{"value":"data@quilt.app","type":"generic","confidence":75,"sources":[{"domain":"quilt.app","uri":"http://quilt.app/securityfaq","extracted_on":"2024-08-18","last_seen_on":"2024-12-29","still_on_page":true},{"domain":"quilt.app","uri":"http://quilt.app/security","extracted_on":"2024-03-19","last_seen_on":"2024-06-19","still_on_page":false}],"first_name":null,"last_name":null,"position":null,"position_raw":null,"seniority":null,"department":null,"linkedin":null,"twitter":null,"phone_number":null,"verification":{"date":null,"status":null}}]</t>
  </si>
  <si>
    <t>Quilt empowers solutions teams with AI</t>
  </si>
  <si>
    <t>AI/ML</t>
  </si>
  <si>
    <t>landing.rabbitx.io</t>
  </si>
  <si>
    <t>For you guys that might mean personalized trading pairs... or leverage limits.</t>
  </si>
  <si>
    <t>RabbitX</t>
  </si>
  <si>
    <t>RabbitX is a Decentralised Derivatives Exchange (DEX) built on Starknet.</t>
  </si>
  <si>
    <t>replicate.com</t>
  </si>
  <si>
    <t>For you guys that might mean personalized model versions... or API endpoints.</t>
  </si>
  <si>
    <t>Replicate</t>
  </si>
  <si>
    <t>[{"value":"luis@replicate.com","type":"personal","confidence":99,"sources":[{"domain":"linkedin.com","uri":"https://www.google.com/search?q=site:linkedin.com%20luis%20catacora%20replicate","extracted_on":"2025-01-03","last_seen_on":"2025-01-03","still_on_page":true}],"first_name":"Luis","last_name":"Catacora","position":"Software Engineer","position_raw":"Software Engineer","seniority":null,"department":"it","linkedin":"https://www.linkedin.com/in/lucataco","twitter":null,"phone_number":null,"verification":{"date":"2025-01-20","status":"valid"}},{"value":"charlieg@replicate.com","type":"personal","confidence":99,"sources":[{"domain":"replicate.com","uri":"http://replicate.com/superhighfives","extracted_on":"2024-10-15","last_seen_on":"2024-10-15","still_on_page":true}],"first_name":"Charlie","last_name":"Gleason","position":"Designer","position_raw":"Staff Designer","seniority":null,"department":"design","linkedin":"https://www.linkedin.com/in/superhighfives","twitter":null,"phone_number":null,"verification":{"date":"2025-01-20","status":"valid"}},{"value":"gandalf@replicate.com","type":"personal","confidence":99,"sources":[{"domain":"replicate.com","uri":"http://replicate.com/gandalfhz","extracted_on":"2024-10-15","last_seen_on":"2024-10-15","still_on_page":true}],"first_name":"Gandalf","last_name":"Hernandez","position":null,"position_raw":null,"seniority":null,"department":null,"linkedin":"https://www.linkedin.com/in/gandalfhernandez","twitter":null,"phone_number":null,"verification":{"date":"2025-01-20","status":"valid"}},{"value":"ben@replicate.com","type":"personal","confidence":98,"sources":[{"domain":"linkedin.com","uri":"https://www.google.com/search?q=site:linkedin.com%20ben%20firshman%20replicate","extracted_on":"2025-01-07","last_seen_on":"2025-01-07","still_on_page":true}],"first_name":"Ben","last_name":"Firshman","position":"CEO","position_raw":"Founder &amp; CEO","seniority":"executive","department":"executive","linkedin":"https://www.linkedin.com/in/bfirsh","twitter":null,"phone_number":null,"verification":{"date":"2025-01-11","status":"valid"}},{"value":"dan@replicate.com","type":"personal","confidence":98,"sources":[{"domain":"replicate.com","uri":"http://replicate.com/daanelson","extracted_on":"2024-10-15","last_seen_on":"2024-10-15","still_on_page":true}],"first_name":"Dan","last_name":"Nelson","position":"Machine Learning Engineer","position_raw":"Machine Learning Engineer","seniority":null,"department":"education","linkedin":"https://www.linkedin.com/in/dannelson8","twitter":null,"phone_number":null,"verification":{"date":"2025-02-20","status":"valid"}},{"value":"andreas@replicate.com","type":"personal","confidence":98,"sources":[{"domain":"linkedin.com","uri":"https://www.google.com/search?q=site:linkedin.com%20andreas%20jansson%20replicate","extracted_on":"2025-01-07","last_seen_on":"2025-01-07","still_on_page":true},{"domain":"zeke.sikelianos.com","uri":"http://zeke.sikelianos.com/avocado-armchair","extracted_on":"2024-01-09","last_seen_on":"2024-07-09","still_on_page":true}],"first_name":"Andreas","last_name":"Jansson","position":"Chief Technology Officer","position_raw":"Cofounder, CTO","seniority":"executive","department":"it","linkedin":"https://www.linkedin.com/in/janssonandreas","twitter":null,"phone_number":null,"verification":{"date":"2025-02-21","status":"valid"}},{"value":"jenni@replicate.com","type":"personal","confidence":97,"sources":[{"domain":"linkedin.com","uri":"https://www.google.com/search?q=site:linkedin.com%20jenni%20ellis%20replicate","extracted_on":"2025-01-07","last_seen_on":"2025-01-07","still_on_page":true}],"first_name":"Jenni","last_name":"Ellis","position":"Executive Assistant","position_raw":"Executive Assistant Office Manager","seniority":"executive","department":"operations","linkedin":"https://www.linkedin.com/in/jennikthomas","twitter":null,"phone_number":null,"verification":{"date":"2025-02-23","status":"valid"}},{"value":"tin@replicate.com","type":"personal","confidence":97,"sources":[{"domain":"replicate.com","uri":"http://replicate.com/hbqdev","extracted_on":"2024-10-15","last_seen_on":"2024-10-15","still_on_page":true}],"first_name":"Tin","last_name":"Tran","position":"Senior Support Engineer","position_raw":"Senior Support Engineer","seniority":"senior","department":"support","linkedin":"https://www.linkedin.com/in/tin-tran-5b08905","twitter":null,"phone_number":null,"verification":{"date":null,"status":null}},{"value":"zeke@replicate.com","type":"personal","confidence":97,"sources":[{"domain":"replicate.com","uri":"http://replicate.com/guides/stable-diffusion","extracted_on":"2024-10-15","last_seen_on":"2024-10-15","still_on_page":true}],"first_name":"Zeke","last_name":"Sikelianos","position":"Founder","position_raw":"Founding Designer","seniority":"executive","department":"executive","linkedin":"https://www.linkedin.com/in/sikelianos","twitter":null,"phone_number":null,"verification":{"date":null,"status":null}},{"value":"support@replicate.com","type":"generic","confidence":96,"sources":[{"domain":"replicate.com","uri":"http://replicate.com/blog/h100s-are-coming","extracted_on":"2024-06-25","last_seen_on":"2025-01-17","still_on_page":true},{"domain":"replicate.com","uri":"http://replicate.com/docs/topics/models/hardware","extracted_on":"2024-10-15","last_seen_on":"2025-01-16","still_on_page":true},{"domain":"replicate.com","uri":"http://replicate.com/terms","extracted_on":"2025-01-15","last_seen_on":"2025-01-15","still_on_page":true},{"domain":"replicate.com","uri":"http://replicate.com/newsletter/replicate-intelligence-2024-06-14","extracted_on":"2024-08-30","last_seen_on":"2024-10-15","still_on_page":false}],"first_name":null,"last_name":null,"position":null,"position_raw":null,"seniority":null,"department":"support","linkedin":null,"twitter":null,"phone_number":null,"verification":{"date":null,"status":null}}]</t>
  </si>
  <si>
    <t>Replicate runs machine learning models in the cloud.</t>
  </si>
  <si>
    <t>Stephanie Zhan</t>
  </si>
  <si>
    <t>squint.ai</t>
  </si>
  <si>
    <t>For you guys that might mean personalized asset types... or workflows.</t>
  </si>
  <si>
    <t>Squint</t>
  </si>
  <si>
    <t>[{"value":"meenakshi@squint.ai","type":"personal","confidence":99,"sources":[{"domain":"linkedin.com","uri":"https://www.google.com/search?q=site:linkedin.com%20meenakshi%20andoorveedu%20squint","extracted_on":"2025-01-17","last_seen_on":"2025-01-17","still_on_page":true}],"first_name":"Meenakshi","last_name":"Andoorveedu","position":"Product Manager","position_raw":"Product Manager","seniority":"senior","department":"management","linkedin":"https://www.linkedin.com/in/meenakshiandoor","twitter":null,"phone_number":null,"verification":{"date":"2025-01-17","status":"valid"}},{"value":"karla@squint.ai","type":"personal","confidence":99,"sources":[{"domain":"linkedin.com","uri":"https://www.google.com/search?q=site:linkedin.com%20karla%20luviano%20squint","extracted_on":"2025-01-03","last_seen_on":"2025-01-03","still_on_page":true}],"first_name":"Karla","last_name":"Luviano","position":null,"position_raw":null,"seniority":null,"department":null,"linkedin":"https://www.linkedin.com/in/karladdelagarza","twitter":null,"phone_number":null,"verification":{"date":null,"status":null}},{"value":"logan@squint.ai","type":"personal","confidence":99,"sources":[{"domain":"linkedin.com","uri":"https://www.google.com/search?q=site:linkedin.com%20logan%20kim%20squint","extracted_on":"2025-01-03","last_seen_on":"2025-01-03","still_on_page":true}],"first_name":"Logan","last_name":"Kim","position":"Quality Assurance Specialist","position_raw":"Quality Assurance &amp; Documentation Specialist","seniority":"senior","department":"operations","linkedin":"https://www.linkedin.com/in/loganlkim","twitter":null,"phone_number":null,"verification":{"date":null,"status":null}},{"value":"will@squint.ai","type":"personal","confidence":98,"sources":[{"domain":"linkedin.com","uri":"https://www.google.com/search?q=site:linkedin.com%20will%20sharry%20squint","extracted_on":"2025-01-03","last_seen_on":"2025-01-03","still_on_page":true}],"first_name":"Will","last_name":"Sharry","position":null,"position_raw":null,"seniority":null,"department":null,"linkedin":"https://www.linkedin.com/in/willsharry","twitter":null,"phone_number":null,"verification":{"date":null,"status":null}},{"value":"eeshan@squint.ai","type":"personal","confidence":98,"sources":[{"domain":"linkedin.com","uri":"https://www.google.com/search?q=site:linkedin.com%20eeshan%20wagh%20squint","extracted_on":"2025-01-03","last_seen_on":"2025-01-03","still_on_page":true}],"first_name":"Eeshan","last_name":"Wagh","position":"Engineer","position_raw":"Engineering @ Squint","seniority":null,"department":"it","linkedin":"https://www.linkedin.com/in/eeshan-wagh","twitter":null,"phone_number":null,"verification":{"date":null,"status":null}},{"value":"jim@squint.ai","type":"personal","confidence":98,"sources":[{"domain":"linkedin.com","uri":"https://www.google.com/search?q=site:linkedin.com%20jim%20zhu%20squint","extracted_on":"2025-01-03","last_seen_on":"2025-01-03","still_on_page":true}],"first_name":"Jim","last_name":"Zhu","position":"Founding Engineer","position_raw":"Founding Engineer","seniority":null,"department":"it","linkedin":"https://www.linkedin.com/in/jimjzhu","twitter":null,"phone_number":null,"verification":{"date":null,"status":null}},{"value":"grant@squint.ai","type":"personal","confidence":97,"sources":[{"domain":"linkedin.com","uri":"https://www.google.com/search?q=site:linkedin.com%20grant%20gliner%20squint","extracted_on":"2025-01-03","last_seen_on":"2025-01-03","still_on_page":true}],"first_name":"Grant","last_name":"Gliner","position":null,"position_raw":null,"seniority":null,"department":null,"linkedin":"https://www.linkedin.com/in/grant-gliner-a8239680","twitter":null,"phone_number":null,"verification":{"date":null,"status":null}},{"value":"elsie@squint.ai","type":"personal","confidence":97,"sources":[{"domain":"linkedin.com","uri":"https://www.google.com/search?q=site:linkedin.com%20elsie%20clark%20squint","extracted_on":"2025-01-03","last_seen_on":"2025-01-03","still_on_page":true}],"first_name":"Elsie","last_name":"Clark","position":"Software Engineer","position_raw":"Software Engineer","seniority":null,"department":"it","linkedin":"https://www.linkedin.com/in/elsieclark","twitter":null,"phone_number":null,"verification":{"date":null,"status":null}},{"value":"kim@squint.ai","type":"personal","confidence":96,"sources":[{"domain":"linkedin.com","uri":"https://www.google.com/search?q=site:linkedin.com%20kim%20bush%20squint","extracted_on":"2025-01-03","last_seen_on":"2025-01-03","still_on_page":true}],"first_name":"Kim","last_name":"Bush","position":"Sales Director","position_raw":"Head of Sales","seniority":null,"department":"sales","linkedin":"https://www.linkedin.com/in/kimberly-harris","twitter":null,"phone_number":null,"verification":{"date":"2024-12-30","status":"valid"}},{"value":"joe@squint.ai","type":"personal","confidence":96,"sources":[{"domain":"linkedin.com","uri":"https://www.google.com/search?q=site:linkedin.com%20joe%20hoffman%20squint","extracted_on":"2025-01-03","last_seen_on":"2025-01-03","still_on_page":true}],"first_name":"Joe","last_name":"Hoffman","position":"Business Development Manager","position_raw":"Business Development","seniority":"senior","department":"sales","linkedin":"https://www.linkedin.com/in/joe-hoffman-0052aa17b","twitter":null,"phone_number":null,"verification":{"date":null,"status":null}}]</t>
  </si>
  <si>
    <t>Squint connects the digital and physical worlds using cameras, sensors, and user data to present contextual information at the right time.</t>
  </si>
  <si>
    <t>Jess Lee</t>
  </si>
  <si>
    <t>turnkey.io</t>
  </si>
  <si>
    <t>For you guys that might mean personalized wallets... or txns.</t>
  </si>
  <si>
    <t>Turnkey</t>
  </si>
  <si>
    <t>[{"value":"bryce@turnkey.io","type":"personal","confidence":99,"sources":[{"domain":"linkedin.com","uri":"https://www.google.com/search?q=site:linkedin.com%20bryce%20ferguson%20turnkey","extracted_on":"2025-01-03","last_seen_on":"2025-01-03","still_on_page":true}],"first_name":"Bryce","last_name":"Ferguson","position":"Co-Founder","position_raw":"Co-Founder","seniority":null,"department":"executive","linkedin":"https://www.linkedin.com/in/bryceeferguson","twitter":null,"phone_number":null,"verification":{"date":"2025-02-15","status":"valid"}},{"value":"jack@turnkey.io","type":"personal","confidence":98,"sources":[{"domain":"linkedin.com","uri":"https://www.google.com/search?q=site:linkedin.com%20jack%20kearney%20turnkey","extracted_on":"2025-01-03","last_seen_on":"2025-01-03","still_on_page":true}],"first_name":"Jack","last_name":"Kearney","position":"Co-Founder","position_raw":"Co-Founder","seniority":null,"department":"executive","linkedin":"https://www.linkedin.com/in/jack-kearney-0b693b44","twitter":null,"phone_number":null,"verification":{"date":null,"status":null}},{"value":"taylor@turnkey.io","type":"personal","confidence":97,"sources":[{"domain":"linkedin.com","uri":"https://www.google.com/search?q=site:linkedin.com%20taylor%20dawson%20turnkey","extracted_on":"2025-01-03","last_seen_on":"2025-01-03","still_on_page":true}],"first_name":"Taylor","last_name":"Dawson","position":"Software Engineer","position_raw":"Software Engineer","seniority":null,"department":"it","linkedin":"https://www.linkedin.com/in/taylor-dawson-90330010b","twitter":null,"phone_number":null,"verification":{"date":null,"status":null}},{"value":"arnaud@turnkey.io","type":"personal","confidence":96,"sources":[{"domain":"linkedin.com","uri":"https://www.google.com/search?q=site:linkedin.com%20arnaud%20brousseau%20turnkey","extracted_on":"2025-01-03","last_seen_on":"2025-01-03","still_on_page":true}],"first_name":"Arnaud","last_name":"Brousseau","position":"Founding Engineer","position_raw":"Founding Engineer","seniority":null,"department":"it","linkedin":"https://www.linkedin.com/in/arnaudbrousseau","twitter":null,"phone_number":null,"verification":{"date":null,"status":null}},{"value":"sarah@turnkey.io","type":"personal","confidence":94,"sources":[{"domain":"blocktelegraph.io","uri":"http://blocktelegraph.io/turnkey-raises-15m-series-a-to-revolutionize-the-crypto-user-experience","extracted_on":"2024-07-19","last_seen_on":"2025-02-02","still_on_page":true}],"first_name":null,"last_name":null,"position":null,"position_raw":null,"seniority":null,"department":null,"linkedin":null,"twitter":null,"phone_number":null,"verification":{"date":null,"status":null}},{"value":"hello@turnkey.io","type":"generic","confidence":93,"sources":[{"domain":"sequoiacap.com","uri":"http://sequoiacap.com/article/partnering-with-turnkey-crypto-private-key-infrastructure","extracted_on":"2023-10-08","last_seen_on":"2025-01-09","still_on_page":true}],"first_name":null,"last_name":null,"position":null,"position_raw":null,"seniority":null,"department":"support","linkedin":null,"twitter":null,"phone_number":null,"verification":{"date":null,"status":null}}]</t>
  </si>
  <si>
    <t>Turnkey offers simple APIs to securely manage your crypto private keys.</t>
  </si>
  <si>
    <t>Alfred Lin</t>
  </si>
  <si>
    <t>twain.ai</t>
  </si>
  <si>
    <t>For you guys that might mean personalized integrations... or persona targeting.</t>
  </si>
  <si>
    <t>Twain</t>
  </si>
  <si>
    <t>Twain is an AI communication assistant for outreach.</t>
  </si>
  <si>
    <t>zeet.co</t>
  </si>
  <si>
    <t>For you guys that might mean personalized resource limits... or even alerting rules.</t>
  </si>
  <si>
    <t>Zeet</t>
  </si>
  <si>
    <t>[{"value":"johnny@zeet.co","type":"personal","confidence":98,"sources":[{"domain":"linkedin.com","uri":"https://www.google.com/search?q=site:linkedin.com%20johnny%20d%20zeet","extracted_on":"2025-01-07","last_seen_on":"2025-01-07","still_on_page":true}],"first_name":"Johnny","last_name":"D","position":"CEO","position_raw":"Founder / CEO","seniority":"executive","department":"executive","linkedin":"https://www.linkedin.com/in/theonlyjohnny","twitter":null,"phone_number":null,"verification":{"date":"2025-02-12","status":"valid"}},{"value":"support@zeet.co","type":"generic","confidence":96,"sources":[{"domain":"zeet.co","uri":"http://zeet.co/legal-pages/privacy","extracted_on":"2023-06-09","last_seen_on":"2025-01-26","still_on_page":true},{"domain":"zeet.co","uri":"http://zeet.co/legal-pages/tos","extracted_on":"2023-06-09","last_seen_on":"2025-01-25","still_on_page":true}],"first_name":null,"last_name":null,"position":null,"position_raw":null,"seniority":null,"department":"support","linkedin":null,"twitter":null,"phone_number":null,"verification":{"date":null,"status":null}},{"value":"gabe@zeet.co","type":"personal","confidence":95,"sources":[{"domain":"zeet.co","uri":"http://zeet.co/blog/supercharge-your-programmatic-saas-product-delivery","extracted_on":"2023-06-09","last_seen_on":"2023-09-08","still_on_page":false}],"first_name":null,"last_name":null,"position":null,"position_raw":null,"seniority":null,"department":null,"linkedin":null,"twitter":null,"phone_number":null,"verification":{"date":null,"status":null}}]</t>
  </si>
  <si>
    <t>Zeet.co</t>
  </si>
  <si>
    <t>Zeet makes it easier to interact with your cloud, so you can spend your time building applications instead of configuring infrastructure.</t>
  </si>
  <si>
    <t>stainlessapi.com</t>
  </si>
  <si>
    <t>For you guys that might mean personalized error codes... or endpoints.</t>
  </si>
  <si>
    <t>Stainless</t>
  </si>
  <si>
    <t>[{"value":"mark@stainlessapi.com","type":"personal","confidence":94,"sources":[{"domain":"stainlessapi.com","uri":"http://stainlessapi.com/company-stainless","extracted_on":"2024-09-19","last_seen_on":"2024-09-19","still_on_page":true}],"first_name":"Mark","last_name":"Mcgranaghan","position":"Engineer","position_raw":"Engineering","seniority":null,"department":"it","linkedin":"https://www.linkedin.com/in/mmcgrana","twitter":null,"phone_number":null,"verification":{"date":"2025-01-03","status":"accept_all"}},{"value":"toon@stainlessapi.com","type":"personal","confidence":93,"sources":[{"domain":"linkedin.com","uri":"https://www.google.com/search?q=site:linkedin.com%20toon%20lambrecht%20stainlessapi","extracted_on":"2025-01-14","last_seen_on":"2025-01-14","still_on_page":true}],"first_name":"Toon","last_name":"Lambrecht","position":"Account Executive","position_raw":"Founding Account Executive","seniority":"executive","department":"sales","linkedin":"https://www.linkedin.com/in/toon-lambrecht","twitter":null,"phone_number":null,"verification":{"date":"2025-01-23","status":"accept_all"}},{"value":"ryan@stainlessapi.com","type":"personal","confidence":91,"sources":[{"domain":"stainlessapi.com","uri":"http://stainlessapi.com/company-stainless","extracted_on":"2024-09-19","last_seen_on":"2024-09-19","still_on_page":true}],"first_name":"Ryan","last_name":"Paul","position":null,"position_raw":null,"seniority":null,"department":null,"linkedin":"https://www.linkedin.com/in/segphault","twitter":null,"phone_number":null,"verification":{"date":"2025-01-03","status":"accept_all"}},{"value":"robert@stainlessapi.com","type":"personal","confidence":90,"sources":[{"domain":"stainlessapi.com","uri":"http://stainlessapi.com/company-stainless","extracted_on":"2024-09-19","last_seen_on":"2024-09-19","still_on_page":true}],"first_name":"Robert","last_name":"Craigie","position":"Software Engineer","position_raw":"Software Engineer","seniority":null,"department":"it","linkedin":"https://www.linkedin.com/in/robert-craigie-16b331306","twitter":null,"phone_number":null,"verification":{"date":"2025-01-03","status":"accept_all"}},{"value":"amanah@stainlessapi.com","type":"personal","confidence":89,"sources":[{"domain":"linkedin.com","uri":"https://www.google.com/search?q=site:linkedin.com%20amanah%20baja%20stainlessapi","extracted_on":"2025-01-13","last_seen_on":"2025-01-13","still_on_page":true}],"first_name":"Amanah","last_name":"Baja","position":"Owner","position_raw":"Owner","seniority":null,"department":null,"linkedin":"https://www.linkedin.com/in/solusi-amanah-baja-41a122231","twitter":null,"phone_number":null,"verification":{"date":"2025-01-13","status":"accept_all"}},{"value":"youngjin@stainlessapi.com","type":"personal","confidence":88,"sources":[{"domain":"linkedin.com","uri":"https://www.google.com/search?q=site:linkedin.com%20youngjin%20park%20stainlessapi","extracted_on":"2025-01-03","last_seen_on":"2025-01-03","still_on_page":true}],"first_name":"Youngjin","last_name":"Park","position":"Software Engineer","position_raw":"Founding Software Engineer","seniority":null,"department":"it","linkedin":"https://www.linkedin.com/in/youngjin-park-0412b81a0","twitter":null,"phone_number":null,"verification":{"date":null,"status":null}},{"value":"alex@stainlessapi.com","type":"personal","confidence":85,"sources":[{"domain":"bizops.careers","uri":"http://bizops.careers/jobs/94958114-chief-of-staff-bizops-strategy-lead","extracted_on":"2025-01-13","last_seen_on":"2025-01-13","still_on_page":true},{"domain":"mattglei.ch","uri":"http://mattglei.ch/resume.pdf","extracted_on":"2024-07-13","last_seen_on":"2025-01-13","still_on_page":true},{"domain":"gettjalerts.com","uri":"http://gettjalerts.com/jobs/0fd57cd5-8b4b-4f21-a827-7fee56118399","extracted_on":"2024-06-28","last_seen_on":"2024-06-28","still_on_page":false},{"domain":"gettjalerts.com","uri":"http://gettjalerts.com/jobs/bc27f6e4-88de-4c42-ba69-0902ff85c20a","extracted_on":"2024-06-28","last_seen_on":"2024-06-28","still_on_page":false}],"first_name":null,"last_name":null,"position":null,"position_raw":null,"seniority":null,"department":null,"linkedin":null,"twitter":null,"phone_number":null,"verification":{"date":"2025-02-24","status":"accept_all"}},{"value":"jacob@stainlessapi.com","type":"personal","confidence":84,"sources":[{"domain":"go.googlesource.com","uri":"http://go.googlesource.com/tools/+log","extracted_on":"2024-12-07","last_seen_on":"2024-12-29","still_on_page":true}],"first_name":null,"last_name":null,"position":null,"position_raw":null,"seniority":null,"department":null,"linkedin":null,"twitter":null,"phone_number":null,"verification":{"date":"2025-01-03","status":"accept_all"}},{"value":"sales@stainlessapi.com","type":"generic","confidence":83,"sources":[{"domain":"stainlessapi.com","uri":"http://stainlessapi.com","extracted_on":"2024-12-19","last_seen_on":"2024-12-19","still_on_page":true},{"domain":"stainlessapi.com","uri":"http://stainlessapi.com/customers/cloudflare","extracted_on":"2024-12-19","last_seen_on":"2024-12-19","still_on_page":true},{"domain":"stainlessapi.com","uri":"http://stainlessapi.com/customers/modern-treasury","extracted_on":"2024-12-19","last_seen_on":"2024-12-19","still_on_page":true},{"domain":"stainlessapi.com","uri":"http://stainlessapi.com/customers/openai","extracted_on":"2024-12-19","last_seen_on":"2024-12-19","still_on_page":true},{"domain":"stainlessapi.com","uri":"http://stainlessapi.com/pricing","extracted_on":"2024-05-06","last_seen_on":"2024-12-19","still_on_page":true}],"first_name":null,"last_name":null,"position":null,"position_raw":null,"seniority":null,"department":"sales","linkedin":null,"twitter":null,"phone_number":null,"verification":{"date":"2025-01-03","status":"accept_all"}},{"value":"support@stainlessapi.com","type":"generic","confidence":79,"sources":[{"domain":"stainlessapi.com","uri":"http://stainlessapi.com/legal/customer-agreement-self-service","extracted_on":"2024-02-06","last_seen_on":"2024-12-19","still_on_page":true},{"domain":"stainlessapi.com","uri":"http://stainlessapi.com/pricing","extracted_on":"2024-09-19","last_seen_on":"2024-12-19","still_on_page":true},{"domain":"stainlessapi.com","uri":"http://stainlessapi.com/request-demo","extracted_on":"2024-05-06","last_seen_on":"2024-12-19","still_on_page":true}],"first_name":null,"last_name":null,"position":null,"position_raw":null,"seniority":null,"department":"support","linkedin":null,"twitter":null,"phone_number":null,"verification":{"date":null,"status":null}}]</t>
  </si>
  <si>
    <t>Stainless helps API providers easily create high-quality SDKs.</t>
  </si>
  <si>
    <t>stairwell.com</t>
  </si>
  <si>
    <t>For you guys that might mean personalized YARA rules... or IOCs.</t>
  </si>
  <si>
    <t>Stairwell</t>
  </si>
  <si>
    <t>[{"value":"ben@stairwell.com","type":"personal","confidence":94,"sources":[{"domain":"linkedin.com","uri":"https://www.google.com/search?q=site:linkedin.com%20ben%20smith%20stairwell","extracted_on":"2025-02-04","last_seen_on":"2025-02-04","still_on_page":true}],"first_name":"Ben","last_name":"Smith","position":"Vice President of Engineering","position_raw":"VP of Finance and Operations","seniority":"executive","department":"it","linkedin":"https://www.linkedin.com/in/ben-smith-04072b18","twitter":null,"phone_number":null,"verification":{"date":"2025-02-25","status":"accept_all"}},{"value":"rory@stairwell.com","type":"personal","confidence":92,"sources":[{"domain":"linkedin.com","uri":"https://www.google.com/search?q=site:linkedin.com%20rory%20wohl%20stairwell","extracted_on":"2025-01-14","last_seen_on":"2025-01-14","still_on_page":true}],"first_name":"Rory","last_name":"Wohl","position":"Compliance Manager","position_raw":"Head of Compliance","seniority":"senior","department":"management","linkedin":"https://www.linkedin.com/in/rorywohl","twitter":null,"phone_number":null,"verification":{"date":"2025-01-14","status":"accept_all"}},{"value":"daniel@stairwell.com","type":"personal","confidence":89,"sources":[{"domain":"stairwell.com","uri":"http://stairwell.com/resources/security-alert-enrichment-terminator-endpoint-defense-evasion-tool","extracted_on":"2023-10-29","last_seen_on":"2025-02-02","still_on_page":true},{"domain":"stairwell.com","uri":"http://stairwell.com/resources/exmatter-clues-to-the-future-of-data-extortion","extracted_on":"2023-10-29","last_seen_on":"2024-12-28","still_on_page":true},{"domain":"stairwell.com","uri":"http://stairwell.com/news/security-alert-enrichment-terminator-endpoint-defense-evasion-tool","extracted_on":"2023-06-25","last_seen_on":"2024-12-25","still_on_page":true},{"domain":"stairwell.com","uri":"http://stairwell.com/news/threat-research-report-exmatter-future-of-data-extortion","extracted_on":"2023-03-25","last_seen_on":"2024-12-25","still_on_page":true},{"domain":"stairwell.com","uri":"http://stairwell.com/resources/chamelgang-and-chameldoh-a-dns-over-https-implant","extracted_on":"2024-06-25","last_seen_on":"2024-12-25","still_on_page":true}],"first_name":null,"last_name":null,"position":null,"position_raw":null,"seniority":null,"department":null,"linkedin":null,"twitter":null,"phone_number":null,"verification":{"date":null,"status":null}},{"value":"press@stairwell.com","type":"generic","confidence":88,"sources":[{"domain":"stairwell.com","uri":"http://stairwell.com/blog/stairwell-now-available-on-google-cloud-marketplace","extracted_on":"2023-10-29","last_seen_on":"2025-02-03","still_on_page":true},{"domain":"stairwell.com","uri":"http://stairwell.com/blog/stairwell-and-360-soc-announce-partnership-uplifting-the-cybersecurity-high-ground","extracted_on":"2024-06-25","last_seen_on":"2025-02-02","still_on_page":true},{"domain":"stairwell.com","uri":"http://stairwell.com/blog/stairwell-appoints-cybersecurity-veteran-john-yun-as-vice-president-of-marketing","extracted_on":"2024-06-25","last_seen_on":"2025-02-02","still_on_page":true},{"domain":"stairwell.com","uri":"http://stairwell.com/blog/stairwell-hires-eric-foster-as-next-step-in-strategic-expansion","extracted_on":"2024-06-25","last_seen_on":"2025-02-02","still_on_page":true},{"domain":"360soc.com","uri":"http://360soc.com/2023/10/10/stairwell-and-360-soc-announce-partnership-uplifting-the-cybersecurity-high-ground","extracted_on":"2023-12-14","last_seen_on":"2025-01-08","still_on_page":true},{"domain":"njfcapital.com","uri":"http://njfcapital.com/njf-capital-blog/2022/7/28/stairwell-announces-mssp-partnership-with-cyderes","extracted_on":"2022-08-28","last_seen_on":"2025-01-01","still_on_page":true},{"domain":"njfcapital.com","uri":"http://njfcapital.com/news/2022/7/26/stairwell-announces-mssp-partnership-with-cyderes","extracted_on":"2023-02-28","last_seen_on":"2024-12-30","still_on_page":true},{"domain":"stairwell.com","uri":"http://stairwell.com/blog/stairwell-expands-its-bench-of-security-experts-with-three-leadership-hires-to-accelerate-company-growth","extracted_on":"2024-01-29","last_seen_on":"2024-12-28","still_on_page":true},{"domain":"news.websitegear.com","uri":"http://news.websitegear.com/view/1364852/stairwell%5fannounces%5fcloudflare%5fintegration%5foffering%5fdns%5fanalysis%5ffor%5fmalware%5fresearch","extracted_on":"2024-01-24","last_seen_on":"2024-11-24","still_on_page":true}],"first_name":null,"last_name":null,"position":null,"position_raw":null,"seniority":null,"department":"communication","linkedin":null,"twitter":null,"phone_number":null,"verification":{"date":"2025-02-20","status":"accept_all"}},{"value":"silas@stairwell.com","type":"personal","confidence":87,"sources":[{"domain":"stairwell.com","uri":"http://stairwell.com/resources/kuiper-ransomware-analysis-stairwells-technical-report","extracted_on":"2024-01-29","last_seen_on":"2024-12-25","still_on_page":true},{"domain":"stairwell.com","uri":"http://stairwell.com/resources/technical-analysis-the-silent-torrent-of-vilerat","extracted_on":"2024-02-22","last_seen_on":"2024-12-25","still_on_page":true},{"domain":"stairwell.com","uri":"http://stairwell.com/news/whispers-in-the-noise-microsoft-ukraine-whispergate","extracted_on":"2022-09-21","last_seen_on":"2024-12-22","still_on_page":true}],"first_name":null,"last_name":null,"position":null,"position_raw":null,"seniority":null,"department":null,"linkedin":null,"twitter":null,"phone_number":null,"verification":{"date":null,"status":null}},{"value":"mike@stairwell.com","type":"personal","confidence":84,"sources":[{"domain":"darkreading.com","uri":"http://darkreading.com/author/mike-wiacek","extracted_on":"2023-10-14","last_seen_on":"2025-01-14","still_on_page":true}],"first_name":null,"last_name":null,"position":null,"position_raw":null,"seniority":null,"department":null,"linkedin":null,"twitter":null,"phone_number":null,"verification":{"date":"2025-02-25","status":"accept_all"}},{"value":"cstmyers@stairwell.com","type":"personal","confidence":83,"sources":[{"domain":"stairwell.com","uri":"http://stairwell.com/resources/security-alert-enrichment-terminator-endpoint-defense-evasion-tool","extracted_on":"2023-10-29","last_seen_on":"2025-02-02","still_on_page":true},{"domain":"stairwell.com","uri":"http://stairwell.com/news/security-alert-enrichment-terminator-endpoint-defense-evasion-tool","extracted_on":"2023-06-25","last_seen_on":"2024-12-25","still_on_page":true}],"first_name":null,"last_name":null,"position":null,"position_raw":null,"seniority":null,"department":null,"linkedin":null,"twitter":null,"phone_number":null,"verification":{"date":null,"status":null}},{"value":"achew@stairwell.com","type":"personal","confidence":82,"sources":[{"domain":"gerrit.googlesource.com","uri":"http://gerrit.googlesource.com/plugins/serviceuser/+log","extracted_on":"2023-06-16","last_seen_on":"2025-02-09","still_on_page":true}],"first_name":null,"last_name":null,"position":null,"position_raw":null,"seniority":null,"department":null,"linkedin":null,"twitter":null,"phone_number":null,"verification":{"date":null,"status":null}},{"value":"security@stairwell.com","type":"generic","confidence":79,"sources":[{"domain":"stairwell.com","uri":"http://stairwell.com/vulnerability-disclosure-policy","extracted_on":"2023-10-29","last_seen_on":"2025-01-29","still_on_page":true},{"domain":"openbugbounty.org","uri":"http://openbugbounty.org/bugbounty/stairwell","extracted_on":"2023-09-16","last_seen_on":"2024-12-16","still_on_page":true}],"first_name":null,"last_name":null,"position":null,"position_raw":null,"seniority":null,"department":"support","linkedin":null,"twitter":null,"phone_number":null,"verification":{"date":null,"status":null}},{"value":"info@stairwell.com","type":"generic","confidence":78,"sources":[{"domain":"stairwell.com","uri":"http://stairwell.com/website-terms-and-conditions","extracted_on":"2023-03-25","last_seen_on":"2025-02-02","still_on_page":true},{"domain":"beta.paganresearch.io","uri":"http://beta.paganresearch.io/details/stairwell-inc","extracted_on":"2021-10-05","last_seen_on":"2024-01-14","still_on_page":false},{"domain":"stairwell.com","uri":"http://stairwell.com/terms-of-service","extracted_on":"2021-05-04","last_seen_on":"2021-09-11","still_on_page":false}],"first_name":null,"last_name":null,"position":null,"position_raw":null,"seniority":null,"department":"support","linkedin":null,"twitter":null,"phone_number":null,"verification":{"date":null,"status":null}}]</t>
  </si>
  <si>
    <t>Stairwell is a cybersecurity company building enhanced security diagnostics.</t>
  </si>
  <si>
    <t>agency.inc</t>
  </si>
  <si>
    <t>0.6</t>
  </si>
  <si>
    <t>For you guys that might mean personalized reporting... or dashboards.</t>
  </si>
  <si>
    <t>Agency</t>
  </si>
  <si>
    <t>[{"value":"press@agency.inc","type":"generic","confidence":75,"sources":[{"domain":"agency.inc","uri":"http://agency.inc/press","extracted_on":"2024-10-17","last_seen_on":"2025-01-17","still_on_page":true}],"first_name":null,"last_name":null,"position":null,"position_raw":null,"seniority":null,"department":"communication","linkedin":null,"twitter":null,"phone_number":null,"verification":{"date":null,"status":null}}]</t>
  </si>
  <si>
    <t>Agency is the AI agent for customer success.</t>
  </si>
  <si>
    <t>Pat Grady</t>
  </si>
  <si>
    <t>cove.ai</t>
  </si>
  <si>
    <t>For you guys that might mean personalized AI models or workflows.</t>
  </si>
  <si>
    <t>Cove</t>
  </si>
  <si>
    <t>[{"value":"mike@cove.ai","type":"personal","confidence":99,"sources":[{"domain":"linkedin.com","uri":"https://www.google.com/search?q=site:linkedin.com%20mike%20chu%20cove","extracted_on":"2025-01-03","last_seen_on":"2025-01-03","still_on_page":true}],"first_name":"Mike","last_name":"Chu","position":null,"position_raw":null,"seniority":null,"department":null,"linkedin":"https://www.linkedin.com/in/mike-chu-mikechu","twitter":null,"phone_number":null,"verification":{"date":"2025-02-06","status":"valid"}},{"value":"stephen@cove.ai","type":"personal","confidence":98,"sources":[{"domain":"linkedin.com","uri":"https://www.google.com/search?q=site:linkedin.com%20stephen%20chau%20cove","extracted_on":"2025-01-03","last_seen_on":"2025-01-03","still_on_page":true}],"first_name":"Stephen","last_name":"Chau","position":null,"position_raw":null,"seniority":null,"department":null,"linkedin":"https://www.linkedin.com/in/stephenchau","twitter":null,"phone_number":null,"verification":{"date":"2025-02-06","status":"valid"}}]</t>
  </si>
  <si>
    <t>Cove is an AI-assisted workspace that helps you get more done.</t>
  </si>
  <si>
    <t>cybersyn.com</t>
  </si>
  <si>
    <t>For you guys that might mean personalized metrics or brand lists.</t>
  </si>
  <si>
    <t>Cybersyn</t>
  </si>
  <si>
    <t>[{"value":"ashley.nagaki@cybersyn.com","type":"personal","confidence":99,"sources":[{"domain":"linkedin.com","uri":"https://www.google.com/search?q=site:linkedin.com%20ashley%20nagaki%20cybersyn","extracted_on":"2025-01-03","last_seen_on":"2025-01-03","still_on_page":true}],"first_name":"Ashley","last_name":"Nagaki","position":"Chief Operating Officer","position_raw":"Head of Operations and Strategy","seniority":"executive","department":"executive","linkedin":"https://www.linkedin.com/in/anagaki","twitter":null,"phone_number":null,"verification":{"date":"2025-01-16","status":"invalid"}},{"value":"guy.duer@cybersyn.com","type":"personal","confidence":98,"sources":[{"domain":"linkedin.com","uri":"https://www.google.com/search?q=site:linkedin.com%20guy%20duer%20cybersyn","extracted_on":"2025-01-03","last_seen_on":"2025-01-03","still_on_page":true}],"first_name":"Guy","last_name":"Duer","position":"Senior Data Scientist","position_raw":"Senior Data Scientist","seniority":"senior","department":"it","linkedin":"https://www.linkedin.com/in/gduer","twitter":null,"phone_number":null,"verification":{"date":"2025-01-16","status":"invalid"}},{"value":"colin@cybersyn.com","type":"personal","confidence":97,"sources":[{"domain":"linkedin.com","uri":"https://www.google.com/search?q=site:linkedin.com%20colin%20lippincott%20cybersyn","extracted_on":"2025-01-07","last_seen_on":"2025-01-07","still_on_page":true}],"first_name":"Colin","last_name":"Lippincott","position":"Head of Product","position_raw":"Head of Data Product","seniority":"executive","department":"management","linkedin":"https://www.linkedin.com/in/colin-lippincott-010b95a2","twitter":null,"phone_number":null,"verification":{"date":"2025-01-16","status":"valid"}},{"value":"victoria.warner@cybersyn.com","type":"personal","confidence":94,"sources":[{"domain":"linkedin.com","uri":"https://www.google.com/search?q=site:linkedin.com%20victoria%20warner%20cybersyn","extracted_on":"2025-01-03","last_seen_on":"2025-01-03","still_on_page":true}],"first_name":"Victoria","last_name":"Warner","position":"Product Manager","position_raw":"Product","seniority":"senior","department":"management","linkedin":"https://www.linkedin.com/in/victoriarwarner","twitter":null,"phone_number":null,"verification":{"date":"2025-01-16","status":"invalid"}},{"value":"support@cybersyn.com","type":"generic","confidence":88,"sources":[{"domain":"cybersyn.com","uri":"http://cybersyn.com/wp-content/uploads/2023/03/privacy-policy.pdf","extracted_on":"2023-07-12","last_seen_on":"2024-12-18","still_on_page":true},{"domain":"cybersyn.com","uri":"http://cybersyn.com/privacy-policy","extracted_on":"2023-07-14","last_seen_on":"2024-07-14","still_on_page":false},{"domain":"cybersyn.com","uri":"http://cybersyn.com/cookie-notice","extracted_on":"2023-04-12","last_seen_on":"2024-07-13","still_on_page":false},{"domain":"cybersyn.com","uri":"http://cybersyn.com/technology","extracted_on":"2023-07-12","last_seen_on":"2024-01-13","still_on_page":false},{"domain":"cybersyn.com","uri":"http://cybersyn.com/consumer","extracted_on":"2023-07-12","last_seen_on":"2024-01-12","still_on_page":false}],"first_name":null,"last_name":null,"position":null,"position_raw":null,"seniority":null,"department":"support","linkedin":null,"twitter":null,"phone_number":null,"verification":{"date":null,"status":null}},{"value":"hello@cybersyn.com","type":"generic","confidence":73,"sources":[{"domain":"cybersyn.com","uri":"http://cybersyn.com","extracted_on":"2023-04-12","last_seen_on":"2024-10-14","still_on_page":false},{"domain":"cybersyn.com","uri":"http://cybersyn.com/blog-series-a","extracted_on":"2023-04-12","last_seen_on":"2023-04-12","still_on_page":false},{"domain":"cybersyn.com","uri":"http://cybersyn.com/cookie-notice","extracted_on":"2023-04-12","last_seen_on":"2023-04-12","still_on_page":false},{"domain":"cybersyn.com","uri":"http://cybersyn.com/privacy-policy","extracted_on":"2023-04-12","last_seen_on":"2023-04-12","still_on_page":false},{"domain":"cybersyn.com","uri":"http://cybersyn.com/product-catalog","extracted_on":"2023-04-12","last_seen_on":"2023-04-12","still_on_page":false}],"first_name":null,"last_name":null,"position":null,"position_raw":null,"seniority":null,"department":"support","linkedin":null,"twitter":null,"phone_number":null,"verification":{"date":null,"status":null}}]</t>
  </si>
  <si>
    <t>Cybersyn delivers economic data in near real-time to inform decision markers in businesses and governments.</t>
  </si>
  <si>
    <t>day.ai</t>
  </si>
  <si>
    <t>For you guys that might mean personalized AI models... or data integrations.</t>
  </si>
  <si>
    <t>Day</t>
  </si>
  <si>
    <t>[{"value":"accounts@day.ai","type":"generic","confidence":10,"sources":[{"domain":"day.ai","uri":"http://day.ai/terms","extracted_on":"2023-09-12","last_seen_on":"2024-06-12","still_on_page":false}],"first_name":null,"last_name":null,"position":null,"position_raw":null,"seniority":null,"department":null,"linkedin":null,"twitter":null,"phone_number":null,"verification":{"date":null,"status":null}}]</t>
  </si>
  <si>
    <t>Day.ai</t>
  </si>
  <si>
    <t>Day.ai is an AI-native CRM that brings the voice of the customer into every decision.</t>
  </si>
  <si>
    <t>Dannie Herzberg</t>
  </si>
  <si>
    <t>edxmarkets.com</t>
  </si>
  <si>
    <t>For you guys that might mean personalized crypto listings... or leverage amounts.</t>
  </si>
  <si>
    <t>EDX</t>
  </si>
  <si>
    <t>[{"value":"chris.walsh@edxmarkets.com","type":"personal","confidence":99,"sources":[{"domain":"linkedin.com","uri":"https://www.google.com/search?q=site:linkedin.com%20chris%20walsh%20edxmarkets","extracted_on":"2025-01-12","last_seen_on":"2025-01-12","still_on_page":true}],"first_name":"Chris","last_name":"Walsh","position":"Head of Trading","position_raw":"Head of Trading Systems","seniority":"executive","department":"finance","linkedin":"https://www.linkedin.com/in/chris-walsh-b7008b9","twitter":null,"phone_number":null,"verification":{"date":"2025-01-12","status":"valid"}},{"value":"nataliya.manina@edxmarkets.com","type":"personal","confidence":99,"sources":[{"domain":"linkedin.com","uri":"https://www.google.com/search?q=site:linkedin.com%20nataliya%20manina%20edxmarkets","extracted_on":"2025-01-11","last_seen_on":"2025-01-11","still_on_page":true}],"first_name":"Nataliya","last_name":"Manina","position":"Chief Compliance Officer","position_raw":"Chief Compliance Officer","seniority":"executive","department":"executive","linkedin":"https://www.linkedin.com/in/nataliya-manina-76350b49","twitter":null,"phone_number":null,"verification":{"date":"2025-01-11","status":"valid"}},{"value":"jamie.pielock@edxmarkets.com","type":"personal","confidence":99,"sources":[{"domain":"linkedin.com","uri":"https://www.google.com/search?q=site:linkedin.com%20jamie%20pielock%20edxmarkets","extracted_on":"2025-01-10","last_seen_on":"2025-01-10","still_on_page":true}],"first_name":"Jamie","last_name":"Pielock","position":"Vice President, Business Development","position_raw":"Vice President, Business Development","seniority":null,"department":"sales","linkedin":"https://www.linkedin.com/in/jamiepielock","twitter":null,"phone_number":null,"verification":{"date":"2025-01-10","status":"valid"}},{"value":"charlotte.smith@edxmarkets.com","type":"personal","confidence":99,"sources":[{"domain":"linkedin.com","uri":"https://www.google.com/search?q=site:linkedin.com%20charlotte%20smith%20edxmarkets","extracted_on":"2025-01-09","last_seen_on":"2025-01-09","still_on_page":true}],"first_name":"Charlotte","last_name":"Smith","position":"Executive Assistant","position_raw":"Executive Assistant to Chief Executive Officer","seniority":"executive","department":"operations","linkedin":"https://www.linkedin.com/in/charlotte-smith-89507ab5","twitter":null,"phone_number":null,"verification":{"date":"2025-02-10","status":"valid"}},{"value":"jamil.nazarali@edxmarkets.com","type":"personal","confidence":98,"sources":[{"domain":"linkedin.com","uri":"https://www.google.com/search?q=site:linkedin.com%20jamil%20nazarali%20edxmarkets","extracted_on":"2025-01-11","last_seen_on":"2025-01-11","still_on_page":true}],"first_name":"Jamil","last_name":"Nazarali","position":"CEO","position_raw":"Chief Executive Officer","seniority":"executive","department":"executive","linkedin":"https://www.linkedin.com/in/jamil-nazarali-2016044","twitter":null,"phone_number":null,"verification":{"date":"2025-01-11","status":"valid"}},{"value":"john.fennell@edxmarkets.com","type":"personal","confidence":98,"sources":[{"domain":"linkedin.com","uri":"https://www.google.com/search?q=site:linkedin.com%20john%20fennell%20edxmarkets","extracted_on":"2025-01-11","last_seen_on":"2025-01-11","still_on_page":true}],"first_name":"John","last_name":"Fennell","position":"Chief Risk Officer","position_raw":"Chief Risk Officer &amp; Head of Clearing Operations","seniority":"executive","department":"executive","linkedin":"https://www.linkedin.com/in/john-fennell-77262ba","twitter":null,"phone_number":null,"verification":{"date":null,"status":null}},{"value":"sachin.suresh@edxmarkets.com","type":"personal","confidence":98,"sources":[{"domain":"linkedin.com","uri":"https://www.google.com/search?q=site:linkedin.com%20sachin%20suresh%20edxmarkets","extracted_on":"2025-01-10","last_seen_on":"2025-01-10","still_on_page":true}],"first_name":"Sachin","last_name":"Suresh","position":"Director of Engineering","position_raw":"Head of Engineering","seniority":null,"department":"it","linkedin":"https://www.linkedin.com/in/sachin-suresh","twitter":null,"phone_number":null,"verification":{"date":"2025-01-10","status":"valid"}},{"value":"mops@edxmarkets.com","type":"generic","confidence":97,"sources":[{"domain":"edxmarkets.com","uri":"http://edxmarkets.com/vr-edx-markets","extracted_on":"2024-10-09","last_seen_on":"2025-01-10","still_on_page":true},{"domain":"edxmarkets.com","uri":"http://edxmarkets.com/trading-resources","extracted_on":"2024-12-18","last_seen_on":"2024-12-18","still_on_page":true},{"domain":"edxmarkets.com","uri":"http://edxmarkets.com/trading-resources/support-and-faqs","extracted_on":"2023-09-20","last_seen_on":"2024-08-18","still_on_page":false}],"first_name":null,"last_name":null,"position":null,"position_raw":null,"seniority":null,"department":null,"linkedin":null,"twitter":null,"phone_number":null,"verification":{"date":null,"status":null}},{"value":"press@edxmarkets.com","type":"generic","confidence":97,"sources":[{"domain":"startup365.fr","uri":"http://startup365.fr/category/business-wire/page/2","extracted_on":"2024-05-08","last_seen_on":"2024-05-08","still_on_page":true},{"domain":"startup365.fr","uri":"http://startup365.fr/category/business-wire","extracted_on":"2024-05-08","last_seen_on":"2024-05-08","still_on_page":true},{"domain":"miscw.com","uri":"http://miscw.com/edx-markets-launches-singapore-based-edxm-global-117613.html","extracted_on":"2024-05-27","last_seen_on":"2024-11-29","still_on_page":true},{"domain":"edxmarkets.com","uri":"http://edxmarkets.com/trading-resources","extracted_on":"2024-12-18","last_seen_on":"2024-12-18","still_on_page":true},{"domain":"edxmarkets.com","uri":"http://edxmarkets.com/join-edxm-global","extracted_on":"2025-01-09","last_seen_on":"2025-01-10","still_on_page":true},{"domain":"edxmarkets.com","uri":"http://edxmarkets.com/contact","extracted_on":"2022-12-17","last_seen_on":"2025-01-10","still_on_page":true},{"domain":"anchorage.com","uri":"http://anchorage.com/insights/edx-markets-selects-anchorage-digital-as-custody-provider","extracted_on":"2023-10-10","last_seen_on":"2025-01-15","still_on_page":true},{"domain":"soliduslabs.com","uri":"http://soliduslabs.com/post/edx-markets-partners-with-solidus-labs-for-crypto-transaction-monitoring","extracted_on":"2023-10-26","last_seen_on":"2025-01-22","still_on_page":true},{"domain":"paxos.com","uri":"http://paxos.com/2022/10/05/edx-markets-partners-with-paxos-for-digital-asset-custody-services-on-new-exchange","extracted_on":"2023-01-15","last_seen_on":"2025-01-24","still_on_page":true},{"domain":"dehfi.com","uri":"http://dehfi.com/articles/digital-asset-platform-edx-markets-begins-trading-and-completes-new-funding-round","extracted_on":"2023-12-08","last_seen_on":"2025-01-27","still_on_page":true},{"domain":"aijourn.com","uri":"http://aijourn.com/edx-markets-launches-clearinghouse-for-crypto-trading-and-announces-completion-of-series-b-funding-round","extracted_on":"2024-07-30","last_seen_on":"2025-01-30","still_on_page":true},{"domain":"talos.com","uri":"http://talos.com/insights/edx-markets-integrates-with-talos","extracted_on":"2023-08-07","last_seen_on":"2025-02-08","still_on_page":true},{"domain":"gpj888.com","uri":"http://gpj888.com/wenchuan/20240510/46083.html","extracted_on":"2024-05-10","last_seen_on":"2025-02-11","still_on_page":true},{"domain":"edxmarkets.com","uri":"http://edxmarkets.com/join-edx","extracted_on":"2024-12-20","last_seen_on":"2025-02-18","still_on_page":true},{"domain":"edxmarkets.com","uri":"http://edxmarkets.com/edxmglobal","extracted_on":"2024-11-18","last_seen_on":"2025-02-18","still_on_page":true},{"domain":"startup365.fr","uri":"http://startup365.fr/author/862global/page/3","extracted_on":"2024-05-08","last_seen_on":"2024-05-09","still_on_page":false},{"domain":"startup365.fr","uri":"http://startup365.fr/author/862global","extracted_on":"2024-05-08","last_seen_on":"2024-05-08","still_on_page":false},{"domain":"startup365.fr","uri":"http://startup365.fr/author/862global/page/2","extracted_on":"2024-05-08","last_seen_on":"2024-05-08","still_on_page":false},{"domain":"businesswire.tranews.com","uri":"http://businesswire.tranews.com","extracted_on":"2024-01-24","last_seen_on":"2024-01-26","still_on_page":false},{"domain":"cryptonetwork.site","uri":"http://cryptonetwork.site/edx-markets-selects-anchorage-digital-as-custody-provider-for-new-clearinghouse-business","extracted_on":"2023-12-06","last_seen_on":"2023-12-06","still_on_page":false},{"domain":"bytesteam.com","uri":"http://bytesteam.com/2023/07/10/digital-asset-platform-edx-markets-begins-trading-and-completes-new-funding-round","extracted_on":"2023-07-14","last_seen_on":"2023-07-15","still_on_page":false},{"domain":"corporatemedianews.com","uri":"http://corporatemedianews.com/2023/06/digital-asset-platform-edx-markets-begins-trading-and-completes-new-funding-round","extracted_on":"2023-07-10","last_seen_on":"2023-07-10","still_on_page":false},{"domain":"cn.blockchain.news","uri":"http://cn.blockchain.news/businesswire","extracted_on":"2022-09-13","last_seen_on":"2022-09-16","still_on_page":false}],"first_name":null,"last_name":null,"position":null,"position_raw":null,"seniority":null,"department":"communication","linkedin":null,"twitter":null,"phone_number":null,"verification":{"date":null,"status":null}},{"value":"sales@edxmarkets.com","type":"generic","confidence":96,"sources":[{"domain":"edxmarkets.com","uri":"http://edxmarkets.com/edxmglobal","extracted_on":"2024-11-18","last_seen_on":"2025-02-18","still_on_page":true},{"domain":"edxmarkets.com","uri":"http://edxmarkets.com/join-edx","extracted_on":"2024-09-18","last_seen_on":"2025-02-18","still_on_page":true},{"domain":"azcryptoexchanges.com","uri":"http://azcryptoexchanges.com/exchanges/edx-markets-review","extracted_on":"2023-10-18","last_seen_on":"2025-01-12","still_on_page":true},{"domain":"edxmarkets.com","uri":"http://edxmarkets.com/contact","extracted_on":"2023-09-17","last_seen_on":"2025-01-10","still_on_page":true},{"domain":"edxmarkets.com","uri":"http://edxmarkets.com/join-edxm-global","extracted_on":"2025-01-09","last_seen_on":"2025-01-10","still_on_page":true},{"domain":"edxmarkets.com","uri":"http://edxmarkets.com/trading-resources","extracted_on":"2024-12-18","last_seen_on":"2024-12-18","still_on_page":true}],"first_name":null,"last_name":null,"position":null,"position_raw":null,"seniority":null,"department":"sales","linkedin":null,"twitter":null,"phone_number":null,"verification":{"date":null,"status":null}}]</t>
  </si>
  <si>
    <t>EDX Markets</t>
  </si>
  <si>
    <t>EDX Markets is a new digital asset exchange.</t>
  </si>
  <si>
    <t>evy.eu</t>
  </si>
  <si>
    <t>For you guys that might mean personalized coverage amounts... or product categories.</t>
  </si>
  <si>
    <t>Evy</t>
  </si>
  <si>
    <t>[{"value":"emily@evy.eu","type":"personal","confidence":99,"sources":[{"domain":"linkedin.com","uri":"https://www.google.com/search?q=site:linkedin.com%20emily%20hayman%20evy","extracted_on":"2025-01-07","last_seen_on":"2025-01-07","still_on_page":true}],"first_name":"Emily","last_name":"Hayman","position":"Director of Solutions Engineering","position_raw":"Head of Solutions Engineering","seniority":null,"department":"it","linkedin":"https://www.linkedin.com/in/eehayman","twitter":null,"phone_number":null,"verification":{"date":"2025-01-02","status":"valid"}},{"value":"nelim@evy.eu","type":"personal","confidence":99,"sources":[{"domain":"linkedin.com","uri":"https://www.google.com/search?q=site:linkedin.com%20n%C3%A9lim%20alibanga%20evy","extracted_on":"2025-01-07","last_seen_on":"2025-01-07","still_on_page":true}],"first_name":"Nélim","last_name":"Alibanga","position":"Chief Compliance Officer","position_raw":"Head of Compliance, Risk &amp; Corporate Legal I DPO (Group)","seniority":"executive","department":"executive","linkedin":"https://www.linkedin.com/in/n%c3%a9lim-alibanga-97041a91","twitter":null,"phone_number":null,"verification":{"date":"2025-02-21","status":"valid"}},{"value":"shana@evy.eu","type":"personal","confidence":98,"sources":[{"domain":"linkedin.com","uri":"https://www.google.com/search?q=site:linkedin.com%20shana%20azria%20evy","extracted_on":"2025-01-07","last_seen_on":"2025-01-07","still_on_page":true}],"first_name":"Shana","last_name":"Azria","position":"Co-Founder and Chief Technology Officer","position_raw":"Co-Founder &amp; CTO","seniority":"executive","department":"executive","linkedin":"https://www.linkedin.com/in/shanaazria","twitter":null,"phone_number":null,"verification":{"date":null,"status":null}},{"value":"max@evy.eu","type":"personal","confidence":98,"sources":[{"domain":"linkedin.com","uri":"https://www.google.com/search?q=site:linkedin.com%20max%20och%20evy","extracted_on":"2025-01-07","last_seen_on":"2025-01-07","still_on_page":true}],"first_name":"Max","last_name":"Och","position":"Chief of Staff","position_raw":"Chief of Staff","seniority":null,"department":"operations","linkedin":"https://www.linkedin.com/in/max-och-baa68859","twitter":null,"phone_number":null,"verification":{"date":"2025-01-07","status":"valid"}},{"value":"rohan@evy.eu","type":"personal","confidence":97,"sources":[{"domain":"linkedin.com","uri":"https://www.google.com/search?q=site:linkedin.com%20rohan%20krishan%20evy","extracted_on":"2025-01-07","last_seen_on":"2025-01-07","still_on_page":true}],"first_name":"Rohan","last_name":"Krishan","position":"Chief of Staff","position_raw":"Chief of Staff","seniority":null,"department":"operations","linkedin":"https://www.linkedin.com/in/rohan-krishan-b86b18146","twitter":null,"phone_number":null,"verification":{"date":"2025-01-07","status":"valid"}},{"value":"dpo@evy.eu","type":"generic","confidence":96,"sources":[{"domain":"evy.eu","uri":"http://evy.eu/en/legal-notice","extracted_on":"2025-01-08","last_seen_on":"2025-01-08","still_on_page":true},{"domain":"evy.eu","uri":"http://evy.eu/en/privacy-policy","extracted_on":"2025-01-08","last_seen_on":"2025-01-08","still_on_page":true},{"domain":"evy.eu","uri":"http://evy.eu/en/terms-and-conditions","extracted_on":"2025-01-08","last_seen_on":"2025-01-08","still_on_page":true}],"first_name":null,"last_name":null,"position":null,"position_raw":null,"seniority":null,"department":null,"linkedin":null,"twitter":null,"phone_number":null,"verification":{"date":null,"status":null}},{"value":"rowenta@evy.eu","type":"generic","confidence":96,"sources":[{"domain":"rowenta.de","uri":"http://rowenta.de/garantieverlaengerung","extracted_on":"2024-10-10","last_seen_on":"2025-02-16","still_on_page":true},{"domain":"rowenta.fr","uri":"http://rowenta.fr/extension-garantie","extracted_on":"2024-11-08","last_seen_on":"2025-02-08","still_on_page":true},{"domain":"rowenta.at","uri":"http://rowenta.at/garantieverlaengerung","extracted_on":"2025-01-24","last_seen_on":"2025-01-24","still_on_page":true}],"first_name":null,"last_name":null,"position":null,"position_raw":null,"seniority":null,"department":null,"linkedin":null,"twitter":null,"phone_number":null,"verification":{"date":null,"status":null}},{"value":"moulinex@evy.eu","type":"generic","confidence":95,"sources":[{"domain":"moulinex.fr","uri":"http://moulinex.fr/extension-garantie","extracted_on":"2024-10-19","last_seen_on":"2025-01-19","still_on_page":true}],"first_name":null,"last_name":null,"position":null,"position_raw":null,"seniority":null,"department":null,"linkedin":null,"twitter":null,"phone_number":null,"verification":{"date":null,"status":null}},{"value":"tefal@evy.eu","type":"generic","confidence":95,"sources":[{"domain":"tefal.at","uri":"http://tefal.at/garantieverlaengerung","extracted_on":"2025-02-20","last_seen_on":"2025-02-20","still_on_page":true},{"domain":"tefal.fr","uri":"http://tefal.fr/extension-garantie","extracted_on":"2024-09-26","last_seen_on":"2025-01-18","still_on_page":true},{"domain":"talk-point.at","uri":"http://talk-point.at/collections/top-seller/products/10109351-0","extracted_on":"2025-01-16","last_seen_on":"2025-01-16","still_on_page":true},{"domain":"tefal.de","uri":"http://tefal.de/garantieverlaengerung","extracted_on":"2024-10-07","last_seen_on":"2025-01-07","still_on_page":true}],"first_name":null,"last_name":null,"position":null,"position_raw":null,"seniority":null,"department":null,"linkedin":null,"twitter":null,"phone_number":null,"verification":{"date":null,"status":null}},{"value":"support@evy.eu","type":"generic","confidence":94,"sources":[{"domain":"refurbed.si","uri":"http://refurbed.si/frequently-asked-questions","extracted_on":"2024-08-25","last_seen_on":"2025-02-25","still_on_page":true},{"domain":"refurbed.fr","uri":"http://refurbed.fr/questions-frequentes","extracted_on":"2024-11-24","last_seen_on":"2025-02-24","still_on_page":true},{"domain":"refurbed.sk","uri":"http://refurbed.sk/frequently-asked-questions","extracted_on":"2024-08-14","last_seen_on":"2025-02-24","still_on_page":true},{"domain":"upway.be","uri":"http://upway.be/pages/questions-sur-la-securite","extracted_on":"2024-07-05","last_seen_on":"2025-02-22","still_on_page":true},{"domain":"refurbed.de","uri":"http://refurbed.de/fragen-und-antworten","extracted_on":"2024-08-20","last_seen_on":"2025-02-20","still_on_page":true},{"domain":"refurbed.ie","uri":"http://refurbed.ie/frequently-asked-questions","extracted_on":"2024-08-11","last_seen_on":"2025-02-17","still_on_page":true},{"domain":"nl.upway.be","uri":"http://nl.upway.be/pages/questions-sur-la-securite","extracted_on":"2024-05-09","last_seen_on":"2025-02-10","still_on_page":true},{"domain":"refurbed.be","uri":"http://refurbed.be/veelgestelde-vragen","extracted_on":"2024-11-02","last_seen_on":"2025-02-02","still_on_page":true},{"domain":"refurbed.ch","uri":"http://refurbed.ch/fragen-und-antworten","extracted_on":"2025-01-29","last_seen_on":"2025-01-29","still_on_page":true},{"domain":"upway.fr","uri":"http://upway.fr/pages/gm-content-vos-questions-sur-la-securite","extracted_on":"2023-10-29","last_seen_on":"2025-01-29","still_on_page":true},{"domain":"refurbed.fi","uri":"http://refurbed.fi/kysymyksi%c3%a4-ja-vastauksia","extracted_on":"2025-01-20","last_seen_on":"2025-01-22","still_on_page":true},{"domain":"refurbed.pt","uri":"http://refurbed.pt/perguntas-e-respostas","extracted_on":"2025-01-20","last_seen_on":"2025-01-21","still_on_page":true},{"domain":"refurbed.at","uri":"http://refurbed.at/fragen-und-antworten","extracted_on":"2024-10-19","last_seen_on":"2025-01-19","still_on_page":true},{"domain":"evy.eu","uri":"http://evy.eu/en/demo","extracted_on":"2024-09-14","last_seen_on":"2025-01-08","still_on_page":true},{"domain":"evy.eu","uri":"http://evy.eu/en/faq","extracted_on":"2024-09-14","last_seen_on":"2025-01-08","still_on_page":true},{"domain":"evy.eu","uri":"http://evy.eu/en/terms-and-conditions","extracted_on":"2024-09-14","last_seen_on":"2025-01-08","still_on_page":true},{"domain":"evy.eu","uri":"http://evy.eu/faq","extracted_on":"2023-11-30","last_seen_on":"2025-01-05","still_on_page":true},{"domain":"refurbed.it","uri":"http://refurbed.it/domande-e-risposte","extracted_on":"2024-10-05","last_seen_on":"2024-12-10","still_on_page":true},{"domain":"refurbed.nl","uri":"http://refurbed.nl/veelgestelde-vragen","extracted_on":"2024-09-08","last_seen_on":"2024-12-08","still_on_page":true},{"domain":"refurbed.pl","uri":"http://refurbed.pl/pytania-i-odpowiedzi","extracted_on":"2024-09-08","last_seen_on":"2024-12-08","still_on_page":true},{"domain":"refurbed.dk","uri":"http://refurbed.dk/ofte-stillede-sporgsmal","extracted_on":"2024-09-06","last_seen_on":"2024-12-07","still_on_page":true},{"domain":"refurbed.es","uri":"http://refurbed.es/frequently-asked-questions","extracted_on":"2024-08-19","last_seen_on":"2024-12-06","still_on_page":true},{"domain":"refurbed.se","uri":"http://refurbed.se/vanliga-fragor","extracted_on":"2024-08-30","last_seen_on":"2024-11-30","still_on_page":true},{"domain":"en.upway.be","uri":"http://en.upway.be/pages/questions-sur-la-securite","extracted_on":"2024-07-19","last_seen_on":"2024-11-29","still_on_page":true},{"domain":"evy.eu","uri":"http://evy.eu/cgu","extracted_on":"2022-09-01","last_seen_on":"2024-07-05","still_on_page":false},{"domain":"upway.fr","uri":"http://upway.fr/pages/vos-questions-sur-la-securite","extracted_on":"2023-11-23","last_seen_on":"2024-01-29","still_on_page":false}],"first_name":null,"last_name":null,"position":null,"position_raw":null,"seniority":null,"department":"support","linkedin":null,"twitter":null,"phone_number":null,"verification":{"date":null,"status":null}}]</t>
  </si>
  <si>
    <t>Evy builds simple product protection for e-commerce and retailers.</t>
  </si>
  <si>
    <t>Consumer; FinTech</t>
  </si>
  <si>
    <t>factory.ai</t>
  </si>
  <si>
    <t>For you guys that might mean personalized LLM integrations... or workflow automations.</t>
  </si>
  <si>
    <t>Factory</t>
  </si>
  <si>
    <t>[{"value":"eno@factory.ai","type":"personal","confidence":99,"sources":[{"domain":"factory.ai","uri":"http://factory.ai/data-processing-agreement","extracted_on":"2024-12-16","last_seen_on":"2024-12-16","still_on_page":true}],"first_name":"Eno","last_name":"Reyes","position":null,"position_raw":null,"seniority":null,"department":null,"linkedin":"https://www.linkedin.com/in/enoreyes","twitter":null,"phone_number":null,"verification":{"date":"2025-02-11","status":"valid"}},{"value":"kal@factory.ai","type":"personal","confidence":98,"sources":[{"domain":"linkedin.com","uri":"https://www.google.com/search?q=site:linkedin.com%20kal%20grinberg%20factory","extracted_on":"2025-01-03","last_seen_on":"2025-01-03","still_on_page":true}],"first_name":"Kal","last_name":"Grinberg","position":"Designer","position_raw":"Member of Design Staff","seniority":null,"department":"design","linkedin":"https://www.linkedin.com/in/kal-grinberg-930871a6","twitter":null,"phone_number":null,"verification":{"date":null,"status":null}},{"value":"francesca@factory.ai","type":"personal","confidence":97,"sources":[{"domain":"linkedin.com","uri":"https://www.google.com/search?q=site:linkedin.com%20francesca%20labianca%20factory","extracted_on":"2025-01-03","last_seen_on":"2025-01-03","still_on_page":true}],"first_name":"Francesca","last_name":"Labianca","position":null,"position_raw":"Head of Business Operations","seniority":null,"department":null,"linkedin":"https://www.linkedin.com/in/francesca-labianca-a15563158","twitter":null,"phone_number":null,"verification":{"date":"2025-02-11","status":"valid"}},{"value":"stepan@factory.ai","type":"personal","confidence":96,"sources":[{"domain":"linkedin.com","uri":"https://www.google.com/search?q=site:linkedin.com%20stepan%20bedratiuk%20factory","extracted_on":"2025-01-03","last_seen_on":"2025-01-03","still_on_page":true}],"first_name":"Stepan","last_name":"Bedratiuk","position":null,"position_raw":null,"seniority":null,"department":null,"linkedin":"https://www.linkedin.com/in/stepan-bedratiuk-0931b521","twitter":null,"phone_number":null,"verification":{"date":null,"status":null}},{"value":"nikita@factory.ai","type":"personal","confidence":95,"sources":[{"domain":"linkedin.com","uri":"https://www.google.com/search?q=site:linkedin.com%20nikita%20lilichenko%20factory","extracted_on":"2025-01-03","last_seen_on":"2025-01-03","still_on_page":true}],"first_name":"Nikita","last_name":"Lilichenko","position":"Software Engineer","position_raw":"Member of Technical Staff","seniority":null,"department":"it","linkedin":"https://www.linkedin.com/in/nikita-lilichenko-109052171","twitter":null,"phone_number":null,"verification":{"date":null,"status":null}},{"value":"legal@factory.ai","type":"generic","confidence":75,"sources":[{"domain":"factory.ai","uri":"http://factory.ai/terms-of-service","extracted_on":"2024-12-16","last_seen_on":"2024-12-16","still_on_page":true}],"first_name":null,"last_name":null,"position":null,"position_raw":null,"seniority":null,"department":"legal","linkedin":null,"twitter":null,"phone_number":null,"verification":{"date":null,"status":null}}]</t>
  </si>
  <si>
    <t>Factory is bringing autonomy to software engineering with task-specific AI agents.</t>
  </si>
  <si>
    <t>faraway.gg</t>
  </si>
  <si>
    <t>For you guys that might mean personalized item skins... or asset drops.</t>
  </si>
  <si>
    <t>Faraway</t>
  </si>
  <si>
    <t>[{"value":"support@faraway.gg","type":"generic","confidence":99,"sources":[{"domain":"1001juegos.com","uri":"http://1001juegos.com/juego/mini-royale-nations","extracted_on":"2024-08-23","last_seen_on":"2025-02-10","still_on_page":true},{"domain":"crazygames.no","uri":"http://crazygames.no/spill/mini-royale-nations","extracted_on":"2025-02-08","last_seen_on":"2025-02-08","still_on_page":true},{"domain":"crazygames.fi","uri":"http://crazygames.fi/peli/mini-royale-nations","extracted_on":"2024-07-02","last_seen_on":"2025-02-03","still_on_page":true},{"domain":"crazygames.com.br","uri":"http://crazygames.com.br/jogos/mini-royale-nations","extracted_on":"2024-07-23","last_seen_on":"2025-01-29","still_on_page":true},{"domain":"faraway.com","uri":"http://faraway.com/creator-policy","extracted_on":"2023-10-28","last_seen_on":"2025-01-29","still_on_page":true},{"domain":"faraway.com","uri":"http://faraway.com/license/hv-mtl","extracted_on":"2024-07-22","last_seen_on":"2025-01-29","still_on_page":true},{"domain":"faraway.com","uri":"http://faraway.com/license/sewer-pass","extracted_on":"2024-07-22","last_seen_on":"2025-01-29","still_on_page":true},{"domain":"faraway.com","uri":"http://faraway.com/privacy","extracted_on":"2023-06-25","last_seen_on":"2025-01-29","still_on_page":true},{"domain":"faraway.com","uri":"http://faraway.com/terms","extracted_on":"2023-06-25","last_seen_on":"2025-01-29","still_on_page":true},{"domain":"crazygames.com","uri":"http://crazygames.com/tr/oyun/mini-royale-nations","extracted_on":"2025-01-18","last_seen_on":"2025-01-18","still_on_page":true},{"domain":"crazygames.ru","uri":"http://crazygames.ru/igra/mini-royale-nations","extracted_on":"2024-07-18","last_seen_on":"2025-01-18","still_on_page":true},{"domain":"crazygames.com","uri":"http://crazygames.com/game/mini-royale-nations","extracted_on":"2024-06-25","last_seen_on":"2025-01-17","still_on_page":true},{"domain":"crazygames.dk","uri":"http://crazygames.dk/spil/mini-royale-nations","extracted_on":"2024-10-14","last_seen_on":"2025-01-14","still_on_page":true},{"domain":"crazygames.ro","uri":"http://crazygames.ro/joc/mini-royale-nations","extracted_on":"2024-07-12","last_seen_on":"2025-01-12","still_on_page":true},{"domain":"crazygames.fr","uri":"http://crazygames.fr/jeu/mini-royale-nations","extracted_on":"2025-01-04","last_seen_on":"2025-01-04","still_on_page":true},{"domain":"crazygames.se","uri":"http://crazygames.se/spel/mini-royale-nations","extracted_on":"2024-12-26","last_seen_on":"2024-12-27","still_on_page":true},{"domain":"gamebrain.co","uri":"http://gamebrain.co/free-shooter-games","extracted_on":"2024-12-09","last_seen_on":"2024-12-10","still_on_page":true},{"domain":"gamebrain.co","uri":"http://gamebrain.co/game/mini-royale-nations","extracted_on":"2024-12-09","last_seen_on":"2024-12-10","still_on_page":true},{"domain":"crazygames.co.id","uri":"http://crazygames.co.id/game/mini-royale-nations","extracted_on":"2024-09-07","last_seen_on":"2024-12-07","still_on_page":true},{"domain":"crazygames.pl","uri":"http://crazygames.pl/gra/mini-royale-nations","extracted_on":"2024-09-07","last_seen_on":"2024-12-07","still_on_page":true},{"domain":"frivls.com","uri":"http://frivls.com/en/game/mini-royale-nations","extracted_on":"2024-06-01","last_seen_on":"2024-12-02","still_on_page":true},{"domain":"frivls.com","uri":"http://frivls.com/game/mini-royale-nations","extracted_on":"2023-12-01","last_seen_on":"2024-11-30","still_on_page":true},{"domain":"crazygames.nl","uri":"http://crazygames.nl/spel/mini-royale-nations","extracted_on":"2024-11-27","last_seen_on":"2024-11-27","still_on_page":true},{"domain":"crazygames.hu","uri":"http://crazygames.hu/jatek/mini-royale-nations","extracted_on":"2024-11-26","last_seen_on":"2024-11-26","still_on_page":true},{"domain":"gcafe.vn","uri":"http://gcafe.vn/game/mini-royale-nations","extracted_on":"2023-10-07","last_seen_on":"2023-10-07","still_on_page":false}],"first_name":null,"last_name":null,"position":null,"position_raw":null,"seniority":null,"department":"support","linkedin":null,"twitter":null,"phone_number":null,"verification":{"date":null,"status":null}}]</t>
  </si>
  <si>
    <t>Faraway Games</t>
  </si>
  <si>
    <t>Faraway Games builds social blockchain games with player-driven universes.</t>
  </si>
  <si>
    <t>Consumer; Crypto</t>
  </si>
  <si>
    <t>fides.technology</t>
  </si>
  <si>
    <t>For you guys that might mean personalized legal entities or board members.</t>
  </si>
  <si>
    <t>Fides</t>
  </si>
  <si>
    <t>[{"value":"shivam.gupta@fides.technology","type":"personal","confidence":99,"sources":[{"domain":"linkedin.com","uri":"https://www.google.com/search?q=site:linkedin.com%20shivam%20gupta%20fides","extracted_on":"2025-01-17","last_seen_on":"2025-01-17","still_on_page":true}],"first_name":"Shivam","last_name":"Gupta","position":"Engineering Manager","position_raw":"Engineering Manager","seniority":"senior","department":"it","linkedin":"https://www.linkedin.com/in/shivam-gupta-js-developer","twitter":null,"phone_number":null,"verification":{"date":"2025-02-05","status":"valid"}},{"value":"felix.stoehr@fides.technology","type":"personal","confidence":99,"sources":[{"domain":"linkedin.com","uri":"https://www.google.com/search?q=site:linkedin.com%20felix%20st%C3%B6hr%20fides","extracted_on":"2025-01-07","last_seen_on":"2025-01-07","still_on_page":true}],"first_name":"Felix","last_name":"Stöhr","position":"Account Executive","position_raw":"Enterprise Account Executive","seniority":"executive","department":"sales","linkedin":"https://www.linkedin.com/in/felix-st%c3%b6hr-b8a074aa","twitter":null,"phone_number":null,"verification":{"date":"2025-02-07","status":"valid"}},{"value":"vincent.bobinski@fides.technology","type":"personal","confidence":98,"sources":[{"domain":"linkedin.com","uri":"https://www.google.com/search?q=site:linkedin.com%20vincent%20bobinski%20fides","extracted_on":"2025-01-07","last_seen_on":"2025-01-07","still_on_page":true}],"first_name":"Vincent","last_name":"Bobinski","position":"Managing Director","position_raw":"Founder &amp; Managing Director","seniority":null,"department":"executive","linkedin":"https://www.linkedin.com/in/vincent-bobinski-066667109","twitter":null,"phone_number":null,"verification":{"date":"2025-01-23","status":"valid"}},{"value":"marcus.kirchhofer@fides.technology","type":"personal","confidence":98,"sources":[{"domain":"linkedin.com","uri":"https://www.google.com/search?q=site:linkedin.com%20marcus%20kirchhofer%20fides","extracted_on":"2025-01-07","last_seen_on":"2025-01-07","still_on_page":true}],"first_name":"Marcus","last_name":"Kirchhofer","position":"Account Executive","position_raw":"Enterprise Account Executive","seniority":"executive","department":"sales","linkedin":"https://www.linkedin.com/in/marcus-kirchhofer-7518861a5","twitter":null,"phone_number":null,"verification":{"date":"2025-02-16","status":"valid"}},{"value":"charlotte.falk@fides.technology","type":"personal","confidence":97,"sources":[{"domain":"linkedin.com","uri":"https://www.google.com/search?q=site:linkedin.com%20charlotte%20falk%20fides","extracted_on":"2025-01-17","last_seen_on":"2025-01-17","still_on_page":true}],"first_name":"Charlotte","last_name":"Falk","position":"Partnerships Manager","position_raw":"Partnerships Manager","seniority":"senior","department":"management","linkedin":"https://www.linkedin.com/in/charlotte-falk-129a7a106","twitter":null,"phone_number":null,"verification":{"date":"2025-01-17","status":"valid"}},{"value":"florian.hofmann@fides.technology","type":"personal","confidence":97,"sources":[{"domain":"linkedin.com","uri":"https://www.google.com/search?q=site:linkedin.com%20florian%20hofmann%20fides","extracted_on":"2025-01-07","last_seen_on":"2025-01-07","still_on_page":true}],"first_name":"Florian","last_name":"Hofmann","position":"Head of Product","position_raw":"Head of Product","seniority":"executive","department":"management","linkedin":"https://www.linkedin.com/in/florian-hofmann-0ab1a196","twitter":null,"phone_number":null,"verification":{"date":"2025-02-18","status":"valid"}},{"value":"hello@fides.technology","type":"generic","confidence":96,"sources":[{"domain":"munich-startup.de","uri":"http://munich-startup.de/startups/fides-technology-gmbh","extracted_on":"2023-02-12","last_seen_on":"2025-02-14","still_on_page":true},{"domain":"podcast.de","uri":"http://podcast.de/podcast-verzeichnis","extracted_on":"2024-11-13","last_seen_on":"2024-11-13","still_on_page":true},{"domain":"podcast.de","uri":"http://podcast.de","extracted_on":"2024-02-26","last_seen_on":"2024-07-10","still_on_page":false}],"first_name":null,"last_name":null,"position":null,"position_raw":null,"seniority":null,"department":"support","linkedin":null,"twitter":null,"phone_number":null,"verification":{"date":"2025-01-23","status":"valid"}},{"value":"people@fides.technology","type":"generic","confidence":95,"sources":[{"domain":"talentrocket.de","uri":"http://talentrocket.de/jura-jobs/details/digitales-referendariat-mwd-muenchen-fides-technology-gmbh","extracted_on":"2022-09-22","last_seen_on":"2024-11-11","still_on_page":false},{"domain":"legaltechverband.de","uri":"http://legaltechverband.de/digitales-referendariat/jobboerse/berufs-oder-wahlstation-bei-fides-technology-gmbh-in-muenchen-oder-remote","extracted_on":"2022-11-24","last_seen_on":"2024-08-24","still_on_page":false}],"first_name":null,"last_name":null,"position":null,"position_raw":null,"seniority":null,"department":null,"linkedin":null,"twitter":null,"phone_number":null,"verification":{"date":null,"status":null}},{"value":"jonas.tamme@fides.technology","type":"personal","confidence":89,"sources":[{"domain":"podcast.de","uri":"http://podcast.de/podcast-verzeichnis","extracted_on":"2024-11-13","last_seen_on":"2024-11-13","still_on_page":true}],"first_name":"Jonas","last_name":"Tamme","position":null,"position_raw":null,"seniority":null,"department":null,"linkedin":null,"twitter":null,"phone_number":null,"verification":{"date":null,"status":null}}]</t>
  </si>
  <si>
    <t>Fides enables organizations to digitize and automate their corporate governance duties across entities globally.</t>
  </si>
  <si>
    <t>filecoin.io</t>
  </si>
  <si>
    <t>For you guys that might mean personalized storage deals... or retrieval speeds.</t>
  </si>
  <si>
    <t>Filecoin</t>
  </si>
  <si>
    <t>[{"value":"juan@filecoin.io","type":"personal","confidence":99,"sources":[{"domain":"cryptocurrenciestowatch.com","uri":"http://cryptocurrenciestowatch.com/filecoin-core-team-detained-for-missing-22m","extracted_on":"2024-07-13","last_seen_on":"2024-07-13","still_on_page":true},{"domain":"stellarcryptonews.com","uri":"http://stellarcryptonews.com/climbing-off-twitter-on-scaffolds-of-truth-where-srinivasan-and-benet-diverge","extracted_on":"2024-06-14","last_seen_on":"2024-06-14","still_on_page":true},{"domain":"stellarcryptonews.com","uri":"http://stellarcryptonews.com/category/news/page/20","extracted_on":"2024-06-14","last_seen_on":"2024-06-14","still_on_page":true},{"domain":"chipin.com","uri":"http://chipin.com/filecoin-is-live","extracted_on":"2024-06-13","last_seen_on":"2024-06-13","still_on_page":true},{"domain":"decrypt.co","uri":"http://decrypt.co/48938/bigger-than-netflix-filecoin-hits-1-exabyte-storage","extracted_on":"2024-06-05","last_seen_on":"2024-06-05","still_on_page":true},{"domain":"cryptochaperone.com","uri":"http://cryptochaperone.com/filecoin-launches-its-mainnet-can-it-deliver-on-its-promises","extracted_on":"2024-05-31","last_seen_on":"2024-05-31","still_on_page":true},{"domain":"bitmaq.com","uri":"http://bitmaq.com/what-is-tron-trx","extracted_on":"2024-05-25","last_seen_on":"2024-05-25","still_on_page":true},{"domain":"cryptolafinance.com","uri":"http://cryptolafinance.com/presales-in-cryptocurrency-history-ethereum-filecoin-and-big-eyes-coins-successes","extracted_on":"2024-04-21","last_seen_on":"2024-04-21","still_on_page":true}],"first_name":"Juan","last_name":"Benet","position":"CEO","position_raw":"CEO","seniority":"executive","department":"executive","linkedin":null,"twitter":null,"phone_number":null,"verification":{"date":null,"status":null}},{"value":"mining@filecoin.io","type":"generic","confidence":98,"sources":[{"domain":"asptt.ln.cn","uri":"http://asptt.ln.cn/caijing/202008/318661.html","extracted_on":"2023-10-10","last_seen_on":"2025-01-10","still_on_page":true},{"domain":"chaindaily.cc","uri":"http://chaindaily.cc/posts/7fd54bcc9fc063adf122256521fdac19","extracted_on":"2023-10-20","last_seen_on":"2024-10-21","still_on_page":false},{"domain":"zhongbi.net","uri":"http://zhongbi.net/news/blocknews/245286.html","extracted_on":"2022-08-29","last_seen_on":"2023-11-30","still_on_page":false},{"domain":"shilian.com","uri":"http://shilian.com/caijing/82924.html","extracted_on":"2021-02-21","last_seen_on":"2023-08-29","still_on_page":false},{"domain":"es.0xzx.com","uri":"http://es.0xzx.com/20200721105387.html","extracted_on":"2022-06-10","last_seen_on":"2022-09-10","still_on_page":false},{"domain":"es.0xzx.com","uri":"http://es.0xzx.com/20200827115423.html","extracted_on":"2022-06-09","last_seen_on":"2022-09-10","still_on_page":false},{"domain":"ipfs.cn","uri":"http://ipfs.cn/news/info-101097.html","extracted_on":"2021-09-23","last_seen_on":"2021-12-23","still_on_page":false},{"domain":"pre.coingogo.com","uri":"http://pre.coingogo.com/news/48650","extracted_on":"2021-03-28","last_seen_on":"2021-10-01","still_on_page":false}],"first_name":null,"last_name":null,"position":null,"position_raw":null,"seniority":null,"department":null,"linkedin":null,"twitter":null,"phone_number":null,"verification":{"date":null,"status":null}},{"value":"security@filecoin.io","type":"generic","confidence":98,"sources":[{"domain":"nonentropy.jp","uri":"http://nonentropy.jp/blog/column/filecoin-bug-bounty","extracted_on":"2023-12-02","last_seen_on":"2024-12-23","still_on_page":true},{"domain":"filecoin.io","uri":"http://filecoin.io/blog/posts/refreshing-the-filecoin-bug-bounty-program","extracted_on":"2023-10-23","last_seen_on":"2024-12-13","still_on_page":true},{"domain":"bcwnews.com","uri":"http://bcwnews.com/12633","extracted_on":"2023-05-30","last_seen_on":"2024-12-03","still_on_page":true},{"domain":"destor.com","uri":"http://destor.com/en/destor-network/blog/filecoin-bug-bounty-program-refresh","extracted_on":"2024-05-29","last_seen_on":"2024-12-01","still_on_page":true},{"domain":"fmjd.com","uri":"http://fmjd.com/info/3803.html","extracted_on":"2023-08-22","last_seen_on":"2024-11-30","still_on_page":true},{"domain":"chaindaily.cc","uri":"http://chaindaily.cc/posts/a7267261b6032084f876b32cb390d6bf","extracted_on":"2022-07-17","last_seen_on":"2024-10-21","still_on_page":false},{"domain":"chaindaily.cc","uri":"http://chaindaily.cc/posts/e2fcf23404fd3a7f68ab544ddaeb8105","extracted_on":"2023-10-20","last_seen_on":"2024-10-21","still_on_page":false},{"domain":"destor.com","uri":"http://destor.com/en/destor-network/blog/refreshing-the-filecoin-bug-bounty-program","extracted_on":"2023-11-28","last_seen_on":"2024-06-04","still_on_page":false},{"domain":"fireflyblock.com","uri":"http://fireflyblock.com/news/show-249.html","extracted_on":"2022-05-19","last_seen_on":"2024-03-01","still_on_page":false},{"domain":"jinse.com","uri":"http://jinse.com/blockchain/709536.html","extracted_on":"2020-08-07","last_seen_on":"2023-08-07","still_on_page":false},{"domain":"ipfsnews.cn","uri":"http://ipfsnews.cn/2860.html","extracted_on":"2022-08-28","last_seen_on":"2023-03-03","still_on_page":false},{"domain":"ipfsnews.cn","uri":"http://ipfsnews.cn/5146.html","extracted_on":"2022-08-28","last_seen_on":"2023-03-01","still_on_page":false},{"domain":"m.mifengcha.com","uri":"http://m.mifengcha.com/news/5ef56bed57125b35a345309f","extracted_on":"2020-06-26","last_seen_on":"2022-07-16","still_on_page":false},{"domain":"m.mifengcha.com","uri":"http://m.mifengcha.com/news/5ef570bf57125b35a34530d2","extracted_on":"2020-06-26","last_seen_on":"2022-07-01","still_on_page":false},{"domain":"m.mifengcha.com","uri":"http://m.mifengcha.com/news/5edc830f0dbcc56033971f4b","extracted_on":"2021-03-21","last_seen_on":"2022-06-23","still_on_page":false},{"domain":"xzcaijing.com","uri":"http://xzcaijing.com/focus/188634","extracted_on":"2020-07-28","last_seen_on":"2022-01-28","still_on_page":false},{"domain":"news.huoxing24.com","uri":"http://news.huoxing24.com/20200626112105182711.html","extracted_on":"2020-08-06","last_seen_on":"2021-08-06","still_on_page":false},{"domain":"jinse.com","uri":"http://jinse.com/blockchain/742382.html","extracted_on":"2021-02-02","last_seen_on":"2021-08-02","still_on_page":false},{"domain":"ipfsunion.cn","uri":"http://ipfsunion.cn/news/company/212.html","extracted_on":"2021-03-30","last_seen_on":"2021-06-30","still_on_page":false},{"domain":"m.btb8.com","uri":"http://m.btb8.com/fil/2006/90252.html","extracted_on":"2020-08-14","last_seen_on":"2021-05-14","still_on_page":false},{"domain":"btb8.com","uri":"http://btb8.com/fil/2006/90363.html","extracted_on":"2020-07-06","last_seen_on":"2021-05-01","still_on_page":false},{"domain":"btb8.com","uri":"http://btb8.com/fil/2006/89334.html","extracted_on":"2020-07-06","last_seen_on":"2021-04-18","still_on_page":false},{"domain":"btb8.com","uri":"http://btb8.com/fil/2006/89311.html","extracted_on":"2020-07-06","last_seen_on":"2021-04-17","still_on_page":false},{"domain":"btb8.com","uri":"http://btb8.com/fil/2006/90252.html","extracted_on":"2020-07-06","last_seen_on":"2021-04-17","still_on_page":false},{"domain":"m.btb8.com","uri":"http://m.btb8.com/fil/2006/90363.html","extracted_on":"2021-04-09","last_seen_on":"2021-04-09","still_on_page":false},{"domain":"aaifinance.szruito.com","uri":"http://aaifinance.szruito.com/category/defi/page/417","extracted_on":"2020-10-15","last_seen_on":"2020-10-15","still_on_page":false}],"first_name":null,"last_name":null,"position":null,"position_raw":null,"seniority":null,"department":"support","linkedin":null,"twitter":null,"phone_number":null,"verification":{"date":null,"status":null}},{"value":"team@filecoin.io","type":"generic","confidence":97,"sources":[{"domain":"discuss.ipfs.tech","uri":"http://discuss.ipfs.tech/t/filecoin-mining/2320","extracted_on":"2024-11-25","last_seen_on":"2025-02-25","still_on_page":true},{"domain":"cloud.tencent.com","uri":"http://cloud.tencent.com/developer/article/1403162","extracted_on":"2020-07-02","last_seen_on":"2025-01-16","still_on_page":true},{"domain":"filecoin.io","uri":"http://filecoin.io/blog/posts/filecoin-testnet-is-live","extracted_on":"2022-02-24","last_seen_on":"2024-11-24","still_on_page":false},{"domain":"kadjug.best","uri":"http://kadjug.best/article/filecoin-testnet-dziala","extracted_on":"2023-08-17","last_seen_on":"2023-08-17","still_on_page":false},{"domain":"bitchina.net","uri":"http://bitchina.net/archives/825.html","extracted_on":"2022-12-16","last_seen_on":"2023-06-16","still_on_page":false},{"domain":"ipfsnews.cn","uri":"http://ipfsnews.cn/5109.html","extracted_on":"2022-08-28","last_seen_on":"2023-02-28","still_on_page":false},{"domain":"ipfsdrop.com","uri":"http://ipfsdrop.com/view/filecoin","extracted_on":"2021-11-05","last_seen_on":"2022-11-05","still_on_page":false},{"domain":"ipfsdrop.com","uri":"http://ipfsdrop.com/offcial/filecoin/filecoin-2017-q4-update","extracted_on":"2019-10-08","last_seen_on":"2022-10-17","still_on_page":false},{"domain":"filecoin.cn","uri":"http://filecoin.cn/topic/28/filecoin%e9%97%ae%e9%a2%98%e8%a7%a3%e7%ad%94/1","extracted_on":"2019-12-28","last_seen_on":"2022-10-09","still_on_page":false},{"domain":"filecoin.cn","uri":"http://filecoin.cn/topic/28/filecoin%e9%97%ae%e9%a2%98%e8%a7%a3%e7%ad%94","extracted_on":"2019-08-28","last_seen_on":"2022-09-30","still_on_page":false},{"domain":"ipfsdrop.com","uri":"http://ipfsdrop.com/offcial/filecoin/announcing-the-filecoin-faqs","extracted_on":"2019-10-01","last_seen_on":"2022-09-18","still_on_page":false},{"domain":"filecoin.cn","uri":"http://filecoin.cn/topic/3/filecoin%e5%b8%b8%e8%a7%81%e9%97%ae%e9%a2%98%e8%a7%a3%e7%ad%94","extracted_on":"2019-05-24","last_seen_on":"2022-09-17","still_on_page":false},{"domain":"ipfs.cn","uri":"http://ipfs.cn/news/info-100054.html","extracted_on":"2021-09-23","last_seen_on":"2021-12-23","still_on_page":false},{"domain":"ipfs.cn","uri":"http://ipfs.cn/news/info-100391.html","extracted_on":"2021-09-23","last_seen_on":"2021-09-23","still_on_page":false},{"domain":"btb8.com","uri":"http://btb8.com/fil/1905/51024.html","extracted_on":"2019-05-24","last_seen_on":"2021-06-21","still_on_page":false},{"domain":"wk588.com","uri":"http://wk588.com/12570-1-1.html","extracted_on":"2019-03-26","last_seen_on":"2021-06-18","still_on_page":false},{"domain":"ipfsdrop.com","uri":"http://ipfsdrop.com/offcial/filecoin-ceshiwangyishangxiandiandizixun","extracted_on":"2020-02-09","last_seen_on":"2021-05-09","still_on_page":false},{"domain":"btb8.com","uri":"http://btb8.com/fil/1912/82088.html","extracted_on":"2020-01-04","last_seen_on":"2021-04-14","still_on_page":false},{"domain":"btb8.com","uri":"http://btb8.com/fil/1912/82505.html","extracted_on":"2020-01-04","last_seen_on":"2021-04-10","still_on_page":false},{"domain":"filecoinclub.com","uri":"http://filecoinclub.com/topic/3/filecoin%e5%b8%b8%e8%a7%81%e9%97%ae%e9%a2%98%e8%a7%a3%e7%ad%94/1","extracted_on":"2019-11-12","last_seen_on":"2021-04-10","still_on_page":false},{"domain":"btb8.com","uri":"http://btb8.com/fil/1912/82500.html","extracted_on":"2020-01-04","last_seen_on":"2021-04-09","still_on_page":false},{"domain":"filecoinclub.com","uri":"http://filecoinclub.com/topic/28/filecoin%e9%97%ae%e9%a2%98%e8%a7%a3%e7%ad%94/1","extracted_on":"2019-11-12","last_seen_on":"2021-04-09","still_on_page":false},{"domain":"filecoinclub.com","uri":"http://filecoinclub.com/topic/28/filecoin%e9%97%ae%e9%a2%98%e8%a7%a3%e7%ad%94","extracted_on":"2019-02-10","last_seen_on":"2021-04-07","still_on_page":false},{"domain":"filecoinclub.com","uri":"http://filecoinclub.com/topic/3/filecoin%e5%b8%b8%e8%a7%81%e9%97%ae%e9%a2%98%e8%a7%a3%e7%ad%94","extracted_on":"2019-02-10","last_seen_on":"2021-04-07","still_on_page":false},{"domain":"filecoin.io","uri":"http://filecoin.io/blog/update-2017-q4","extracted_on":"2019-01-06","last_seen_on":"2021-01-08","still_on_page":false},{"domain":"filecoin.io","uri":"http://filecoin.io/zh-cn/blog/faqs-blog-post","extracted_on":"2019-05-05","last_seen_on":"2021-01-08","still_on_page":false},{"domain":"filecoin.io","uri":"http://filecoin.io/blog/faqs-blog-post","extracted_on":"2019-01-06","last_seen_on":"2021-01-01","still_on_page":false},{"domain":"filecoin.io","uri":"http://filecoin.io/blog/announcing-the-snark-challenge","extracted_on":"2019-09-21","last_seen_on":"2020-10-04","still_on_page":false},{"domain":"lianyi.com","uri":"http://lianyi.com/zixun/1197832","extracted_on":"2020-06-27","last_seen_on":"2020-09-27","still_on_page":false},{"domain":"qusunews.com","uri":"http://qusunews.com/2252","extracted_on":"2019-02-26","last_seen_on":"2020-05-27","still_on_page":false}],"first_name":null,"last_name":null,"position":null,"position_raw":null,"seniority":null,"department":"support","linkedin":null,"twitter":null,"phone_number":null,"verification":{"date":null,"status":null}},{"value":"contact@filecoin.io","type":"generic","confidence":96,"sources":[{"domain":"nickstatman.co.uk","uri":"http://nickstatman.co.uk/filecoin-eyes-double-digit-growth-chronoly-io-token-burn-will-cause-triple-digit-growth","extracted_on":"2023-05-14","last_seen_on":"2025-02-14","still_on_page":true},{"domain":"newsdao.kr","uri":"http://newsdao.kr/167","extracted_on":"2025-01-30","last_seen_on":"2025-01-30","still_on_page":true},{"domain":"bihuoji.com","uri":"http://bihuoji.com/218275.html","extracted_on":"2022-10-07","last_seen_on":"2023-10-09","still_on_page":false},{"domain":"nonentropy.jp","uri":"http://nonentropy.jp/blog/column/488","extracted_on":"2023-05-27","last_seen_on":"2023-05-27","still_on_page":false},{"domain":"hyip-information.com","uri":"http://hyip-information.com/coin/filecoin","extracted_on":"2022-04-27","last_seen_on":"2023-03-08","still_on_page":false},{"domain":"ipfsnews.cn","uri":"http://ipfsnews.cn/10281.html","extracted_on":"2022-08-28","last_seen_on":"2023-02-28","still_on_page":false},{"domain":"mgcj.net","uri":"http://mgcj.net/7036.html","extracted_on":"2022-09-15","last_seen_on":"2022-12-15","still_on_page":false},{"domain":"lccjd.com","uri":"http://lccjd.com/2020/09/29/%e5%ae%98%e5%ae%a3%ef%bc%9afilecoin%e4%b8%bb%e7%bd%91%e9%a2%84%e8%ae%a1%e5%b0%86%e4%ba%8e10%e6%9c%8815%e6%97%a5%e6%ad%a3%e5%bc%8f%e5%90%af%e5%8a%a8","extracted_on":"2022-05-23","last_seen_on":"2022-11-23","still_on_page":false}],"first_name":null,"last_name":null,"position":null,"position_raw":null,"seniority":null,"department":"support","linkedin":null,"twitter":null,"phone_number":null,"verification":{"date":null,"status":null}},{"value":"sale@filecoin.io","type":"generic","confidence":95,"sources":[{"domain":"cloud.tencent.com","uri":"http://cloud.tencent.com/developer/article/1403162","extracted_on":"2020-07-02","last_seen_on":"2025-01-16","still_on_page":true},{"domain":"bitchina.net","uri":"http://bitchina.net/archives/825.html","extracted_on":"2022-12-16","last_seen_on":"2023-06-16","still_on_page":false},{"domain":"ipfsnews.cn","uri":"http://ipfsnews.cn/5109.html","extracted_on":"2022-08-28","last_seen_on":"2023-02-28","still_on_page":false},{"domain":"ipfsdrop.com","uri":"http://ipfsdrop.com/view/filecoin","extracted_on":"2021-11-05","last_seen_on":"2022-11-05","still_on_page":false},{"domain":"ipfsdrop.com","uri":"http://ipfsdrop.com/offcial/filecoin/filecoin-2017-q4-update","extracted_on":"2019-10-08","last_seen_on":"2022-10-17","still_on_page":false},{"domain":"filecoin.cn","uri":"http://filecoin.cn/topic/28/filecoin%e9%97%ae%e9%a2%98%e8%a7%a3%e7%ad%94/1","extracted_on":"2019-12-28","last_seen_on":"2022-10-09","still_on_page":false},{"domain":"filecoin.cn","uri":"http://filecoin.cn/topic/28/filecoin%e9%97%ae%e9%a2%98%e8%a7%a3%e7%ad%94","extracted_on":"2019-08-28","last_seen_on":"2022-09-30","still_on_page":false},{"domain":"filecoin.cn","uri":"http://filecoin.cn/topic/3/filecoin%e5%b8%b8%e8%a7%81%e9%97%ae%e9%a2%98%e8%a7%a3%e7%ad%94","extracted_on":"2019-05-24","last_seen_on":"2022-09-17","still_on_page":false},{"domain":"wk588.com","uri":"http://wk588.com/12570-1-1.html","extracted_on":"2019-03-26","last_seen_on":"2021-06-18","still_on_page":false},{"domain":"wk588.com","uri":"http://wk588.com/13979-1-1.html","extracted_on":"2019-05-17","last_seen_on":"2021-05-13","still_on_page":false},{"domain":"filecoinclub.com","uri":"http://filecoinclub.com/topic/3/filecoin%e5%b8%b8%e8%a7%81%e9%97%ae%e9%a2%98%e8%a7%a3%e7%ad%94/1","extracted_on":"2019-02-10","last_seen_on":"2021-04-10","still_on_page":false},{"domain":"filecoinclub.com","uri":"http://filecoinclub.com/topic/28/filecoin%e9%97%ae%e9%a2%98%e8%a7%a3%e7%ad%94/1","extracted_on":"2019-02-10","last_seen_on":"2021-04-09","still_on_page":false},{"domain":"filecoinclub.com","uri":"http://filecoinclub.com/topic/28/filecoin%e9%97%ae%e9%a2%98%e8%a7%a3%e7%ad%94","extracted_on":"2019-02-10","last_seen_on":"2021-04-07","still_on_page":false},{"domain":"filecoinclub.com","uri":"http://filecoinclub.com/topic/3/filecoin%e5%b8%b8%e8%a7%81%e9%97%ae%e9%a2%98%e8%a7%a3%e7%ad%94","extracted_on":"2019-02-10","last_seen_on":"2021-04-07","still_on_page":false},{"domain":"filecoin.io","uri":"http://filecoin.io/blog/update-2017-q4","extracted_on":"2019-01-06","last_seen_on":"2021-01-08","still_on_page":false},{"domain":"qusunews.com","uri":"http://qusunews.com/2252","extracted_on":"2019-02-26","last_seen_on":"2020-05-27","still_on_page":false},{"domain":"filecoin.io","uri":"http://filecoin.io/zh-cn/faqs","extracted_on":"2019-04-14","last_seen_on":"2020-05-04","still_on_page":false},{"domain":"ipfsdrop.com","uri":"http://ipfsdrop.com/news/ipfs-filecoin-team-q4-work-report-2","extracted_on":"2019-10-29","last_seen_on":"2020-04-29","still_on_page":false},{"domain":"shixiaohou.com","uri":"http://shixiaohou.com/49177.html","extracted_on":"2019-05-09","last_seen_on":"2020-04-27","still_on_page":false},{"domain":"filecoin.io","uri":"http://filecoin.io/resources/view-your-final-saft","extracted_on":"2019-09-21","last_seen_on":"2020-03-31","still_on_page":false},{"domain":"filecoin.io","uri":"http://filecoin.io/faqs","extracted_on":"2019-01-06","last_seen_on":"2020-03-27","still_on_page":false},{"domain":"ipfsdrop.com","uri":"http://ipfsdrop.com/wiki/filecoinchangjianwentijieda","extracted_on":"2019-03-22","last_seen_on":"2020-03-11","still_on_page":false},{"domain":"filecoinasia.com","uri":"http://filecoinasia.com/topic/28/filecoin%e9%97%ae%e9%a2%98%e8%a7%a3%e7%ad%94","extracted_on":"2019-02-07","last_seen_on":"2020-01-05","still_on_page":false},{"domain":"filecoinasia.com","uri":"http://filecoinasia.com/topic/28/filecoin%e9%97%ae%e9%a2%98%e8%a7%a3%e7%ad%94/1","extracted_on":"2019-02-07","last_seen_on":"2020-01-05","still_on_page":false},{"domain":"filecoinasia.com","uri":"http://filecoinasia.com/topic/3/filecoin%e5%b8%b8%e8%a7%81%e9%97%ae%e9%a2%98%e8%a7%a3%e7%ad%94","extracted_on":"2019-02-07","last_seen_on":"2020-01-05","still_on_page":false},{"domain":"filecoinasia.com","uri":"http://filecoinasia.com/topic/3/filecoin%e5%b8%b8%e8%a7%81%e9%97%ae%e9%a2%98%e8%a7%a3%e7%ad%94/1","extracted_on":"2019-02-15","last_seen_on":"2020-01-05","still_on_page":false},{"domain":"ipfser.org","uri":"http://ipfser.org/2019/02/13/wenda301filecoin","extracted_on":"2019-07-18","last_seen_on":"2019-09-08","still_on_page":false},{"domain":"linksfin.com","uri":"http://linksfin.com/article/279092","extracted_on":"2019-09-02","last_seen_on":"2019-09-02","still_on_page":false},{"domain":"ipfser.org","uri":"http://ipfser.org/2018/01/04/r13","extracted_on":"2019-06-13","last_seen_on":"2019-06-13","still_on_page":false},{"domain":"lao-k.com","uri":"http://lao-k.com/marketing/55596.html","extracted_on":"2019-03-26","last_seen_on":"2019-05-22","still_on_page":false}],"first_name":null,"last_name":null,"position":null,"position_raw":null,"seniority":null,"department":"sales","linkedin":null,"twitter":null,"phone_number":null,"verification":{"date":null,"status":null}}]</t>
  </si>
  <si>
    <t>Filecoin is a decentralized storage network designed to store people’s most important information.</t>
  </si>
  <si>
    <t>mlfoundry.com</t>
  </si>
  <si>
    <t>For you guys that might mean personalized instance types... or reserved capacity.</t>
  </si>
  <si>
    <t>Foundry</t>
  </si>
  <si>
    <t>[{"value":"jared@mlfoundry.com","type":"personal","confidence":99,"sources":[{"domain":"linkedin.com","uri":"https://www.google.com/search?q=site:linkedin.com%20jared%20davis%20mlfoundry","extracted_on":"2025-01-07","last_seen_on":"2025-01-07","still_on_page":true}],"first_name":"Jared","last_name":"Davis","position":"Founder","position_raw":"Founder and","seniority":"executive","department":"executive","linkedin":"https://www.linkedin.com/in/jaredquincydavis","twitter":null,"phone_number":null,"verification":{"date":"2025-02-09","status":"valid"}},{"value":"amanda@mlfoundry.com","type":"personal","confidence":98,"sources":[{"domain":"linkedin.com","uri":"https://www.google.com/search?q=site:linkedin.com%20amanda%20h%20mlfoundry","extracted_on":"2025-01-07","last_seen_on":"2025-01-07","still_on_page":true}],"first_name":"Amanda","last_name":"H","position":"Director of Business Development","position_raw":"Head of Business Development and Partnerships","seniority":null,"department":"sales","linkedin":"https://www.linkedin.com/in/amanda-h-b8322b1ba","twitter":null,"phone_number":null,"verification":{"date":"2025-01-07","status":"valid"}},{"value":"contact@mlfoundry.com","type":"generic","confidence":95,"sources":[{"domain":"mlfoundry.com","uri":"http://mlfoundry.com","extracted_on":"2023-12-27","last_seen_on":"2024-06-27","still_on_page":false},{"domain":"mlfoundry.com","uri":"http://mlfoundry.com/about","extracted_on":"2024-03-27","last_seen_on":"2024-06-27","still_on_page":false},{"domain":"mlfoundry.com","uri":"http://mlfoundry.com/announcements","extracted_on":"2024-03-27","last_seen_on":"2024-06-27","still_on_page":false},{"domain":"mlfoundry.com","uri":"http://mlfoundry.com/careers","extracted_on":"2024-03-27","last_seen_on":"2024-06-27","still_on_page":false},{"domain":"mlfoundry.com","uri":"http://mlfoundry.com/privacy","extracted_on":"2024-03-27","last_seen_on":"2024-06-27","still_on_page":false}],"first_name":null,"last_name":null,"position":null,"position_raw":null,"seniority":null,"department":"support","linkedin":null,"twitter":null,"phone_number":null,"verification":{"date":null,"status":null}},{"value":"careers@mlfoundry.com","type":"generic","confidence":81,"sources":[{"domain":"hnhiring.com","uri":"http://hnhiring.com/locations/sf","extracted_on":"2024-12-03","last_seen_on":"2025-02-25","still_on_page":true},{"domain":"hnhiring.com","uri":"http://hnhiring.com/technologies/kubernetes","extracted_on":"2024-12-04","last_seen_on":"2025-02-25","still_on_page":true},{"domain":"hnhiring.com","uri":"http://hnhiring.com/technologies/python","extracted_on":"2024-12-03","last_seen_on":"2025-02-25","still_on_page":true},{"domain":"hnhiring.com","uri":"http://hnhiring.com/locations/palo-alto","extracted_on":"2024-12-05","last_seen_on":"2025-02-19","still_on_page":true},{"domain":"easycloudsolutions.com","uri":"http://easycloudsolutions.com/2024/07/06/revolutionizing-ai-compute-accessibility-foundrys-vision-and-impact","extracted_on":"2024-10-17","last_seen_on":"2025-01-17","still_on_page":true},{"domain":"hnhiring.com","uri":"http://hnhiring.com/december-2024","extracted_on":"2024-12-26","last_seen_on":"2024-12-26","still_on_page":true}],"first_name":null,"last_name":null,"position":null,"position_raw":null,"seniority":null,"department":"hr","linkedin":null,"twitter":null,"phone_number":null,"verification":{"date":null,"status":null}},{"value":"announcements@mlfoundry.com","type":"generic","confidence":78,"sources":[{"domain":"intelligence360.news","uri":"http://intelligence360.news/foundry-raises-80-million-in-seed-and-series-a-funding-to-build-a-new-breed-of-public-cloud","extracted_on":"2024-04-30","last_seen_on":"2025-02-08","still_on_page":true},{"domain":"startup365.fr","uri":"http://startup365.fr/author/862global","extracted_on":"2024-03-21","last_seen_on":"2024-03-21","still_on_page":true},{"domain":"startup365.fr","uri":"http://startup365.fr/author/862global/page/2","extracted_on":"2024-03-21","last_seen_on":"2024-03-21","still_on_page":true},{"domain":"startup365.fr","uri":"http://startup365.fr/author/862global/page/3","extracted_on":"2024-03-21","last_seen_on":"2024-03-21","still_on_page":true},{"domain":"startup365.fr","uri":"http://startup365.fr/category/business-wire/page/2","extracted_on":"2024-03-21","last_seen_on":"2024-03-21","still_on_page":true},{"domain":"startup365.fr","uri":"http://startup365.fr/category/business-wire","extracted_on":"2024-03-21","last_seen_on":"2024-03-21","still_on_page":false}],"first_name":null,"last_name":null,"position":null,"position_raw":null,"seniority":null,"department":null,"linkedin":null,"twitter":null,"phone_number":null,"verification":{"date":null,"status":null}},{"value":"support@mlfoundry.com","type":"generic","confidence":10,"sources":[{"domain":"mlfoundry.com","uri":"http://mlfoundry.com/privacy","extracted_on":"2024-03-27","last_seen_on":"2024-06-27","still_on_page":false}],"first_name":null,"last_name":null,"position":null,"position_raw":null,"seniority":null,"department":"support","linkedin":null,"twitter":null,"phone_number":null,"verification":{"date":null,"status":null}}]</t>
  </si>
  <si>
    <t>Foundry is orchestrating the world’s compute capacity, making it universally accessible for AI workloads.</t>
  </si>
  <si>
    <t>ironfish.network</t>
  </si>
  <si>
    <t>For you guys that might mean personalized transaction amounts... or asset types.</t>
  </si>
  <si>
    <t>Iron Fish</t>
  </si>
  <si>
    <t>[{"value":"elena@ironfish.network","type":"personal","confidence":99,"sources":[{"domain":"linkedin.com","uri":"https://www.google.com/search?q=site:linkedin.com%20elena%20nadolinski%20ironfish","extracted_on":"2025-01-15","last_seen_on":"2025-01-15","still_on_page":true}],"first_name":"Elena","last_name":"Nadolinski","position":"Founder","position_raw":"Instigator (Founder/CEO)","seniority":"executive","department":"executive","linkedin":"https://www.linkedin.com/in/elena-nadolinski-96268147","twitter":null,"phone_number":null,"verification":{"date":"2025-02-03","status":"valid"}},{"value":"partnerships@ironfish.network","type":"generic","confidence":98,"sources":[{"domain":"ironfish.network","uri":"http://ironfish.network/learn/blog/2023-04-20-announcing-mainnet","extracted_on":"2023-06-06","last_seen_on":"2024-12-08","still_on_page":true},{"domain":"ironfish.network","uri":"http://ironfish.network/use/ecosystem","extracted_on":"2023-06-06","last_seen_on":"2024-12-08","still_on_page":true},{"domain":"coinbuzzfeed.com","uri":"http://coinbuzzfeed.com/iron-fish-launches-its-mainnet-and-airdrop","extracted_on":"2023-08-23","last_seen_on":"2024-02-23","still_on_page":false}],"first_name":null,"last_name":null,"position":null,"position_raw":null,"seniority":null,"department":null,"linkedin":null,"twitter":null,"phone_number":null,"verification":{"date":null,"status":null}},{"value":"contact@ironfish.network","type":"generic","confidence":97,"sources":[{"domain":"ironfish.network","uri":"http://ironfish.network/learn/blog/2024-05-29-oreowallet","extracted_on":"2024-12-08","last_seen_on":"2024-12-08","still_on_page":true},{"domain":"ironfish.network","uri":"http://ironfish.network/learn/blog/2024-08-15-safety","extracted_on":"2024-12-08","last_seen_on":"2024-12-08","still_on_page":true},{"domain":"ironfish.network","uri":"http://ironfish.network/blog/2023/02/28/testnet-rewards","extracted_on":"2024-03-06","last_seen_on":"2024-12-06","still_on_page":true},{"domain":"ironfish.network","uri":"http://ironfish.network/learn/blog/2022-10-25-acams","extracted_on":"2024-02-29","last_seen_on":"2024-11-30","still_on_page":true},{"domain":"ironfish.network","uri":"http://ironfish.network/learn/blog/2023-03-07-testnet-retrospective","extracted_on":"2024-03-01","last_seen_on":"2024-11-30","still_on_page":true},{"domain":"icoholder.com","uri":"http://icoholder.com/de/companies","extracted_on":"2024-08-23","last_seen_on":"2024-08-29","still_on_page":false},{"domain":"icoholder.com","uri":"http://icoholder.com/en/companies","extracted_on":"2024-08-24","last_seen_on":"2024-08-29","still_on_page":false},{"domain":"icoholder.com","uri":"http://icoholder.com/ru/companies","extracted_on":"2024-08-23","last_seen_on":"2024-08-29","still_on_page":false},{"domain":"icoholder.com","uri":"http://icoholder.com/fr/companies","extracted_on":"2024-08-23","last_seen_on":"2024-08-28","still_on_page":false}],"first_name":null,"last_name":null,"position":null,"position_raw":null,"seniority":null,"department":"support","linkedin":null,"twitter":null,"phone_number":null,"verification":{"date":"2025-02-17","status":"valid"}},{"value":"joinus@ironfish.network","type":"generic","confidence":96,"sources":[{"domain":"hnhiring.com","uri":"http://hnhiring.com/technologies/rust/months/july-2021","extracted_on":"2021-09-10","last_seen_on":"2025-01-11","still_on_page":true},{"domain":"ironfish.network","uri":"http://ironfish.network/careers","extracted_on":"2020-11-14","last_seen_on":"2023-03-06","still_on_page":false},{"domain":"ironfish.network","uri":"http://ironfish.network/jd-backend","extracted_on":"2020-12-10","last_seen_on":"2023-02-25","still_on_page":false},{"domain":"ironfish.network","uri":"http://ironfish.network/jd-cryptographer","extracted_on":"2021-08-24","last_seen_on":"2023-02-24","still_on_page":false},{"domain":"ironfish.network","uri":"http://ironfish.network/jd-full-stack","extracted_on":"2021-08-24","last_seen_on":"2023-01-23","still_on_page":false},{"domain":"hnhiring.com","uri":"http://hnhiring.com/locations/sf","extracted_on":"2021-07-02","last_seen_on":"2021-08-02","still_on_page":false},{"domain":"hnhiring.com","uri":"http://hnhiring.com/technologies/node","extracted_on":"2021-07-03","last_seen_on":"2021-08-02","still_on_page":false},{"domain":"hnhiring.com","uri":"http://hnhiring.com/technologies/rust","extracted_on":"2021-07-12","last_seen_on":"2021-08-02","still_on_page":false},{"domain":"hnhiring.com","uri":"http://hnhiring.com/technologies/wasm","extracted_on":"2021-07-20","last_seen_on":"2021-07-20","still_on_page":false},{"domain":"ironfish.network","uri":"http://ironfish.network/jd-mobile","extracted_on":"2020-12-10","last_seen_on":"2021-06-11","still_on_page":false}],"first_name":null,"last_name":null,"position":null,"position_raw":null,"seniority":null,"department":null,"linkedin":null,"twitter":null,"phone_number":null,"verification":{"date":null,"status":null}},{"value":"redemptions@ironfish.network","type":"generic","confidence":95,"sources":[{"domain":"ironfish.network","uri":"http://ironfish.network/learn/blog/2023-02-28-testnet-rewards","extracted_on":"2023-10-03","last_seen_on":"2025-01-04","still_on_page":true},{"domain":"ironfish.network","uri":"http://ironfish.network/blog/2023/02/28/testnet-rewards","extracted_on":"2023-03-06","last_seen_on":"2024-12-06","still_on_page":true}],"first_name":null,"last_name":null,"position":null,"position_raw":null,"seniority":null,"department":null,"linkedin":null,"twitter":null,"phone_number":null,"verification":{"date":null,"status":null}}]</t>
  </si>
  <si>
    <t>Iron Fish is a Layer 1 blockchain that provides privacy guarantees on every single transaction.</t>
  </si>
  <si>
    <t>liquidmetal.ai</t>
  </si>
  <si>
    <t>For you guys that might mean personalized AI agents... or data connectors.</t>
  </si>
  <si>
    <t>LiquidMetal</t>
  </si>
  <si>
    <t>[{"value":"customer@liquidmetal.ai","type":"generic","confidence":75,"sources":[{"domain":"liquidmetal.ai","uri":"http://liquidmetal.ai/contact","extracted_on":"2024-06-22","last_seen_on":"2024-12-22","still_on_page":true}],"first_name":null,"last_name":null,"position":null,"position_raw":null,"seniority":null,"department":"support","linkedin":null,"twitter":null,"phone_number":null,"verification":{"date":null,"status":null}}]</t>
  </si>
  <si>
    <t>LiquidMetal AI</t>
  </si>
  <si>
    <t>LiquidMetal AI (fka Seaplane) builds your AI infused application on top of the worldclass Cloudflare infrastructure.</t>
  </si>
  <si>
    <t>lugg.com</t>
  </si>
  <si>
    <t>For you guys that might mean personalized truck sizes... or service areas.</t>
  </si>
  <si>
    <t>Lugg</t>
  </si>
  <si>
    <t>[{"value":"galina@lugg.com","type":"personal","confidence":99,"sources":[{"domain":"linkedin.com","uri":"https://www.google.com/search?q=site:linkedin.com%20galina%20hyland%20lugg","extracted_on":"2025-01-03","last_seen_on":"2025-01-03","still_on_page":true}],"first_name":"Galina","last_name":"Hyland","position":"Director of Customer Support","position_raw":"Head of Customer Support and Operations","seniority":null,"department":"support","linkedin":"https://www.linkedin.com/in/galinahyland","twitter":null,"phone_number":null,"verification":{"date":"2025-02-18","status":"valid"}},{"value":"stephanie@lugg.com","type":"personal","confidence":99,"sources":[{"domain":"linkedin.com","uri":"https://www.google.com/search?q=site:linkedin.com%20stephanie%20lafleur%20lugg","extracted_on":"2025-01-03","last_seen_on":"2025-01-03","still_on_page":true}],"first_name":"Stephanie","last_name":"Lafleur","position":"Senior Support Specialist","position_raw":"Senior Support Specialist","seniority":"senior","department":"support","linkedin":"https://www.linkedin.com/in/stephanie-lafleur-048b0739","twitter":null,"phone_number":null,"verification":{"date":"2025-02-18","status":"invalid"}},{"value":"max@lugg.com","type":"personal","confidence":99,"sources":[{"domain":"linkedin.com","uri":"https://www.google.com/search?q=site:linkedin.com%20max%20callas%20lugg","extracted_on":"2025-01-03","last_seen_on":"2025-01-03","still_on_page":true}],"first_name":"Max","last_name":"Callas","position":"Operations Manager","position_raw":"Operations Team Lead","seniority":"senior","department":"operations","linkedin":"https://www.linkedin.com/in/maxcallas","twitter":null,"phone_number":null,"verification":{"date":"2025-01-13","status":"valid"}},{"value":"brandon@lugg.com","type":"personal","confidence":99,"sources":[{"domain":"linkedin.com","uri":"https://www.google.com/search?q=site:linkedin.com%20brandon%20alexander%20lugg","extracted_on":"2025-01-03","last_seen_on":"2025-01-03","still_on_page":true}],"first_name":"Brandon","last_name":"Alexander","position":"Remote Support Specialist","position_raw":"Remote Support","seniority":"senior","department":"support","linkedin":"https://www.linkedin.com/in/brandon-alexander-900543bb","twitter":null,"phone_number":null,"verification":{"date":"2025-02-18","status":"valid"}},{"value":"jordan@lugg.com","type":"personal","confidence":98,"sources":[{"domain":"linkedin.com","uri":"https://www.google.com/search?q=site:linkedin.com%20jordan%20brown%20lugg","extracted_on":"2025-01-07","last_seen_on":"2025-01-07","still_on_page":true}],"first_name":"Jordan","last_name":"Brown","position":"CEO","position_raw":"Founder, CEO","seniority":"executive","department":"executive","linkedin":"https://www.linkedin.com/in/jordan-brown-b4b628a1","twitter":null,"phone_number":null,"verification":{"date":"2025-01-07","status":"valid"}},{"value":"ryan@lugg.com","type":"personal","confidence":98,"sources":[{"domain":"linkedin.com","uri":"https://www.google.com/search?q=site:linkedin.com%20ryan%20landeck%20lugg","extracted_on":"2025-01-03","last_seen_on":"2025-01-03","still_on_page":true}],"first_name":"Ryan","last_name":"Landeck","position":"Operations Manager","position_raw":"Operations Team Lead at Lugg, Inc.","seniority":"senior","department":"management","linkedin":"https://www.linkedin.com/in/ryan-landeck-15081324","twitter":null,"phone_number":null,"verification":{"date":null,"status":null}},{"value":"morenike@lugg.com","type":"personal","confidence":98,"sources":[{"domain":"linkedin.com","uri":"https://www.google.com/search?q=site:linkedin.com%20morenike%20olufemi%20lugg","extracted_on":"2025-01-03","last_seen_on":"2025-01-03","still_on_page":true}],"first_name":"Morenike","last_name":"Olufemi","position":"Customer Support Specialist","position_raw":"Customer Support Specialist","seniority":"senior","department":"support","linkedin":"https://www.linkedin.com/in/morenike-olufemi-323192268","twitter":null,"phone_number":null,"verification":{"date":null,"status":null}},{"value":"holly@lugg.com","type":"personal","confidence":98,"sources":[{"domain":"lugg.com","uri":"http://www.ycombinatorcompanies.com/company/lugg","extracted_on":"2024-12-03","last_seen_on":"2024-12-03","still_on_page":true}],"first_name":"Holly","last_name":"Benjamin","position":"Marketing Manager","position_raw":"Marketing","seniority":"senior","department":"marketing","linkedin":"https://www.linkedin.com/in/holly-benjamin","twitter":null,"phone_number":null,"verification":{"date":"2025-01-14","status":"valid"}},{"value":"vanessa@lugg.com","type":"personal","confidence":97,"sources":[{"domain":"linkedin.com","uri":"https://www.google.com/search?q=site:linkedin.com%20vanessa%20sparrow%20lugg","extracted_on":"2025-01-03","last_seen_on":"2025-01-03","still_on_page":true}],"first_name":"Vanessa","last_name":"Sparrow","position":"Operations Associate","position_raw":"Operations Associate","seniority":null,"department":"operations","linkedin":"https://www.linkedin.com/in/vanessasparrow","twitter":null,"phone_number":null,"verification":{"date":null,"status":null}},{"value":"eric@lugg.com","type":"personal","confidence":97,"sources":[{"domain":"linkedin.com","uri":"https://www.google.com/search?q=site:linkedin.com%20eric%20kreutzer%20lugg","extracted_on":"2025-01-03","last_seen_on":"2025-01-03","still_on_page":true}],"first_name":"Eric","last_name":"Kreutzer","position":"President","position_raw":"Founder, President","seniority":"executive","department":"executive","linkedin":"https://www.linkedin.com/in/eric-kreutzer-9a1779104","twitter":null,"phone_number":null,"verification":{"date":null,"status":null}}]</t>
  </si>
  <si>
    <t>Lugg is an on-demand moving and storage company.</t>
  </si>
  <si>
    <t>Consumer</t>
  </si>
  <si>
    <t>monad.com</t>
  </si>
  <si>
    <t>For you guys that might mean personalized SIEM integrations... or routing rules.</t>
  </si>
  <si>
    <t>[{"value":"andrew@monad.com","type":"personal","confidence":99,"sources":[{"domain":"linkedin.com","uri":"https://www.google.com/search?q=site:linkedin.com%20andrew%20curry%20monad","extracted_on":"2025-01-03","last_seen_on":"2025-01-03","still_on_page":true}],"first_name":"Andrew","last_name":"Curry","position":null,"position_raw":null,"seniority":null,"department":null,"linkedin":"https://www.linkedin.com/in/andrew-curry-bb607711","twitter":null,"phone_number":null,"verification":{"date":null,"status":null}},{"value":"aneesh@monad.com","type":"personal","confidence":98,"sources":[{"domain":"linkedin.com","uri":"https://www.google.com/search?q=site:linkedin.com%20aneesh%20seth%20monad","extracted_on":"2025-01-03","last_seen_on":"2025-01-03","still_on_page":true}],"first_name":"Aneesh","last_name":"Seth","position":null,"position_raw":"Software Engineer Intern","seniority":null,"department":null,"linkedin":"https://www.linkedin.com/in/aneesh-seth-3b3508247","twitter":null,"phone_number":null,"verification":{"date":null,"status":null}},{"value":"brent@monad.com","type":"personal","confidence":97,"sources":[{"domain":"linkedin.com","uri":"https://www.google.com/search?q=site:linkedin.com%20brent%20hughes%20monad","extracted_on":"2025-01-03","last_seen_on":"2025-01-03","still_on_page":true}],"first_name":"Brent","last_name":"Hughes","position":null,"position_raw":null,"seniority":null,"department":null,"linkedin":"https://www.linkedin.com/in/brent-hughes","twitter":null,"phone_number":null,"verification":{"date":null,"status":null}},{"value":"hello@monad.com","type":"generic","confidence":95,"sources":[{"domain":"monad.com","uri":"http://monad.com","extracted_on":"2023-10-26","last_seen_on":"2025-02-01","still_on_page":true},{"domain":"monad.com","uri":"http://monad.com/about","extracted_on":"2024-07-24","last_seen_on":"2025-02-01","still_on_page":true},{"domain":"monad.com","uri":"http://monad.com/blog/data-engineering-for-cybersecurity-part-3","extracted_on":"2025-02-01","last_seen_on":"2025-02-01","still_on_page":true},{"domain":"monad.com","uri":"http://monad.com/integrations","extracted_on":"2024-07-24","last_seen_on":"2025-02-01","still_on_page":true},{"domain":"monad.com","uri":"http://monad.com/product","extracted_on":"2024-01-26","last_seen_on":"2025-02-01","still_on_page":true}],"first_name":null,"last_name":null,"position":null,"position_raw":null,"seniority":null,"department":"support","linkedin":null,"twitter":null,"phone_number":null,"verification":{"date":"2025-02-05","status":"valid"}},{"value":"gmbenik@monad.com","type":"personal","confidence":75,"sources":[{"domain":"nhhr.dimentech.com","uri":"http://nhhr.dimentech.com/heac/19981215x2.html","extracted_on":"2018-10-22","last_seen_on":"2025-01-07","still_on_page":true}],"first_name":null,"last_name":null,"position":null,"position_raw":null,"seniority":null,"department":null,"linkedin":null,"twitter":null,"phone_number":null,"verification":{"date":"2025-02-18","status":"invalid"}}]</t>
  </si>
  <si>
    <t>Monad’s platform unites security data silos and builds effective security and compliance workflows.</t>
  </si>
  <si>
    <t>nsave.com</t>
  </si>
  <si>
    <t>For you guys that might mean personalized exchange rates... or funding sources.</t>
  </si>
  <si>
    <t>nsave</t>
  </si>
  <si>
    <t>[{"value":"emanuel@nsave.com","type":"personal","confidence":91,"sources":[{"domain":"linkedin.com","uri":"https://www.google.com/search?q=site:linkedin.com%20%C3%A9manuel%20grenier-benoit%20nsave","extracted_on":"2025-01-14","last_seen_on":"2025-01-14","still_on_page":true}],"first_name":"Émanuel","last_name":"Grenier-Benoit","position":"Director of Operations","position_raw":"Head of Operations","seniority":null,"department":"executive","linkedin":"https://www.linkedin.com/in/emanuelgrenierbenoit","twitter":null,"phone_number":null,"verification":{"date":"2025-02-12","status":"accept_all"}},{"value":"support@nsave.com","type":"generic","confidence":78,"sources":[{"domain":"nsave.com","uri":"http://nsave.com/pricing","extracted_on":"2024-06-05","last_seen_on":"2024-12-24","still_on_page":true},{"domain":"nsave.com","uri":"http://nsave.com/privacy","extracted_on":"2023-11-30","last_seen_on":"2024-12-24","still_on_page":true},{"domain":"nsave.com","uri":"http://nsave.com/terms/account","extracted_on":"2024-06-05","last_seen_on":"2024-12-24","still_on_page":true},{"domain":"nsave.com","uri":"http://nsave.com/terms/general","extracted_on":"2023-11-30","last_seen_on":"2024-12-24","still_on_page":true}],"first_name":null,"last_name":null,"position":null,"position_raw":null,"seniority":null,"department":"support","linkedin":null,"twitter":null,"phone_number":null,"verification":{"date":"2025-01-24","status":"accept_all"}},{"value":"data@nsave.com","type":"generic","confidence":75,"sources":[{"domain":"nsave.com","uri":"http://nsave.com/terms/cookie","extracted_on":"2023-11-30","last_seen_on":"2024-12-24","still_on_page":true}],"first_name":null,"last_name":null,"position":null,"position_raw":null,"seniority":null,"department":null,"linkedin":null,"twitter":null,"phone_number":null,"verification":{"date":"2025-01-23","status":"accept_all"}}]</t>
  </si>
  <si>
    <t>nsave offers trusted offshore USD, EUR and GBP accounts for people from countries with unstable economies.</t>
  </si>
  <si>
    <t>George Robson</t>
  </si>
  <si>
    <t>getopen.com</t>
  </si>
  <si>
    <t>For you guys that might mean personalized loyalty programs... or menu items.</t>
  </si>
  <si>
    <t>Open</t>
  </si>
  <si>
    <t>[{"value":"support@getopen.com","type":"generic","confidence":78,"sources":[{"domain":"poachedkitchen.com","uri":"http://poachedkitchen.com/accessibility","extracted_on":"2024-09-30","last_seen_on":"2025-02-20","still_on_page":true},{"domain":"getopen.com","uri":"http://getopen.com/account-data","extracted_on":"2024-04-12","last_seen_on":"2025-01-13","still_on_page":true},{"domain":"getopen.com","uri":"http://getopen.com/privacy-policy","extracted_on":"2024-04-12","last_seen_on":"2025-01-12","still_on_page":true}],"first_name":null,"last_name":null,"position":null,"position_raw":null,"seniority":null,"department":"support","linkedin":null,"twitter":null,"phone_number":null,"verification":{"date":null,"status":null}},{"value":"legal@getopen.com","type":"generic","confidence":75,"sources":[{"domain":"getopen.com","uri":"http://getopen.com/privacy-policy","extracted_on":"2024-04-12","last_seen_on":"2025-01-12","still_on_page":true}],"first_name":null,"last_name":null,"position":null,"position_raw":null,"seniority":null,"department":"legal","linkedin":null,"twitter":null,"phone_number":null,"verification":{"date":null,"status":null}},{"value":"careers@getopen.com","type":"generic","confidence":60,"sources":[{"domain":"getopen.com","uri":"http://getopen.com","extracted_on":"2024-04-12","last_seen_on":"2025-01-12","still_on_page":true}],"first_name":null,"last_name":null,"position":null,"position_raw":null,"seniority":null,"department":"hr","linkedin":null,"twitter":null,"phone_number":null,"verification":{"date":null,"status":null}}]</t>
  </si>
  <si>
    <t>Open (formerly Acelerate) is an online sales engine helps restaurants effortlessly increase their sales and profits.</t>
  </si>
  <si>
    <t>Ravi Gupta</t>
  </si>
  <si>
    <t>parallel.fi</t>
  </si>
  <si>
    <t>For you guys that might mean personalized lending terms, or collateral ratios.</t>
  </si>
  <si>
    <t>Parallel</t>
  </si>
  <si>
    <t>[{"value":"yubo@parallel.fi","type":"personal","confidence":99,"sources":[{"domain":"linkedin.com","uri":"https://www.google.com/search?q=site:linkedin.com%20yubo%20ruan%20parallel","extracted_on":"2025-01-07","last_seen_on":"2025-01-07","still_on_page":true},{"domain":"llok.net","uri":"http://llok.net/blog/web3-super-app-parax-releases-whitepaper-and-first-web3-ai-d","extracted_on":"2024-03-26","last_seen_on":"2024-12-26","still_on_page":true}],"first_name":"Yubo","last_name":"Ruan","position":"Founder","position_raw":"Founder","seniority":"executive","department":"executive","linkedin":"https://www.linkedin.com/in/yubo-ruan","twitter":null,"phone_number":null,"verification":{"date":"2025-01-07","status":"valid"}},{"value":"team@parallel.fi","type":"generic","confidence":95,"sources":[{"domain":"parachains.info","uri":"http://parachains.info/details/heiko_finance","extracted_on":"2023-03-08","last_seen_on":"2025-02-25","still_on_page":true},{"domain":"parachains.info","uri":"http://parachains.info/details/parallel_finance","extracted_on":"2023-03-08","last_seen_on":"2025-02-25","still_on_page":true},{"domain":"btcover.com","uri":"http://btcover.com/index.php/2021/09/19/parallel-heiko-crowdloan-zongjianglitigaozhi-5tuijianjiangli-10heiko-shangxianhoujikaishijiangliai","extracted_on":"2022-08-29","last_seen_on":"2025-01-04","still_on_page":true},{"domain":"coinvn.com","uri":"http://coinvn.com/parallel-finance-la-gi-thong-tin-chi-tiet-ve-du-an-va-token-para","extracted_on":"2022-12-09","last_seen_on":"2024-09-11","still_on_page":false},{"domain":"socket.dev","uri":"http://socket.dev/npm/category/apis/finance-apis","extracted_on":"2024-09-03","last_seen_on":"2024-09-03","still_on_page":false},{"domain":"cryptocoinstart.com","uri":"http://cryptocoinstart.com/blog/2022/03/18/parallel-finance-launches-6-defi-products-in-one-day","extracted_on":"2024-04-25","last_seen_on":"2024-04-25","still_on_page":false},{"domain":"linknews.cc","uri":"http://linknews.cc/boka/3439.html","extracted_on":"2022-11-29","last_seen_on":"2024-03-04","still_on_page":false},{"domain":"lianchaguan.com","uri":"http://lianchaguan.com/archives/39457","extracted_on":"2022-05-15","last_seen_on":"2024-02-15","still_on_page":false},{"domain":"lianchaguan.com","uri":"http://lianchaguan.com/archives/39595","extracted_on":"2024-01-21","last_seen_on":"2024-01-21","still_on_page":false},{"domain":"lianchaguan.com","uri":"http://lianchaguan.com/archives/39604","extracted_on":"2022-05-15","last_seen_on":"2024-01-11","still_on_page":false},{"domain":"parsers.vc","uri":"http://parsers.vc/startup/parallel.fi","extracted_on":"2021-06-25","last_seen_on":"2023-10-30","still_on_page":false},{"domain":"themelocker.xyz","uri":"http://themelocker.xyz/201","extracted_on":"2022-07-14","last_seen_on":"2023-10-21","still_on_page":false},{"domain":"themelocker.xyz","uri":"http://themelocker.xyz/491","extracted_on":"2022-10-19","last_seen_on":"2023-10-21","still_on_page":false},{"domain":"techroomage.com","uri":"http://techroomage.com/201","extracted_on":"2022-09-08","last_seen_on":"2023-09-22","still_on_page":false},{"domain":"techroomage.com","uri":"http://techroomage.com/491","extracted_on":"2022-09-16","last_seen_on":"2023-09-16","still_on_page":false},{"domain":"kknews.xyz","uri":"http://kknews.xyz/201","extracted_on":"2022-09-10","last_seen_on":"2023-06-20","still_on_page":false},{"domain":"kknews.xyz","uri":"http://kknews.xyz/491","extracted_on":"2022-12-13","last_seen_on":"2023-06-20","still_on_page":false},{"domain":"jishuin.proginn.com","uri":"http://jishuin.proginn.com/p/763bfbd77cc1","extracted_on":"2023-03-10","last_seen_on":"2023-06-12","still_on_page":false},{"domain":"jishuin.proginn.com","uri":"http://jishuin.proginn.com/p/763bfbd79a59","extracted_on":"2023-03-10","last_seen_on":"2023-06-11","still_on_page":false},{"domain":"jishuin.proginn.com","uri":"http://jishuin.proginn.com/p/763bfbd78fa8","extracted_on":"2022-05-29","last_seen_on":"2023-06-10","still_on_page":false},{"domain":"parallel.fi","uri":"http://parallel.fi","extracted_on":"2021-05-04","last_seen_on":"2021-08-04","still_on_page":false},{"domain":"parallel.fi","uri":"http://parallel.fi/index.html","extracted_on":"2021-08-04","last_seen_on":"2021-08-04","still_on_page":false},{"domain":"parallel.fi","uri":"http://parallel.fi/networks/ethereum.html","extracted_on":"2021-08-04","last_seen_on":"2021-08-04","still_on_page":false},{"domain":"parallel.fi","uri":"http://parallel.fi/networks/kusama.html","extracted_on":"2021-08-04","last_seen_on":"2021-08-04","still_on_page":false},{"domain":"parallel.fi","uri":"http://parallel.fi/networks/polkadot.html","extracted_on":"2021-08-04","last_seen_on":"2021-08-04","still_on_page":false}],"first_name":null,"last_name":null,"position":null,"position_raw":null,"seniority":null,"department":"support","linkedin":null,"twitter":null,"phone_number":null,"verification":{"date":"2025-01-30","status":"valid"}}]</t>
  </si>
  <si>
    <t>Parallel is an institutional-grade lending protocol for proof-of-stake blockchains.</t>
  </si>
  <si>
    <t>pydantic.dev</t>
  </si>
  <si>
    <t>For you guys that might mean personalized data models... or serializers.</t>
  </si>
  <si>
    <t>Pydantic</t>
  </si>
  <si>
    <t>[{"value":"sydney@pydantic.dev","type":"personal","confidence":99,"sources":[{"domain":"pydantic.dev","uri":"http://pydantic.dev/about","extracted_on":"2024-11-05","last_seen_on":"2024-11-05","still_on_page":true}],"first_name":"Sydney","last_name":"Runkle","position":"Software Engineer","position_raw":"Software Engineer","seniority":null,"department":"it","linkedin":"https://www.linkedin.com/in/sydney-runkle","twitter":null,"phone_number":null,"verification":{"date":null,"status":null}},{"value":"alex@pydantic.dev","type":"personal","confidence":98,"sources":[{"domain":"pydigger.com","uri":"http://pydigger.com/pypi/logfire","extracted_on":"2024-05-19","last_seen_on":"2025-02-19","still_on_page":true},{"domain":"pydantic.dev","uri":"http://pydantic.dev/about","extracted_on":"2024-11-05","last_seen_on":"2024-11-05","still_on_page":true}],"first_name":"Alex","last_name":"Hall","position":"Software Engineer","position_raw":"Software Library Engineer","seniority":null,"department":"it","linkedin":"https://www.linkedin.com/in/alex-hall-8532079a","twitter":null,"phone_number":null,"verification":{"date":null,"status":null}},{"value":"daniel@pydantic.dev","type":"personal","confidence":97,"sources":[{"domain":"pydantic.dev","uri":"http://pydantic.dev/about","extracted_on":"2024-11-05","last_seen_on":"2024-11-05","still_on_page":true}],"first_name":"Daniel","last_name":"Cruz","position":"Senior Software Engineer","position_raw":"Senior Software Developer","seniority":"senior","department":"it","linkedin":"https://www.linkedin.com/in/ddanielcruzz","twitter":null,"phone_number":null,"verification":{"date":null,"status":null}},{"value":"samuel@pydantic.dev","type":"personal","confidence":96,"sources":[{"domain":"pydigger.com","uri":"http://pydigger.com/pypi/logfire","extracted_on":"2024-05-19","last_seen_on":"2025-02-19","still_on_page":true},{"domain":"linkedin.com","uri":"https://www.google.com/search?q=site:linkedin.com%20samuel%20colvin%20pydantic","extracted_on":"2025-01-07","last_seen_on":"2025-01-07","still_on_page":true},{"domain":"pydantic.dev","uri":"http://pydantic.dev","extracted_on":"2024-11-05","last_seen_on":"2024-11-05","still_on_page":true}],"first_name":"Samuel","last_name":"Colvin","position":"Founder","position_raw":"Founder","seniority":"executive","department":"executive","linkedin":"https://www.linkedin.com/in/samuel-colvin-27531523","twitter":null,"phone_number":null,"verification":{"date":null,"status":null}},{"value":"david@pydantic.dev","type":"personal","confidence":95,"sources":[{"domain":"pydigger.com","uri":"http://pydigger.com/pypi/logfire","extracted_on":"2024-05-19","last_seen_on":"2025-02-19","still_on_page":true},{"domain":"pvnode.com","uri":"http://pvnode.com/licenses","extracted_on":"2024-10-12","last_seen_on":"2024-10-12","still_on_page":false}],"first_name":null,"last_name":null,"position":null,"position_raw":null,"seniority":null,"department":null,"linkedin":null,"twitter":null,"phone_number":null,"verification":{"date":null,"status":null}},{"value":"marcelo@pydantic.dev","type":"personal","confidence":94,"sources":[{"domain":"pydigger.com","uri":"http://pydigger.com/pypi/logfire","extracted_on":"2024-05-19","last_seen_on":"2025-02-19","still_on_page":true},{"domain":"pydantic.dev","uri":"http://pydantic.dev/about","extracted_on":"2024-11-05","last_seen_on":"2024-11-05","still_on_page":true}],"first_name":"Marcelo","last_name":"Trylesinski","position":"Senior Software Engineer","position_raw":"Senior Software Engineer","seniority":"senior","department":"it","linkedin":"https://www.linkedin.com/in/marcelotryle","twitter":null,"phone_number":null,"verification":{"date":null,"status":null}},{"value":"hasan@pydantic.dev","type":"personal","confidence":93,"sources":[{"domain":"pydigger.com","uri":"http://pydigger.com/pypi/logfire","extracted_on":"2024-05-19","last_seen_on":"2025-02-19","still_on_page":true},{"domain":"pydantic.dev","uri":"http://pydantic.dev/about","extracted_on":"2024-11-05","last_seen_on":"2024-11-05","still_on_page":true}],"first_name":"Hasan","last_name":"Ramezani","position":"Software Engineer","position_raw":"Software Engineer","seniority":null,"department":"it","linkedin":"https://www.linkedin.com/in/hasan-ramezani-009ab059","twitter":null,"phone_number":null,"verification":{"date":"2025-02-07","status":"valid"}},{"value":"david.hewitt@pydantic.dev","type":"personal","confidence":87,"sources":[{"domain":"pydigger.com","uri":"http://pydigger.com/pypi/logfire","extracted_on":"2024-05-19","last_seen_on":"2025-02-19","still_on_page":true}],"first_name":"David","last_name":"Hewitt","position":"Staff Software Engineer","position_raw":"Staff Software Engineer","seniority":null,"department":"it","linkedin":"https://www.linkedin.com/in/david-hewitt-4a393775","twitter":null,"phone_number":null,"verification":{"date":null,"status":null}},{"value":"terry@pydantic.dev","type":"personal","confidence":84,"sources":[{"domain":"pvnode.com","uri":"http://pvnode.com/licenses","extracted_on":"2024-10-12","last_seen_on":"2024-10-12","still_on_page":false}],"first_name":null,"last_name":null,"position":null,"position_raw":null,"seniority":null,"department":null,"linkedin":null,"twitter":null,"phone_number":null,"verification":{"date":null,"status":null}},{"value":"careers@pydantic.dev","type":"generic","confidence":79,"sources":[{"domain":"pydantic.dev","uri":"http://pydantic.dev/articles/company-announcement","extracted_on":"2024-05-16","last_seen_on":"2025-01-27","still_on_page":true},{"domain":"sequoiacap.com","uri":"http://sequoiacap.com/article/partnering-with-pydantic-no-more-steel-seats-for-developers","extracted_on":"2023-06-27","last_seen_on":"2025-01-09","still_on_page":true},{"domain":"pydantic.dev","uri":"http://pydantic.dev/jobs/platform","extracted_on":"2024-07-25","last_seen_on":"2024-10-27","still_on_page":false},{"domain":"pydantic.dev","uri":"http://pydantic.dev/jobs/rust","extracted_on":"2024-07-25","last_seen_on":"2024-10-27","still_on_page":false},{"domain":"pydantic.dev","uri":"http://pydantic.dev/jobs/designer","extracted_on":"2024-07-25","last_seen_on":"2024-07-25","still_on_page":false},{"domain":"pydantic.dev","uri":"http://pydantic.dev/jobs/technical-program-manager","extracted_on":"2024-07-25","last_seen_on":"2024-07-25","still_on_page":false},{"domain":"post.hillenius.net","uri":"http://post.hillenius.net/tag/python","extracted_on":"2023-04-06","last_seen_on":"2023-04-06","still_on_page":false},{"domain":"identosphere.net","uri":"http://identosphere.net/web3","extracted_on":"2023-03-10","last_seen_on":"2023-03-17","still_on_page":false}],"first_name":null,"last_name":null,"position":null,"position_raw":null,"seniority":null,"department":"hr","linkedin":null,"twitter":null,"phone_number":null,"verification":{"date":null,"status":null}}]</t>
  </si>
  <si>
    <t>Pydantic is a data validation library for Python.</t>
  </si>
  <si>
    <t>Charlie Curnin</t>
  </si>
  <si>
    <t>releasehub.com</t>
  </si>
  <si>
    <t>For you guys that might mean personalized environments or integrations.</t>
  </si>
  <si>
    <t>ReleaseHub</t>
  </si>
  <si>
    <t>[{"value":"hello@releasehub.com","type":"generic","confidence":92,"sources":[{"domain":"parsers.vc","uri":"http://parsers.vc/startup/releasehub.com","extracted_on":"2021-06-28","last_seen_on":"2025-02-17","still_on_page":true},{"domain":"dev.to","uri":"http://dev.to/tmcclung/tutorial-minecraft-server-running-in-kubernetes-on-releaseapp-io-free-d1a","extracted_on":"2023-02-28","last_seen_on":"2024-11-30","still_on_page":true},{"domain":"prod.releasehub.com","uri":"http://prod.releasehub.com/blog/contributing-to-open-source","extracted_on":"2022-08-02","last_seen_on":"2023-02-02","still_on_page":false},{"domain":"prod.releasehub.com","uri":"http://prod.releasehub.com/staging-environments","extracted_on":"2022-08-02","last_seen_on":"2023-02-02","still_on_page":false},{"domain":"release.com","uri":"http://release.com","extracted_on":"2023-01-27","last_seen_on":"2023-01-27","still_on_page":false},{"domain":"release.com","uri":"http://release.com/blog","extracted_on":"2023-01-27","last_seen_on":"2023-01-27","still_on_page":false},{"domain":"release.com","uri":"http://release.com/book-a-demo","extracted_on":"2023-01-27","last_seen_on":"2023-01-27","still_on_page":false},{"domain":"release.com","uri":"http://release.com/build-vs-buy","extracted_on":"2023-01-27","last_seen_on":"2023-01-27","still_on_page":false},{"domain":"release.com","uri":"http://release.com/ebooks","extracted_on":"2023-01-27","last_seen_on":"2023-01-27","still_on_page":false},{"domain":"prod.releasehub.com","uri":"http://prod.releasehub.com/blog/increase-developer-velocity-by-removing-environment-bottlenecks","extracted_on":"2022-04-12","last_seen_on":"2023-01-12","still_on_page":false},{"domain":"prod.releasehub.com","uri":"http://prod.releasehub.com/ephemeral-environments","extracted_on":"2022-04-12","last_seen_on":"2023-01-12","still_on_page":false},{"domain":"docs.releasehub.com","uri":"http://docs.releasehub.com/guides-and-examples/common-setup-examples/simple-static-build-example-gatsby-starter-theme","extracted_on":"2023-01-04","last_seen_on":"2023-01-04","still_on_page":false},{"domain":"prod.releasehub.com","uri":"http://prod.releasehub.com","extracted_on":"2022-10-01","last_seen_on":"2022-12-31","still_on_page":false},{"domain":"releasehub.com","uri":"http://releasehub.com/privacy-policy","extracted_on":"2022-10-29","last_seen_on":"2022-11-29","still_on_page":false},{"domain":"releasehub.com","uri":"http://releasehub.com/terms-of-service","extracted_on":"2022-07-29","last_seen_on":"2022-11-29","still_on_page":false},{"domain":"releasehub.com","uri":"http://releasehub.com/whitepapers","extracted_on":"2022-11-10","last_seen_on":"2022-11-29","still_on_page":false},{"domain":"releasehub.com","uri":"http://releasehub.com/blog/why-i-joined-release-matt-riley","extracted_on":"2022-07-29","last_seen_on":"2022-10-29","still_on_page":false},{"domain":"releasehub.com","uri":"http://releasehub.com/blog/why-im-excited-about-environment-as-a-service-and-releasehub","extracted_on":"2022-10-29","last_seen_on":"2022-10-29","still_on_page":false}],"first_name":null,"last_name":null,"position":null,"position_raw":null,"seniority":null,"department":"support","linkedin":null,"twitter":null,"phone_number":null,"verification":{"date":null,"status":null}},{"value":"support@releasehub.com","type":"generic","confidence":79,"sources":[{"domain":"release.com","uri":"http://release.com/blog/feature-flags-and-ephemeral-environments","extracted_on":"2023-01-27","last_seen_on":"2025-02-21","still_on_page":true},{"domain":"release.com","uri":"http://release.com/terms-of-service","extracted_on":"2023-01-27","last_seen_on":"2025-01-30","still_on_page":true},{"domain":"releasehub.com","uri":"http://releasehub.com/terms-of-service","extracted_on":"2022-01-29","last_seen_on":"2022-11-29","still_on_page":false},{"domain":"releasehub.com","uri":"http://releasehub.com/blog/awesome-release-docker-compose-examples-working-in-release-and-kubernetes","extracted_on":"2021-03-25","last_seen_on":"2022-10-29","still_on_page":false},{"domain":"releasehub.com","uri":"http://releasehub.com/blog/feature-flags-and-ephemeral-environments","extracted_on":"2021-04-14","last_seen_on":"2022-10-29","still_on_page":false}],"first_name":null,"last_name":null,"position":null,"position_raw":null,"seniority":null,"department":"support","linkedin":null,"twitter":null,"phone_number":null,"verification":{"date":null,"status":null}}]</t>
  </si>
  <si>
    <t>Release</t>
  </si>
  <si>
    <t>Release provides ephemeral environments as a service that can be used in QA and staging.</t>
  </si>
  <si>
    <t>revmap.com</t>
  </si>
  <si>
    <t>For you guys that might mean personalized roadmap priorities... or AI models.</t>
  </si>
  <si>
    <t>RevMap</t>
  </si>
  <si>
    <t>[{"value":"berber@revmap.com","type":"personal","confidence":99,"sources":[{"domain":"linkedin.com","uri":"https://www.google.com/search?q=site:linkedin.com%20berber%20krop%20revmap","extracted_on":"2025-01-07","last_seen_on":"2025-01-07","still_on_page":true}],"first_name":"Berber","last_name":"Krop","position":"Chief Executive Officer","position_raw":"CEO &amp; founder at RevMap","seniority":"executive","department":"executive","linkedin":"https://www.linkedin.com/in/berberkrop","twitter":null,"phone_number":null,"verification":{"date":"2025-01-07","status":"valid"}}]</t>
  </si>
  <si>
    <t>RevMap bridges product and sales teams so companies can build better products and sell more efficiently.</t>
  </si>
  <si>
    <t>gotelescope.ai</t>
  </si>
  <si>
    <t>For you guys that might mean personalized search criteria or data points.</t>
  </si>
  <si>
    <t>Telescope</t>
  </si>
  <si>
    <t>Telescope is an AI sales assistant that performs prospecting on auto-pilot.</t>
  </si>
  <si>
    <t>gotitus.com</t>
  </si>
  <si>
    <t>For you guys that might mean personalized interest rates... or approval amounts.</t>
  </si>
  <si>
    <t>Titus</t>
  </si>
  <si>
    <t>[{"value":"support@gotitus.com","type":"generic","confidence":10,"sources":[{"domain":"gotitus.com","uri":"http://gotitus.com/esign","extracted_on":"2024-08-26","last_seen_on":"2024-08-26","still_on_page":false},{"domain":"gotitus.com","uri":"http://gotitus.com/privacy","extracted_on":"2024-08-26","last_seen_on":"2024-08-26","still_on_page":false},{"domain":"gotitus.com","uri":"http://gotitus.com/support","extracted_on":"2024-08-26","last_seen_on":"2024-08-26","still_on_page":false},{"domain":"gotitus.com","uri":"http://gotitus.com/terms","extracted_on":"2024-08-26","last_seen_on":"2024-08-26","still_on_page":false}],"first_name":null,"last_name":null,"position":null,"position_raw":null,"seniority":null,"department":"support","linkedin":null,"twitter":null,"phone_number":null,"verification":{"date":null,"status":null}}]</t>
  </si>
  <si>
    <t>Titus (fka Aalto) created the Closing Line of Credit to enable seller’s to access their home’s equity to prepare their home for the market.</t>
  </si>
  <si>
    <t>two.inc</t>
  </si>
  <si>
    <t>For you guys that might mean personalized credit limits... or risk settings.</t>
  </si>
  <si>
    <t>Two</t>
  </si>
  <si>
    <t>[{"value":"szifroni@two.inc","type":"personal","confidence":99,"sources":[{"domain":"linkedin.com","uri":"https://www.google.com/search?q=site:linkedin.com%20shlomi%20zifroni%20two","extracted_on":"2025-01-07","last_seen_on":"2025-01-07","still_on_page":true}],"first_name":"Shlomi","last_name":"Zifroni","position":"Finance Director","position_raw":"Director of Finance","seniority":null,"department":"finance","linkedin":"https://www.linkedin.com/in/shlomi-zifroni","twitter":null,"phone_number":null,"verification":{"date":"2025-02-16","status":"valid"}},{"value":"bkenney@two.inc","type":"personal","confidence":99,"sources":[{"domain":"linkedin.com","uri":"https://www.google.com/search?q=site:linkedin.com%20bob%20kenney%20two","extracted_on":"2025-01-07","last_seen_on":"2025-01-07","still_on_page":true}],"first_name":"Bob","last_name":"Kenney","position":"Director of Engineering","position_raw":"Director of Engineering at Two","seniority":null,"department":"it","linkedin":"https://www.linkedin.com/in/bob-kenney","twitter":null,"phone_number":null,"verification":{"date":"2025-02-18","status":"valid"}},{"value":"ilyngedal@two.inc","type":"personal","confidence":99,"sources":[{"domain":"linkedin.com","uri":"https://www.google.com/search?q=site:linkedin.com%20ivar%20lyngedal%20two","extracted_on":"2025-01-07","last_seen_on":"2025-01-07","still_on_page":true}],"first_name":"Ivar","last_name":"Lyngedal","position":"Director of Operations","position_raw":"Head of Operations","seniority":null,"department":"executive","linkedin":"https://www.linkedin.com/in/ivar-lyngedal-a0a15414b","twitter":null,"phone_number":null,"verification":{"date":"2025-02-16","status":"valid"}},{"value":"jkrueger@two.inc","type":"personal","confidence":99,"sources":[{"domain":"linkedin.com","uri":"https://www.google.com/search?q=site:linkedin.com%20joachim%20kr%C3%BCger%20two","extracted_on":"2025-01-07","last_seen_on":"2025-01-07","still_on_page":true},{"domain":"two.inc","uri":"http://two.inc/no/resources/two-cents-blog/two-launches-worlds-first-integrated-in-store-b2b","extracted_on":"2025-01-06","last_seen_on":"2025-01-06","still_on_page":true},{"domain":"two.inc","uri":"http://two.inc/resources/two-cents-blog/two-launches-worlds-first-integrated-in-store-b2b","extracted_on":"2025-01-06","last_seen_on":"2025-01-06","still_on_page":true},{"domain":"two.inc","uri":"http://two.inc/post/two-launches-worlds-first-integrated-in-store-b2b","extracted_on":"2024-06-26","last_seen_on":"2024-06-26","still_on_page":true}],"first_name":"Joachim","last_name":"Krüger","position":"Chief Technology Officer","position_raw":"CTO, Co-founder","seniority":"executive","department":"it","linkedin":"https://www.linkedin.com/in/joachimkruger","twitter":null,"phone_number":null,"verification":{"date":"2025-01-07","status":"valid"}},{"value":"tluo@two.inc","type":"personal","confidence":98,"sources":[{"domain":"linkedin.com","uri":"https://www.google.com/search?q=site:linkedin.com%20tracy%20luo%20two","extracted_on":"2025-01-17","last_seen_on":"2025-01-17","still_on_page":true}],"first_name":"Tracy","last_name":"Luo","position":"Operations Manager","position_raw":"Operations Manager","seniority":"senior","department":"management","linkedin":"https://www.linkedin.com/in/tracyluo1997","twitter":null,"phone_number":null,"verification":{"date":"2025-01-17","status":"valid"}},{"value":"amjelde@two.inc","type":"personal","confidence":98,"sources":[{"domain":"linkedin.com","uri":"https://www.google.com/search?q=site:linkedin.com%20andreas%20mjelde%20two","extracted_on":"2025-01-07","last_seen_on":"2025-01-07","still_on_page":true}],"first_name":"Andreas","last_name":"Mjelde","position":"Co-Founder","position_raw":"Co-Founder","seniority":null,"department":"executive","linkedin":"https://www.linkedin.com/in/andreas-mjelde-154290124","twitter":null,"phone_number":null,"verification":{"date":"2025-01-29","status":"valid"}},{"value":"stamvakakis@two.inc","type":"personal","confidence":98,"sources":[{"domain":"linkedin.com","uri":"https://www.google.com/search?q=site:linkedin.com%20stavros%20tamvakakis%20two","extracted_on":"2025-01-07","last_seen_on":"2025-01-07","still_on_page":true},{"domain":"two.inc","uri":"http://two.inc/post/allianz-trade-x-santander-cib-x-two-the-new-b2b-bnpl-partnership","extracted_on":"2024-09-17","last_seen_on":"2024-09-17","still_on_page":true}],"first_name":"Stavros","last_name":"Tamvakakis","position":"Co-Founder, Operations","position_raw":"Co-Founder, Finance &amp; Operations","seniority":null,"department":"operations","linkedin":"https://www.linkedin.com/in/stavros-tamvakakis-6a023215","twitter":null,"phone_number":null,"verification":{"date":"2025-02-16","status":"valid"}},{"value":"adovran@two.inc","type":"personal","confidence":98,"sources":[{"domain":"two.inc","uri":"http://two.inc/two-cents-blog","extracted_on":"2024-09-17","last_seen_on":"2024-09-17","still_on_page":true}],"first_name":"Anders","last_name":"Dovran","position":"Expansion Engineer","position_raw":"Expansion Engineer","seniority":null,"department":"it","linkedin":"https://www.linkedin.com/in/anders-dovran","twitter":null,"phone_number":null,"verification":{"date":null,"status":null}},{"value":"nbatishcheva@two.inc","type":"personal","confidence":97,"sources":[{"domain":"linkedin.com","uri":"https://www.google.com/search?q=site:linkedin.com%20natalia%20batishcheva%20two","extracted_on":"2025-01-07","last_seen_on":"2025-01-07","still_on_page":true}],"first_name":"Natalia","last_name":"Batishcheva","position":"Data Director","position_raw":"Data Director","seniority":null,"department":"it","linkedin":"https://www.linkedin.com/in/natalia-batishcheva-b800684","twitter":null,"phone_number":null,"verification":{"date":"2025-01-07","status":"valid"}},{"value":"akvam@two.inc","type":"personal","confidence":97,"sources":[{"domain":"linkedin.com","uri":"https://www.google.com/search?q=site:linkedin.com%20andrea%20kvam%20two","extracted_on":"2025-01-07","last_seen_on":"2025-01-07","still_on_page":true},{"domain":"two.inc","uri":"http://two.inc/two-cents-blog","extracted_on":"2024-09-17","last_seen_on":"2024-09-17","still_on_page":true}],"first_name":"Andrea","last_name":"Kvam","position":"Customer Success Manager","position_raw":"Head of Customer Success","seniority":"senior","department":"support","linkedin":"https://www.linkedin.com/in/andrea-b-kvam","twitter":null,"phone_number":null,"verification":{"date":"2025-01-06","status":"valid"}}]</t>
  </si>
  <si>
    <t>Two is a a pure-B2B payment method that allows businesses to transact with each other seamlessly.</t>
  </si>
  <si>
    <t>surein.de</t>
  </si>
  <si>
    <t>For you guys that might mean personalized coverage amounts... or policy add-ons.</t>
  </si>
  <si>
    <t>SureIn</t>
  </si>
  <si>
    <t>SureIn empowers SMBs to efficiently manage their risk and insurance.</t>
  </si>
  <si>
    <t>synativ.com</t>
  </si>
  <si>
    <t>For you guys that might mean personalized data sources... or data formats.</t>
  </si>
  <si>
    <t>Synativ</t>
  </si>
  <si>
    <t>[{"value":"tom@synativ.com","type":"personal","confidence":99,"sources":[{"domain":"linkedin.com","uri":"https://www.google.com/search?q=site:linkedin.com%20tom%20bruls%20synativ","extracted_on":"2025-01-07","last_seen_on":"2025-01-07","still_on_page":true}],"first_name":"Tom","last_name":"Bruls","position":"Chief Technology Officer","position_raw":"CTO &amp; Co-founder","seniority":"executive","department":"it","linkedin":"https://www.linkedin.com/in/tombruls","twitter":null,"phone_number":null,"verification":{"date":null,"status":null}},{"value":"andrew@synativ.com","type":"personal","confidence":98,"sources":[{"domain":"linkedin.com","uri":"https://www.google.com/search?q=site:linkedin.com%20andrew%20kanapatski%20synativ","extracted_on":"2025-01-07","last_seen_on":"2025-01-07","still_on_page":true}],"first_name":"Andrew","last_name":"Kanapatski","position":"CEO","position_raw":"Co-Founder &amp; CEO","seniority":"executive","department":"executive","linkedin":"https://www.linkedin.com/in/kanapatski","twitter":null,"phone_number":null,"verification":{"date":"2025-01-20","status":"valid"}},{"value":"info@synativ.com","type":"generic","confidence":95,"sources":[{"domain":"synativ.com","uri":"http://synativ.com/terms-of-use","extracted_on":"2023-06-06","last_seen_on":"2024-12-06","still_on_page":true},{"domain":"synativ.com","uri":"http://synativ.com","extracted_on":"2022-11-24","last_seen_on":"2023-06-06","still_on_page":false}],"first_name":null,"last_name":null,"position":null,"position_raw":null,"seniority":null,"department":"support","linkedin":null,"twitter":null,"phone_number":null,"verification":{"date":null,"status":null}}]</t>
  </si>
  <si>
    <t>Synativ helps companies to generate missing image data to enable new AI use cases.</t>
  </si>
  <si>
    <t>tavus.io</t>
  </si>
  <si>
    <t>For you guys that might mean personalized avatars... or voice clones.</t>
  </si>
  <si>
    <t>Tavus</t>
  </si>
  <si>
    <t>Tavus makes personalized videos scalable using generative AI.</t>
  </si>
  <si>
    <t>xbow.com</t>
  </si>
  <si>
    <t>0.5</t>
  </si>
  <si>
    <t>For you guys that might mean personalized vuln reports or security rules.</t>
  </si>
  <si>
    <t>XBOW</t>
  </si>
  <si>
    <t>XBOW is an AI-powered offensive security company that automates pentesting and accelerates the discovery of vulnerabilities and exploits in all types of software.</t>
  </si>
  <si>
    <t>airtop.ai</t>
  </si>
  <si>
    <t>0.4</t>
  </si>
  <si>
    <t>For you guys that might mean personalized proxies... or concurrent sessions.</t>
  </si>
  <si>
    <t>Airtop</t>
  </si>
  <si>
    <t>Airtop (fka Switchboard) provides intelligent browser automation for AI agents.</t>
  </si>
  <si>
    <t>tiplink.io</t>
  </si>
  <si>
    <t>For you guys that might mean personalized token types... or airdrop amounts.</t>
  </si>
  <si>
    <t>TipLink</t>
  </si>
  <si>
    <t>TipLink enables users to send crypto or NFTs with just a link.</t>
  </si>
  <si>
    <t>akeero.com</t>
  </si>
  <si>
    <t>0.3</t>
  </si>
  <si>
    <t>Akeero</t>
  </si>
  <si>
    <t>Akeero builds automated threat modelling for cloud infrastructure.</t>
  </si>
  <si>
    <t>thecommons.earth</t>
  </si>
  <si>
    <t>For you guys that might mean personalized reward tiers... or user carbon footprint data.</t>
  </si>
  <si>
    <t>Commons</t>
  </si>
  <si>
    <t>Commons makes it easy to use your spending choices to create a more sustainable world.</t>
  </si>
  <si>
    <t>Climate Tech; Consumer</t>
  </si>
  <si>
    <t>wearecurie.ai</t>
  </si>
  <si>
    <t>For you guys that might mean personalized note templates or letter types.</t>
  </si>
  <si>
    <t>Curie</t>
  </si>
  <si>
    <t>Curie is a voice-driven AI assistant for clinicians.</t>
  </si>
  <si>
    <t>AI/ML; Healthcare</t>
  </si>
  <si>
    <t>genedit.com</t>
  </si>
  <si>
    <t>For you guys that might mean personalized targets... or indications.</t>
  </si>
  <si>
    <t>GenEdit</t>
  </si>
  <si>
    <t>GenEdit is revolutionizing gene therapy and gene editing with its nanoparticle delivery technology.</t>
  </si>
  <si>
    <t>Healthcare</t>
  </si>
  <si>
    <t>gridware.io</t>
  </si>
  <si>
    <t>For you guys that might mean personalized sensor thresholds... or fault classifications.</t>
  </si>
  <si>
    <t>Gridware</t>
  </si>
  <si>
    <t>Gridware provides wireless realtime instrumentation for utilities managing the power grid.</t>
  </si>
  <si>
    <t>Climate Tech; Enterprise</t>
  </si>
  <si>
    <t>iambic.ai</t>
  </si>
  <si>
    <t>For you guys that might mean personalized target profiles... or mechanisms of action.</t>
  </si>
  <si>
    <t>Iambic</t>
  </si>
  <si>
    <t>Iambic Therapeutics</t>
  </si>
  <si>
    <t>Iambic Therapeutics tackles challenging design problems in drug discovery with its physics-based AI platform.</t>
  </si>
  <si>
    <t>kalshi.com</t>
  </si>
  <si>
    <t>For you guys that might mean personalized market positions... or contract payouts.</t>
  </si>
  <si>
    <t>Kalshi</t>
  </si>
  <si>
    <t>Kalshi is the first federally regulated exchange that allows people to trade on world events.</t>
  </si>
  <si>
    <t>upway.co</t>
  </si>
  <si>
    <t>For you guys that might mean personalized mileage... or preferred bike types.</t>
  </si>
  <si>
    <t>Upway</t>
  </si>
  <si>
    <t>Upway is a platform for the second-hand purchase, reconditioning and resale of electric bikes.</t>
  </si>
  <si>
    <t>Climate Tech; Consumer; Enterprise</t>
  </si>
  <si>
    <t>visualelectric.com</t>
  </si>
  <si>
    <t>For you guys that might mean personalized styles or even prompts.</t>
  </si>
  <si>
    <t>Visual Electric</t>
  </si>
  <si>
    <t>Visual Electric is the first image generator designed for creatives.</t>
  </si>
  <si>
    <t>zafran.io</t>
  </si>
  <si>
    <t>For you guys that might mean personalized vulnerability filters... or custom dashboards.</t>
  </si>
  <si>
    <t>Zafran</t>
  </si>
  <si>
    <t>Zafran is a threat exposure management platform that integrates with security tools to reveal, remediate and mitigate all infrastructure risks.</t>
  </si>
  <si>
    <t>summerhealth.com</t>
  </si>
  <si>
    <t>For you guys that might mean personalized care plans... or specialist access.</t>
  </si>
  <si>
    <t>Summer Health</t>
  </si>
  <si>
    <t>Summer Health is making board-certified pediatricians available to parents via text message.</t>
  </si>
  <si>
    <t>Consumer; Healthcare</t>
  </si>
  <si>
    <t>arcwise.app</t>
  </si>
  <si>
    <t>0.2</t>
  </si>
  <si>
    <t>For you guys that might mean personalized workflows... or reporting.</t>
  </si>
  <si>
    <t>Arcwise</t>
  </si>
  <si>
    <t>Arcwise is the low-code platform for data apps that brings the power of Python, SQL &amp;amp; ML to everyone</t>
  </si>
  <si>
    <t>joinhallway.com</t>
  </si>
  <si>
    <t>For you guys that might mean personalized character traits... or audience engagement scripts.</t>
  </si>
  <si>
    <t>thehallway</t>
  </si>
  <si>
    <t>Hallway</t>
  </si>
  <si>
    <t>Hallway makes avatar identity and creative tools to empower the next generation of creators.</t>
  </si>
  <si>
    <t>pace.group</t>
  </si>
  <si>
    <t>For you guys that might mean personalized workflow configurations... or commission structures.</t>
  </si>
  <si>
    <t>Pace</t>
  </si>
  <si>
    <t>Pace is where hundreds of small groups find human connection on the internet every week.</t>
  </si>
  <si>
    <t>rift.com</t>
  </si>
  <si>
    <t>For you guys that might mean personalized roles... or permissions.</t>
  </si>
  <si>
    <t>Rift</t>
  </si>
  <si>
    <t>Rift is a focused platform for sales teams that consolidates outbound sales tooling and data in one place.</t>
  </si>
  <si>
    <t>safara.com</t>
  </si>
  <si>
    <t>For you guys that might mean personalized booking flows... or comp sets.</t>
  </si>
  <si>
    <t>Safara</t>
  </si>
  <si>
    <t>Safara is the online travel agency for Millennials and Gen-Z.</t>
  </si>
  <si>
    <t>zefir.fr</t>
  </si>
  <si>
    <t>For you guys that might mean personalized property valuations... or agent allocations.</t>
  </si>
  <si>
    <t>Zefir</t>
  </si>
  <si>
    <t>Zefir has created the first collective sales platform that accelerates the connection between sellers and buyers, and fosters cooperation among all real estate agents.</t>
  </si>
  <si>
    <t>studeo.app</t>
  </si>
  <si>
    <t>For you guys that might mean personalized exercises... or tests.</t>
  </si>
  <si>
    <t>Studeo</t>
  </si>
  <si>
    <t>Studeo Limited is democratising elite tutoring.</t>
  </si>
  <si>
    <t>tacto.ai</t>
  </si>
  <si>
    <t>For you guys that might mean personalized spend categories... or contract terms.</t>
  </si>
  <si>
    <t>Tacto is an AI-based operating system that future proofs supply chains.</t>
  </si>
  <si>
    <t>tanda.io</t>
  </si>
  <si>
    <t>For you guys that might mean personalized employee goals... or saving circles.</t>
  </si>
  <si>
    <t>Tanda</t>
  </si>
  <si>
    <t>Tanda is a community-driven savings service dedicated to improving financial well-being for all.</t>
  </si>
  <si>
    <t>telda.app</t>
  </si>
  <si>
    <t>For you guys that might mean personalized card limits... or spending categories.</t>
  </si>
  <si>
    <t>Telda</t>
  </si>
  <si>
    <t>Telda is a payment and money transfer platform.</t>
  </si>
  <si>
    <t>wirescreen.ai</t>
  </si>
  <si>
    <t>For you guys that might mean personalized military affiliations... or risk classifications.</t>
  </si>
  <si>
    <t>WireScreen</t>
  </si>
  <si>
    <t>The Wire Digital</t>
  </si>
  <si>
    <t>The Wire Digital is helping global businesses make smarter decisions.</t>
  </si>
  <si>
    <t>Michael Moritz</t>
  </si>
  <si>
    <t>anterior.com</t>
  </si>
  <si>
    <t>0.1</t>
  </si>
  <si>
    <t>For you guys that might mean personalized claims... or risk adjustments.</t>
  </si>
  <si>
    <t>Anterior</t>
  </si>
  <si>
    <t>Anterior is transforming U.S. healthcare’s $950B administration burden with AI Co:Pilots.</t>
  </si>
  <si>
    <t>brewbird.com</t>
  </si>
  <si>
    <t>For you guys that might mean personalized roast options... or bean origins.</t>
  </si>
  <si>
    <t>BrewBird</t>
  </si>
  <si>
    <t>Brewbird</t>
  </si>
  <si>
    <t>Brewbird provides coffee machines and sustainable whole-bean pods for the workplace.</t>
  </si>
  <si>
    <t>claim.co</t>
  </si>
  <si>
    <t>For you guys that might mean personalized drops... or offers.</t>
  </si>
  <si>
    <t>Claim</t>
  </si>
  <si>
    <t>Claim is building a social network based on benefits with friends.</t>
  </si>
  <si>
    <t>Josephine Chen</t>
  </si>
  <si>
    <t>decart.ai</t>
  </si>
  <si>
    <t>For you guys that might mean personalized level generation... or character assets.</t>
  </si>
  <si>
    <t>Decart</t>
  </si>
  <si>
    <t>Decart is a cutting-edge AI research lab bringing GenAI interactive video experiences to all.</t>
  </si>
  <si>
    <t>elevateapp.com</t>
  </si>
  <si>
    <t>For you guys that might mean personalized learning paths... or skill focuses.</t>
  </si>
  <si>
    <t>Elevate</t>
  </si>
  <si>
    <t>Elevate is a cognitive-training app that encourages lifelong learning.</t>
  </si>
  <si>
    <t>elyn.io</t>
  </si>
  <si>
    <t>For you guys that might mean personalized dashboards... or workflows.</t>
  </si>
  <si>
    <t>Elyn</t>
  </si>
  <si>
    <t>Elyn provides a return management and exchange portal that helps brands optimize their online profitability.</t>
  </si>
  <si>
    <t>handshake.org</t>
  </si>
  <si>
    <t>For you guys that might mean personalized TLDs or certificates.</t>
  </si>
  <si>
    <t>Handshake</t>
  </si>
  <si>
    <t>The Handshake coin is the way participants transfer, register and update internet names.</t>
  </si>
  <si>
    <t>machindustries.com</t>
  </si>
  <si>
    <t>For you guys that might mean personalized payloads... or mission parameters.</t>
  </si>
  <si>
    <t>Mach Industries</t>
  </si>
  <si>
    <t>Mach is solving hypersonic defense and revolutionizing defense technology.</t>
  </si>
  <si>
    <t>meeno.com</t>
  </si>
  <si>
    <t>For you guys that might mean personalized merchant categories... or payment integrations.</t>
  </si>
  <si>
    <t>Meeno</t>
  </si>
  <si>
    <t>Meeno is a relationship mentoring app powered by generative AI.</t>
  </si>
  <si>
    <t>neros.tech</t>
  </si>
  <si>
    <t>For you guys that might mean personalized flight paths... or payload configs.</t>
  </si>
  <si>
    <t>Neros</t>
  </si>
  <si>
    <t>Neros develops and manufactures advanced unmanned drone systems for battlefield defense with a U.S. supply chain.</t>
  </si>
  <si>
    <t>physicalintelligence.company</t>
  </si>
  <si>
    <t>For you guys that might mean personalized tasks... or robot integrations.</t>
  </si>
  <si>
    <t>Physical Intelligence</t>
  </si>
  <si>
    <t>Physical Intelligence is building a foundation model for robotics, bringing general-purpose AI into the physical world.</t>
  </si>
  <si>
    <t>protege.com</t>
  </si>
  <si>
    <t>For you guys that might mean personalized domain names... or use cases.</t>
  </si>
  <si>
    <t>Protege</t>
  </si>
  <si>
    <t>Protégé</t>
  </si>
  <si>
    <t>Protégé is a platform where you can get your talent discovered by the best experts in the world.</t>
  </si>
  <si>
    <t>reflectorbital.com</t>
  </si>
  <si>
    <t>For you guys that might mean personalized luminosity targets... or orbital positions.</t>
  </si>
  <si>
    <t>Reflect Orbital</t>
  </si>
  <si>
    <t>Reflect Orbital sells sunlight at night.</t>
  </si>
  <si>
    <t>Climate Tech</t>
  </si>
  <si>
    <t>skild.ai</t>
  </si>
  <si>
    <t>For you guys that might mean personalized task flows or inspection schedules.</t>
  </si>
  <si>
    <t>Skild</t>
  </si>
  <si>
    <t>Skild AI</t>
  </si>
  <si>
    <t>Skild AI is building a scalable AI foundation model for robotics to unlock intelligence in the embodied, physical world.</t>
  </si>
  <si>
    <t>xaira.com</t>
  </si>
  <si>
    <t>For you guys that might mean personalized therapeutic targets... or patient stratification.</t>
  </si>
  <si>
    <t>Xaira</t>
  </si>
  <si>
    <t>Xaira is reinventing drug R&amp;amp;D using artificial intelligence to rapidly prototype and test disease treatments.</t>
  </si>
  <si>
    <t>roon.care</t>
  </si>
  <si>
    <t>For you guys that might mean personalized workflows... or integrations.</t>
  </si>
  <si>
    <t>Roon</t>
  </si>
  <si>
    <t>Roon is re-imagining medical content and health communities.</t>
  </si>
  <si>
    <t>usetola.com</t>
  </si>
  <si>
    <t>For you guys that might mean personalized integrations... or workflows.</t>
  </si>
  <si>
    <t>Tola</t>
  </si>
  <si>
    <t>Tola combines accounts payable, receivable, and cash flow management with working capital to help businesses save time and money.</t>
  </si>
  <si>
    <t>Enterprise; FinTech</t>
  </si>
  <si>
    <t>getiris.app</t>
  </si>
  <si>
    <t>0.05</t>
  </si>
  <si>
    <t>For you guys that might mean personalized skin types... or shade matches.</t>
  </si>
  <si>
    <t>Iris</t>
  </si>
  <si>
    <t>Iris Labs</t>
  </si>
  <si>
    <t>Iris Labs is a trusted online community for beauty enthusiasts.</t>
  </si>
  <si>
    <t>withotter.com</t>
  </si>
  <si>
    <t>For you guys that might mean personalized sitter profiles... or booking flows.</t>
  </si>
  <si>
    <t>Otter</t>
  </si>
  <si>
    <t>Otter matches parents who need childcare with stay-at-home parents who can care for their kids.</t>
  </si>
  <si>
    <t>Company Name</t>
  </si>
  <si>
    <t>Builders</t>
  </si>
  <si>
    <t>Social Links</t>
  </si>
  <si>
    <t>accolade.com</t>
  </si>
  <si>
    <t>Accolade</t>
  </si>
  <si>
    <t>Accolade is an on-demand healthcare concierge for employers, health plans and health systems. Accolade's team of compassionate, trusted professionals is supported by breakthrough science and technologies to guide people through the healthcare system in a deeply personalized manner. Accolade customers experience industry-leading engagement levels, satisfaction scores unseen in health care, better health outcomes, and substantial medical cost savings of more than 10-percent.</t>
  </si>
  <si>
    <t>IPO</t>
  </si>
  <si>
    <t>https://twitter.com/Accolade, https://www.linkedin.com/company/accolade-inc-/, https://www.accolade.com/</t>
  </si>
  <si>
    <t>actifio.com</t>
  </si>
  <si>
    <t>Actifio</t>
  </si>
  <si>
    <t>Protection and Availability Storage platform company, offering data management solutions to small to medium-sized businesses, large enterprises and managed service and cloud service providers.</t>
  </si>
  <si>
    <t>M&amp;A</t>
  </si>
  <si>
    <t>Ash Ashutosh</t>
  </si>
  <si>
    <t>https://twitter.com/actifio, https://www.linkedin.com/company/actifio/, https://www.actifio.com/</t>
  </si>
  <si>
    <t>affirm.com</t>
  </si>
  <si>
    <t>Affirm</t>
  </si>
  <si>
    <t>Affirm is a next-generation consumer finance company providing shoppers with instant point-of-sale financing for online purchases. Started by PayPal co-founder Max Levchin, Affirm?s data-driven approach looks beyond a standard credit score to reach broader consumer populations. Affirm's transparent financing solutions empower shoppers to buy now and pay later in monthly installments and at reasonable interest rates. These features help to improve sales conversions, boost basket sizes, increase repeat purchase, and maximize customer happiness.</t>
  </si>
  <si>
    <t>Max Levchin, Jeff Kaditz, Nathan Gettings, Alex Rampell</t>
  </si>
  <si>
    <t>https://www.facebook.com/AffirmInc/, https://twitter.com/affirm, https://www.linkedin.com/company/affirm/, https://affirm.com/</t>
  </si>
  <si>
    <t>airbnb.com</t>
  </si>
  <si>
    <t>Airbnb</t>
  </si>
  <si>
    <t>Airbnb is an online community marketplace for people to list, discover, and book accommodations through mobile phones or the internet.</t>
  </si>
  <si>
    <t>Nathan Blecharczyk, Brian Chesky, Joe Gebbia</t>
  </si>
  <si>
    <t>http://www.facebook.com/airbnb, https://twitter.com/airbnb, http://www.linkedin.com/company/airbnb, https://www.instagram.com/airbnb/, https://airbnb.com/</t>
  </si>
  <si>
    <t>allsetnow.com</t>
  </si>
  <si>
    <t>Allset</t>
  </si>
  <si>
    <t>Allset is a marketplace connecting restaurants and local diners. It provides restaurants with online ordering and contactless dining solutions with no high fees. Customers use Allset for fast and easy pickup, discovery of local eats and coffee shops, and saving money. For local companies, we have Allset for Teams to provide employees with company-paid meals at restaurants.</t>
  </si>
  <si>
    <t>https://www.facebook.com/allsetnow, https://twitter.com/allsetUS, https://www.linkedin.com/company/9421664, https://allsetnow.com/</t>
  </si>
  <si>
    <t>apptio.com</t>
  </si>
  <si>
    <t>Apptio</t>
  </si>
  <si>
    <t>Apptio's on-demand IT Cost Transparency software is a comprehensive IT Financial Management solution, providing IT and Finance managers the insight, analytics and reporting to optimize the ROI of IT, improve IT operational performance and better communicate the value of IT to business leaders and executives.</t>
  </si>
  <si>
    <t>Sunny Gupta, Kurt Shintaffer, Paul McLachlan</t>
  </si>
  <si>
    <t>http://www.facebook.com/Apptio, https://twitter.com/Apptio, https://www.apptio.com/</t>
  </si>
  <si>
    <t>arimo.com</t>
  </si>
  <si>
    <t>Arimo</t>
  </si>
  <si>
    <t>Arimo is an information technology company that specializes in the fields of big data, machine learning, business analytics, visualizations, and data intelligence. It harnesses the behaviors of machines, devices, customers, and other entities to provide the most accurate predictions utilizing Deep Learning.</t>
  </si>
  <si>
    <t>Christopher Nguyen, Michael Bui, Tony Do</t>
  </si>
  <si>
    <t>https://www.facebook.com/arimoinc, https://twitter.com/arimoinc, https://www.linkedin.com/company/arimo-inc-, https://arimo.com/</t>
  </si>
  <si>
    <t>asana.com</t>
  </si>
  <si>
    <t>Asana</t>
  </si>
  <si>
    <t>Asana builds enterprise-level collaboration software. It's the shared task list for your team. The place to plan, organize and stay in sync on your efforts. It helps teams orchestrate their work, from small projects to strategic initiatives.</t>
  </si>
  <si>
    <t>DPO</t>
  </si>
  <si>
    <t>Dustin Moskovitz, Justin Rosenstein</t>
  </si>
  <si>
    <t>http://www.facebook.com/asana, https://twitter.com/asana, https://www.linkedin.com/company/807257, https://asana.com/</t>
  </si>
  <si>
    <t>asserts.ai</t>
  </si>
  <si>
    <t>Asserts</t>
  </si>
  <si>
    <t>Asserts is an Observability intelligence platform that transforms your Prometheus metrics into root cause insights by adding a layer of intelligence to your native Prometheus ecosystem. There is no need to move your data or incur additional data storage costs.</t>
  </si>
  <si>
    <t>https://mobile.twitter.com/assertsai, https://www.linkedin.com/company/asserts/, https://www.asserts.ai/</t>
  </si>
  <si>
    <t>authy.com</t>
  </si>
  <si>
    <t>Authy</t>
  </si>
  <si>
    <t>Authy provides an API for developers to customize the user experience when adding two-factor authentication and multiple add-ons for apps. Authy provides a two-factor authentication smartphone application for consumers, a 2FA Rest API for developers, and an authentication platform for enterprises. It enables every user, group, and organization to customize their settings and configure security rules through its platform. Authy achieves and maintains compliance with PCI, HIPAA, FIPS140, and other regulatory mandates worldwide. It offers protection for various apps, including Facebook, Gmail, Dropbox, or any account that supports Google Authenticator. Authy’s login verification options include a unique verification code, a text message, and a singular answer question that appears only on its users’ mobile device.</t>
  </si>
  <si>
    <t>Unknown</t>
  </si>
  <si>
    <t>http://www.facebook.com/authysec, http://twitter.com/Authy, https://www.linkedin.com/company/authy, https://authy.com/</t>
  </si>
  <si>
    <t>automatic.com</t>
  </si>
  <si>
    <t>Automatic Labs, Inc</t>
  </si>
  <si>
    <t>Automatic is a Smart Driving Assistant that can save you money on gas, remember where you parked, and even call for help in a crash. Automatic's mission is to empower drivers with knowledge about themselves and their cars so they can be safer and drive smarter. Automatic believes that drivers should not have to buy a new car to have a better driving experience, and that the phone in their pocket can bring the future of driving to today's automobiles. Automatic isbased in San Francisco, California, but its team comes from every corner of the world. The team obsesses about creating beautiful and well-engineered products that make a real difference in people's lives. Its members are big on ideas, low on ego, and love working together.</t>
  </si>
  <si>
    <t>http://www.facebook.com/automatic, https://twitter.com/automatic, http://www.linkedin.com/company/automatic-labs, https://automatic.com/</t>
  </si>
  <si>
    <t>barefootnetworks.com</t>
  </si>
  <si>
    <t>Barefoot Networks</t>
  </si>
  <si>
    <t>Barefoot Networks creates programmable networking systems for massive scale data center markets.</t>
  </si>
  <si>
    <t>Nick McKeown, Martin Izzard, Pat Bosshart, Dan Lenoski</t>
  </si>
  <si>
    <t>https://www.facebook.com/barefootnetworks, https://twitter.com/barefootnetwork, https://www.linkedin.com/company/barefoot-networks, https://github.com/p4lang, http://www.barefootnetworks.com/</t>
  </si>
  <si>
    <t>bioagelabs.com</t>
  </si>
  <si>
    <t>BioAge Labs</t>
  </si>
  <si>
    <t>Extending healthy human lifespan by developing treatments that target the molecular causes of human aging</t>
  </si>
  <si>
    <t>https://twitter.com/bioagelabs, https://www.linkedin.com/company/bioage-labs/, http://bioagelabs.com/</t>
  </si>
  <si>
    <t>blockspring.com</t>
  </si>
  <si>
    <t>Blockspring</t>
  </si>
  <si>
    <t>Blockspring connects the tools you use everyday to web services. Blockspring is a place to create, share, and run functions and lets you build visualizations from the most innovative blocks developed by engineers within your organization, and from around the world.</t>
  </si>
  <si>
    <t>https://www.facebook.com/pages/Blockspring/478313708952916, https://www.twitter.com/blockspring, https://www.linkedin.com/company/blockspring, https://www.blockspring.com/</t>
  </si>
  <si>
    <t>box.com</t>
  </si>
  <si>
    <t>Box</t>
  </si>
  <si>
    <t>Simple sharing Box.net's online file storage makes it easy to securely share content as a link or a shared folder with anyone—inside or outside your company. Full-featured collaboration Create an online workspace where you can share project files, add comments, assign tasks, start discussions or create new content Powerful discovery and access Discover new content by viewing all the latest Box activity within your company or by searching the full text of all shared files with no extra investment</t>
  </si>
  <si>
    <t>Aaron Levie, Dylan Smith</t>
  </si>
  <si>
    <t>http://www.facebook.com/box, https://twitter.com/BoxHQ, https://www.linkedin.com/company/54178, https://box.com/</t>
  </si>
  <si>
    <t>brkt.com</t>
  </si>
  <si>
    <t>Bracket Computing</t>
  </si>
  <si>
    <t>Allows companies to have their own private cloud and the security/performance that comes with it, hosted within a public cloud environment. At Bracket, we are re-imagining enterprise computing—not as an incremental extension of what is today, but as radical innovation moving beyond what currently is.</t>
  </si>
  <si>
    <t>Tom Gillis, Jason Lango</t>
  </si>
  <si>
    <t>https://www.facebook.com/BracketComputing, https://twitter.com/brkt, https://www.linkedin.com/company/bracket-computing, https://www.brkt.com/</t>
  </si>
  <si>
    <t>bu.mp</t>
  </si>
  <si>
    <t>Bump</t>
  </si>
  <si>
    <t>Company Overview: provides applications and API's that allows two phones to authenticate.</t>
  </si>
  <si>
    <t>David Lieb, Andy Huibers, Jake Mintz</t>
  </si>
  <si>
    <t>http://www.facebook.com/bumptech?ref=mf, https://twitter.com/bumptech, https://www.bu.mp/</t>
  </si>
  <si>
    <t>buzzfeed.com</t>
  </si>
  <si>
    <t>BuzzFeed</t>
  </si>
  <si>
    <t>Media|Publishing|Entertainment BuzzFeed is a company. Focused on delivering reporting, and viral content across subject areas. Our technology detects what is trending on the web, and connects people in realtime with content of the moment. Our site is rapidly growing and reaches more than 60 million monthly unique visitors.</t>
  </si>
  <si>
    <t>SPAC</t>
  </si>
  <si>
    <t>Jonah Peretti</t>
  </si>
  <si>
    <t>https://www.facebook.com/BuzzFeed/, https://twitter.com/buzzfeed, https://www.linkedin.com/company/buzzfeed/, https://buzzfeed.com/</t>
  </si>
  <si>
    <t>camp4tx.com</t>
  </si>
  <si>
    <t>Camp4</t>
  </si>
  <si>
    <t>Programmable oligonucleotide therapeutics that upregulate gene expression by targeting regulatory RNAs</t>
  </si>
  <si>
    <t>https://twitter.com/camp4tx, https://www.linkedin.com/company/camp4-therapeutics/, https://www.camp4tx.com/</t>
  </si>
  <si>
    <t>capital.xyz</t>
  </si>
  <si>
    <t>Capital.xyz</t>
  </si>
  <si>
    <t>Fundraising platform for startups with vision to create a vertical OS. Capital is a financial technology company that offers software to founders to raise, hold, spend, and send funds.</t>
  </si>
  <si>
    <t>https://twitter.com/capitalxyz, https://www.linkedin.com/company/capitalxyz/, https://capital.xyz/</t>
  </si>
  <si>
    <t>cardiogram.com</t>
  </si>
  <si>
    <t>Cardiogram</t>
  </si>
  <si>
    <t>AI for preventative monitoring based on consumer wearables</t>
  </si>
  <si>
    <t>https://twitter.com/AppCardiogram, https://github.com/Cardiogram, https://cardiogram.com/</t>
  </si>
  <si>
    <t>trycaviar.com</t>
  </si>
  <si>
    <t>Caviar</t>
  </si>
  <si>
    <t>Caviar is the easiest way for consumers and businesses to order food from favorite local eateries with the ability to live-track the order on a map. Browse a picture menu, place the order, and we'll deliver within 1 hour. Caviar offers restaurants a delivery solution in just a few minutes without any infrastructure, logistical, oroperational costs.</t>
  </si>
  <si>
    <t>https://www.facebook.com/trycaviar, https://twitter.com/trycaviar, https://www.linkedin.com/company/2980808, https://www.trycaviar.com/</t>
  </si>
  <si>
    <t>beta.character.ai</t>
  </si>
  <si>
    <t>Character.AI</t>
  </si>
  <si>
    <t>Powered by the company's own foundational LLM, Character.AI is a platform that gives consumers access to their own deeply personalized, superintelligent AI dialogue companions that help them live their best lives.</t>
  </si>
  <si>
    <t>Noam Shazeer, Daniel De Freitas</t>
  </si>
  <si>
    <t>https://www.facebook.com/CharacterAI/, https://twitter.com/character_ai, https://www.linkedin.com/company/character-ai/, http://beta.character.ai/</t>
  </si>
  <si>
    <t>ciitizen.com</t>
  </si>
  <si>
    <t>Ciitizen</t>
  </si>
  <si>
    <t>Giving patients control over their health records by collecting, summarizing and encoding full medical records for patients, caregivers and researchers</t>
  </si>
  <si>
    <t>https://www.linkedin.com/company/ciitizen/, https://www.ciitizen.com/</t>
  </si>
  <si>
    <t>clearstorydata.com</t>
  </si>
  <si>
    <t>ClearStory Data</t>
  </si>
  <si>
    <t>ClearStory Data provides solutions enabling business users to discover, analyze and consume data at scale from different data sources. ClearStory Data's solution offers a new way for business users to easily discover, analyze and consume data at scale from corporate, web and premium data sources for combined and up-to-date insights. Data sources include relational databases, Hadoop, Web and social application interfaces, and third-party data providers. ClearStory Data'splatform modernizes data analysis by introducing a new user model for big data analysis. The platform simplifies access to disparate data sources, automatically manages data harmonization, and enables interactive analysis at scale. With ClearStory's solution, organizations can easily converge data from corporate and third-party sources to make business decisions faster and across distributed teams in ways never before possible.</t>
  </si>
  <si>
    <t>Sharmila Mulligan, Vaibhav Nivargi</t>
  </si>
  <si>
    <t>http://www.facebook.com/pages/ClearStory-Data/217194508375985, https://twitter.com/ClearStoryData, https://www.linkedin.com/company/2527958, https://www.clearstorydata.com/</t>
  </si>
  <si>
    <t>coinbase.com</t>
  </si>
  <si>
    <t>Coinbase</t>
  </si>
  <si>
    <t>Coinbase is a digital currency wallet and platform where merchants and consumers can transact with digital currencies like bitcoin, ethereum, and litecoin.</t>
  </si>
  <si>
    <t>Brian Armstrong, Fred Ehrsam</t>
  </si>
  <si>
    <t>https://www.facebook.com/Coinbase, https://twitter.com/coinbase, https://www.linkedin.com/company/coinbase/, https://github.com/coinbase, https://www.coinbase.com/</t>
  </si>
  <si>
    <t>cumulusnetworks.com</t>
  </si>
  <si>
    <t>Cumulus Networks</t>
  </si>
  <si>
    <t>Cumulus Networks is satisfying the networking needs of large Internet service clusters with high-performance, cost-effective networking equipment.</t>
  </si>
  <si>
    <t>JR Rivers, Nolan Leake</t>
  </si>
  <si>
    <t>https://www.facebook.com/CumulusNetworks, https://twitter.com/CumulusNetworks, http://www.linkedin.com/company/cumulus-networks, https://github.com/cumulusnetworks/, https://www.cumulusnetworks.com/</t>
  </si>
  <si>
    <t>deepmap.ai</t>
  </si>
  <si>
    <t>DeepMap.ai</t>
  </si>
  <si>
    <t>DeepMap is a start-up focusing on solving the high definition mapping problem in the self-driving car business. We have top-tier engineers from most prominent universities and software companies and are backed by top-ranked VCs.</t>
  </si>
  <si>
    <t>https://twitter.com/deepmapinc, https://www.linkedin.com/company/deepmap-inc./, https://www.deepmap.ai/</t>
  </si>
  <si>
    <t>digitalocean.com</t>
  </si>
  <si>
    <t>DigitalOcean</t>
  </si>
  <si>
    <t>Digital Ocean provides wi-fi, web, and backup services.</t>
  </si>
  <si>
    <t>Ben Uretsky, Moisey Uretsky, Mitch Wainer</t>
  </si>
  <si>
    <t>https://www.facebook.com/DigitalOceanCloudHosting, https://twitter.com/digitalocean, https://www.linkedin.com/company/digitalocean, https://digitalocean.com/</t>
  </si>
  <si>
    <t>dishpatch.co.uk</t>
  </si>
  <si>
    <t>Dishpatch</t>
  </si>
  <si>
    <t>Restaurant dining at home. Finish-at-home meal kits from the UK's best chefs.</t>
  </si>
  <si>
    <t>https://www.facebook.com/thedishpatch/, https://twitter.com/thedishpatch, https://www.linkedin.com/company/dishpatch/, https://dishpatch.co.uk/</t>
  </si>
  <si>
    <t>dollarshaveclub.com</t>
  </si>
  <si>
    <t>Dollar Shave Club</t>
  </si>
  <si>
    <t>The company, backed by technology studio Science, Inc. http://science-inc.com/, delivers razors equipped with stainless steel blades, lubrication strips and a pivoting head. At launch, members will be able to choose from three signature razors—The Humble Twin: a standard two-blade razor ($1/month, plus s+h); The 4x: a four-blade razor perfect for men's or women's hair removal needs ($6/month, shipping included); The Executive: a state-of-the-art six-blade razor ($9/month, shipping included)</t>
  </si>
  <si>
    <t>http://www.facebook.com/DollarShaveClub, https://twitter.com/DollarShaveClub, https://www.dollarshaveclub.com/</t>
  </si>
  <si>
    <t>earn.com</t>
  </si>
  <si>
    <t>Earn.com</t>
  </si>
  <si>
    <t>Earn money for replying to emails and completing tasks. We're building a token-based social network, where senders pay users in digital currency to complete tasks and reply to emails. If we're successful, it will be one of the first major applications of digital currency for the regular user.</t>
  </si>
  <si>
    <t>Balaji S. Srinivasan, Lily Liu</t>
  </si>
  <si>
    <t>https://facebook.com/earndotcom, https://twitter.com/earndotcom, https://www.linkedin.com/company/earndotcom/, https://github.com/21dotco, https://earn.com/</t>
  </si>
  <si>
    <t>eqrx.com</t>
  </si>
  <si>
    <t>EQRx</t>
  </si>
  <si>
    <t>Developing new medicines with the goal of expanding global access for patients</t>
  </si>
  <si>
    <t>https://twitter.com/EQRx_Global, https://a16z.com/portfolio/linkedin.com/company/eqrx, https://www.eqrx.com/</t>
  </si>
  <si>
    <t>erasca.com</t>
  </si>
  <si>
    <t>Erasca</t>
  </si>
  <si>
    <t>Clinical-stage precision oncology company targeting the RAS/MAPK pathway</t>
  </si>
  <si>
    <t>https://twitter.com/erasca, https://www.linkedin.com/company/erasca/, https://www.erasca.com/</t>
  </si>
  <si>
    <t>fiftythree.com</t>
  </si>
  <si>
    <t>FiftyThree</t>
  </si>
  <si>
    <t>FiftyThree is a provider of collaborative presentation tool used to build the essential tools for future creators. It also offers a productivity app for getting ideas down, and a collaboration app for teams to gather, organize, and share their ideas that help creators make their ideas better.</t>
  </si>
  <si>
    <t>Georg Petschnigg, Andrew Allen, Jonathan Harris, Julian Walker</t>
  </si>
  <si>
    <t>https://twitter.com/FiftyThree, https://www.linkedin.com/company/2514976, https://www.fiftythree.com/</t>
  </si>
  <si>
    <t>flutter.dev</t>
  </si>
  <si>
    <t>Flutter</t>
  </si>
  <si>
    <t>Flutter is "visual Siri for web apps and Kinect for causal gaming" and combines patent-pending computer vision technology with the built-in webcams in laptops, iPads, smartphones and TVs (in near future). It lets users control these devices with finger gestures, facial expressions, hints and body-language.</t>
  </si>
  <si>
    <t>https://twitter.com/flutterapp/, https://flutter.dev/</t>
  </si>
  <si>
    <t>fusionio.com</t>
  </si>
  <si>
    <t>Fusion I/O</t>
  </si>
  <si>
    <t>Flash storage that acts like a SAN; circumvents the need to build out massive parallel storage.</t>
  </si>
  <si>
    <t>David Flynn</t>
  </si>
  <si>
    <t>http://www.fusionio.com/</t>
  </si>
  <si>
    <t>gainspeed.com</t>
  </si>
  <si>
    <t>Gainspeed</t>
  </si>
  <si>
    <t>Gainspeed is redefining how cable networks are built. The company's Virtual CCAP solution enables cable operators to meet skyrocketing capacity requirements, respond to changing market demands, and rapidly deploy new services all while cost-effectively migrating their networks to a software-driven, all-IP architecture.</t>
  </si>
  <si>
    <t>Drew Perkins, Shlomo Rakib, Jeff White, Mark Stalica</t>
  </si>
  <si>
    <t>http://www.facebook.com/CohereNetworks, https://twitter.com/gainspeedinc, http://www.linkedin.com/company/cohere-networks, https://www.gainspeed.com/</t>
  </si>
  <si>
    <t>genius.com</t>
  </si>
  <si>
    <t>Genius</t>
  </si>
  <si>
    <t>Genius is the world’s biggest collection of song lyrics and musical knowledge</t>
  </si>
  <si>
    <t>Tom Lehman, Ilan Zechory</t>
  </si>
  <si>
    <t>https://www.facebook.com/geniusdotcom, https://twitter.com/genius, https://www.linkedin.com/company/geniusdotcom/, https://github.com/genius/, https://genius.com/</t>
  </si>
  <si>
    <t>github.com</t>
  </si>
  <si>
    <t>GitHub</t>
  </si>
  <si>
    <t>GitHub helps people build better software, together. Its powerful collaboration, review and code management for open source and private development projects.</t>
  </si>
  <si>
    <t>Tom Preston-Werner, Chris Wanstrath, PJ Hyett, Scott Chacon</t>
  </si>
  <si>
    <t>https://twitter.com/github, https://www.linkedin.com/company/1418841, https://github.com/</t>
  </si>
  <si>
    <t>gobble.com</t>
  </si>
  <si>
    <t>Gobble</t>
  </si>
  <si>
    <t>Gobble is a weekly dinner kit delivery service that helps busy people cook dinner in just 15 minutes thanks to already prepped ingredients.</t>
  </si>
  <si>
    <t>https://www.facebook.com/gobbleinc, https://twitter.com/gobbleinc, https://www.linkedin.com/company/gobble/, https://www.gobble.com/</t>
  </si>
  <si>
    <t>golden.com</t>
  </si>
  <si>
    <t>Golden</t>
  </si>
  <si>
    <t>Golden is on a mission to map and generate human knowledge in order to accelerate discovery and education. We are using machine intelligence to build the world's first self-constructing knowledge database, and by doing so we will make it easier to explore and contribute to public and private knowledge.</t>
  </si>
  <si>
    <t>Jude Gomila</t>
  </si>
  <si>
    <t>https://twitter.com/Golden, https://www.linkedin.com/company/golden-recursion-inc/, https://golden.com/</t>
  </si>
  <si>
    <t>granular.ag</t>
  </si>
  <si>
    <t>Granular</t>
  </si>
  <si>
    <t>Solum makes a field-deployable measurement tool that can give answers on soil nutrient needs. Their services and tools give farmers analystics that they can improve their yields by applying fertilizer in the right amount, at the right place, and at the right time.</t>
  </si>
  <si>
    <t>Sid Gorham, Mike Preiner</t>
  </si>
  <si>
    <t>https://www.facebook.com/pages/Granular/199217400286945?ref=hl, https://twitter.com/granularag, http://www.linkedin.com/company/granular, https://www.granular.ag/</t>
  </si>
  <si>
    <t>grep.ly</t>
  </si>
  <si>
    <t>greply</t>
  </si>
  <si>
    <t>https://www.grep.ly/</t>
  </si>
  <si>
    <t>groupon.com</t>
  </si>
  <si>
    <t>Groupon, Inc.</t>
  </si>
  <si>
    <t>Groupon is a deal-of-the-day website that offers discounted gift certificates usable at local or national companies. It is known as an online e-commerce platform that provides its users with the ability to purchase any product. Groupon offers consumers a vast marketplace of deals all over the world. Its users have the ability to discover various products on the web or on mobile with Groupon Local; enjoy vacations with Groupon Getaways; and find a curated selection of electronics, fashion, home furnishings, and more with Groupon Goods.</t>
  </si>
  <si>
    <t>Andrew Mason</t>
  </si>
  <si>
    <t>http://twitter.com/groupon, http://www.linkedin.com/company/groupon, https://www.groupon.com/</t>
  </si>
  <si>
    <t>stuzo.com</t>
  </si>
  <si>
    <t>Hatch Loyalty</t>
  </si>
  <si>
    <t>Hatch Loyalty is a simple, adaptable platform designed to help retailers and brands build stronger relationships with their customers. More than a loyalty company, Hatch makes insights actionable, enabling a more personalized and meaningful customer experience for retailers of all sizes. The world’s largest retailers and brands have access to theHatch platform’s full configurability, while small- to medium-sized businesses can access Hatch’s off-the-shelf marketing solution, Belly, which is already an industry-leading solution.</t>
  </si>
  <si>
    <t>Logan LaHive</t>
  </si>
  <si>
    <t>http://www.facebook.com/HiHatch, http://www.twitter.com/HiHatch, https://www.linkedin.com/company/25047728/, https://www.stuzo.com/</t>
  </si>
  <si>
    <t>hopin.com</t>
  </si>
  <si>
    <t>Hopin</t>
  </si>
  <si>
    <t>Hopin is an all-in-one event platform that offers a community suite of audience engagement tools, including StreamYard, Session, Streamable, "Project C", and Hopin Events.</t>
  </si>
  <si>
    <t>Johnny Boufarhat</t>
  </si>
  <si>
    <t>https://www.facebook.com/hopinofficial/, https://twitter.com/hopin, https://www.linkedin.com/company/hopinofficial/, https://github.com/hopin-team, https://hopin.com/</t>
  </si>
  <si>
    <t>humanapi.co</t>
  </si>
  <si>
    <t>HumanAPI</t>
  </si>
  <si>
    <t>Human API is a health data infrastructure platform that aggregates patient data from over 50 sources, and unifyies it into a single pipeline.</t>
  </si>
  <si>
    <t>https://www.linkedin.com/company/3141548, https://www.humanapi.co/</t>
  </si>
  <si>
    <t>icracked.com</t>
  </si>
  <si>
    <t>iCracked</t>
  </si>
  <si>
    <t>iCracked is the world’s largest and most efficient on-demand repair service for smartphones and tablets. Powering a network of more than 5,000 certified iTechs located across the country, these local technicians can be dispatched with the click of a button to respond to on-demand (and on-site) repair and requests.</t>
  </si>
  <si>
    <t>https://www.facebook.com/iCracked, https://twitter.com/iCracked, https://www.linkedin.com/company/1129570, https://www.icracked.com/</t>
  </si>
  <si>
    <t>idrx.com</t>
  </si>
  <si>
    <t>IDRx</t>
  </si>
  <si>
    <t>Dedicated to transforming cancer care with intelligently designed precision therapies</t>
  </si>
  <si>
    <t>https://www.linkedin.com/company/idrx/, https://www.idrx.com/</t>
  </si>
  <si>
    <t>imgur.com</t>
  </si>
  <si>
    <t>Imgur</t>
  </si>
  <si>
    <t>Imgur is an internet company that specializes in providing online entertainment for its users. Its platform offers internet, gifs, community, memes, visual storytelling, images, mobile, and native ads that helps people to unwind and have fun.</t>
  </si>
  <si>
    <t>Alan Schaaf</t>
  </si>
  <si>
    <t>https://www.facebook.com/imgur, https://twitter.com/imgur, https://www.linkedin.com/company/imgur/, https://imgur.com/</t>
  </si>
  <si>
    <t>instacart.com</t>
  </si>
  <si>
    <t>Instacart</t>
  </si>
  <si>
    <t>Instacart works with grocers and retailers to transform how people shop. The platform offers retailers a suite of enterprise-grade technology products and services to power their e-commerce experiences, fulfill orders, digitize brick-and-mortar stores, provide advertising services, and glean insights.</t>
  </si>
  <si>
    <t>Apoorva Mehta, Max Mullen, Brandon Leonardo</t>
  </si>
  <si>
    <t>https://www.facebook.com/Instacart, https://twitter.com/instacart, https://www.linkedin.com/company/instacart, https://github.com/instacart, https://instacart.com/</t>
  </si>
  <si>
    <t>instagram.com</t>
  </si>
  <si>
    <t>Instagram</t>
  </si>
  <si>
    <t>Instagram is a free photo-sharing application that enables its users to take photos, apply filters, and share them on social networks.</t>
  </si>
  <si>
    <t>https://instagram.com/</t>
  </si>
  <si>
    <t>intrinsic.com</t>
  </si>
  <si>
    <t>Intrinsic</t>
  </si>
  <si>
    <t>GitStar protects data in web-applications and increases developers' productivity. It enforces data security policies on web-applications regardless of what the rest of an application's code does. This separation has the obvious benefit of preventing vulnerabilities but also improves developers performance by offloading security from them.</t>
  </si>
  <si>
    <t>https://intrinsic.com/</t>
  </si>
  <si>
    <t>julep.com</t>
  </si>
  <si>
    <t>Julep</t>
  </si>
  <si>
    <t>Julep is a fast-growing ecommerce beauty brand that takes a full-stack approach to product development, testing, and distribution. Julep is the only beauty company that leverages crowdsourced feedback gathered via social channels such as Facebook, Twitter, Instagram, and Pinterest to create over 300 newproducts a year. Julep brings products to market 10X faster than traditional beauty brands, launching products first via its Mavens online subscription community, and then expanding distribution to Julep.com, Sephora, QVC, and Nordstrom.</t>
  </si>
  <si>
    <t>Jane Park, Kate MacDonald</t>
  </si>
  <si>
    <t>https://www.facebook.com/julep, https://twitter.com/JulepMaven, https://www.linkedin.com/company/2061655, https://www.julep.com/</t>
  </si>
  <si>
    <t>keybase.io</t>
  </si>
  <si>
    <t>Keybase.io</t>
  </si>
  <si>
    <t>Keybase is working hard to bring all the promise of public key cryptography to regular people. We're solving three challenging problems in parallel, building out: (1) an open and auditable PKI based on social network identities; (2) support for all mobile and desktop platforms, so that every device can have its own private key; and (3) viral sharing applications that use clean UX to hide the complexity we've all come to associate with public keys. We want to change the way security works at a deep level, so that sharing, end-to-end security, and cloud hosting can peacefully coexist. And we won't be happy with isolated enterprise installs, or appeal to just hardcore tin-foil hats. We're aiming for widespread adoption: first among programmers, and eventually among consumers at large.</t>
  </si>
  <si>
    <t>Chris Coyne, Max Krohn</t>
  </si>
  <si>
    <t>https://twitter.com/keybaseio, https://keybase.io/</t>
  </si>
  <si>
    <t>knowable.fyi</t>
  </si>
  <si>
    <t>Knowable</t>
  </si>
  <si>
    <t>Knowable unites world-class experts, thinkers, and storytellers to create audio courses that stimulate and inspire curious minds.</t>
  </si>
  <si>
    <t>https://facebook.com/knowablefyi, https://twitter.com/knowablefyi, https://www.linkedin.com/company/19118465, https://github.com/bitkitchen, https://knowable.fyi/</t>
  </si>
  <si>
    <t>loom.com</t>
  </si>
  <si>
    <t>Loom</t>
  </si>
  <si>
    <t>Loom is a video communication platform for asynchronous work. The tool makes it easy to record videos of your screen and camera and instantly share them.</t>
  </si>
  <si>
    <t>Joe Thomas, Vinay Hiremath, Shahed Khan</t>
  </si>
  <si>
    <t>https://www.facebook.com/useloom, https://www.twitter.com/loom, https://www.linkedin.com/company/useloom, https://loom.com/</t>
  </si>
  <si>
    <t>lowkey.gg</t>
  </si>
  <si>
    <t>Lowkey.gg</t>
  </si>
  <si>
    <t>The home for watching and creating short gaming videos. Lowkey enables players to automatically save their best gaming moments as video clips and share them effortlessly with friends &amp; communities. Gamers of all types, from casual friends playing 'Among Us' together, to the top pros in esports like League of Legends and VALORANT, use Lowkey to capture plays or full games and share themSnapchat-style.</t>
  </si>
  <si>
    <t>https://www.linkedin.com/company/camelot-ai/, https://lowkey.gg/</t>
  </si>
  <si>
    <t>judgeholdings.com</t>
  </si>
  <si>
    <t>Luma</t>
  </si>
  <si>
    <t>Luma is a surround WiFi system that brings home internet into the modern era. With the rise of the connected home, people are using more devices than ever. Home WiFi networks now need to be able to keep every one of them running and fully secure.</t>
  </si>
  <si>
    <t>Paul Judge</t>
  </si>
  <si>
    <t>https://twitter.com/getluma, https://judgeholdings.com/</t>
  </si>
  <si>
    <t>lyft.com</t>
  </si>
  <si>
    <t>Lyft</t>
  </si>
  <si>
    <t>Lyft designs, markets, and operates a mobile application that matches drivers with passengers who request rides, and also allows payment through the app. It also allows riders to schedule rides up to seven days in advance. Its services are primarily focused on college, university, and corporate communities. Lyft is a fast-growing ridesharingcompany in the U.S. and is available to 95 percent of the US population. Lyft was founded in June 2012 by Logan Green and John Zimmer in San Francisco, California.</t>
  </si>
  <si>
    <t>Logan Green, John Zimmer</t>
  </si>
  <si>
    <t>https://www.facebook.com/lyft?ref=profile, https://twitter.com/lyft, https://www.linkedin.com/company/2620735, https://lyft.com/</t>
  </si>
  <si>
    <t>lytro.com</t>
  </si>
  <si>
    <t>Lytro</t>
  </si>
  <si>
    <t>Lytro is the imaging startup that began as a ground-breaking camera company for consumers. Lytro is building the world’s most powerful Light Field imaging platform enabling artists, scientists and innovators to pursue their goals with an unprecedented level of freedom and control.</t>
  </si>
  <si>
    <t>Dr. Ren Ng</t>
  </si>
  <si>
    <t>http://www.facebook.com/Lytro, https://twitter.com/lytro, https://www.linkedin.com/company/lytro-inc, https://www.lytro.com/</t>
  </si>
  <si>
    <t>memorahealth.com</t>
  </si>
  <si>
    <t>Memora Health</t>
  </si>
  <si>
    <t>"Always-on" clinical care journey automation and orchestration for seamless patient and provider experience</t>
  </si>
  <si>
    <t>https://twitter.com/memorahealth, https://www.linkedin.com/company/memora-health/, https://memorahealth.com/</t>
  </si>
  <si>
    <t>nautilus.bio</t>
  </si>
  <si>
    <t>Nautilus Biotechnology</t>
  </si>
  <si>
    <t>Large scale, single-molecule proteomics platform that will deliver superior sensitivity far more quickly, more completely, and less expensively than is currently possible</t>
  </si>
  <si>
    <t>https://www.nautilus.bio/</t>
  </si>
  <si>
    <t>vmware.com</t>
  </si>
  <si>
    <t>Nicira Networks</t>
  </si>
  <si>
    <t>New switch operating system that is 1/10 the cost of Cisco with comparable performance and management 10x easier.</t>
  </si>
  <si>
    <t>Steve Mullaney, Martin Casado, Nick McKeown, Scott Shenker</t>
  </si>
  <si>
    <t>https://www.vmware.com/products/nsx.html</t>
  </si>
  <si>
    <t>store.facebook.com</t>
  </si>
  <si>
    <t>Oculus VR</t>
  </si>
  <si>
    <t>Oculus is a technology company revolutionizing the way people experience video games. The company was founded by Palmer Luckey and veterans of RedOctane, developers of the acclaimed Guitar Hero series; Scaleform, the #1 user interface software in the gaming; and Gaikai, the cloud gaming company.</t>
  </si>
  <si>
    <t>Palmer Luckey</t>
  </si>
  <si>
    <t>https://www.facebook.com/oculusvr, https://twitter.com/oculus, http://www.linkedin.com/company/oculus-vr, https://store.facebook.com/quest/</t>
  </si>
  <si>
    <t>okta.com</t>
  </si>
  <si>
    <t>Okta</t>
  </si>
  <si>
    <t>Okta is a management platform that secures critical resources from cloud to ground for workforce and customers. Okta is the provider of identity for the enterprise. The Okta Identity Cloud connects and protects employees of many enterprises. It also securely connects enterprises to their partners, suppliers, and customers. With deep integrations to over 5,000 apps, the Okta Identity Cloud enables simple and secure access from any device. Okta helps customers fulfill their missions faster by making it safe and easy to use the technologies they need to do their significant work.</t>
  </si>
  <si>
    <t>Todd McKinnon, Frederic Kerrest</t>
  </si>
  <si>
    <t>http://www.facebook.com/OktaIdentity?ref=ts, https://twitter.com/okta, https://www.linkedin.com/company/okta-inc-/, https://github.com/okta, https://www.okta.com/</t>
  </si>
  <si>
    <t>onshape.com</t>
  </si>
  <si>
    <t>Onshape</t>
  </si>
  <si>
    <t>Onshape is the only company in the world 100% focused on cloud and mobile CAD, offering the first professional 3D CAD system that lets everyone on a design team work together using any web browser, phone, or tablet. Onshape was built from scratch for the way today's engineers, designers and manufacturers really work, giving them secure and simultaneous access to a single master version of their CAD data without the hassles of software licenses or copying files. Based in Cambridge, Massachusetts, Onshape includes key members of the original SolidWorks team plus elite engineers from the cloud, data security and mobile industries.</t>
  </si>
  <si>
    <t>Jon Hirschtick, Michael Lauer, Dave Corcoran, Tommy Li, John McEleney, Scott Harris</t>
  </si>
  <si>
    <t>https://www.facebook.com/onshapeinc, https://twitter.com/onshape, https://www.linkedin.com/company/onshape-inc, https://www.onshape.com/en/</t>
  </si>
  <si>
    <t>opendoor.com</t>
  </si>
  <si>
    <t>Opendoor</t>
  </si>
  <si>
    <t>Opendoor is an operator of an online real estate marketplace used to streamline the sales process of home buying and selling. It helps sellers to receive an offer without listing or showing their home and buyers to browse for homes on sale and instantly unlock them using the company's application that enables customers to buy and sell properties in a hassle-free way.</t>
  </si>
  <si>
    <t>https://www.facebook.com/OpendoorHQ, https://www.twitter.com/opendoor, https://www.linkedin.com/company/opendoor-com, https://www.opendoor.com/</t>
  </si>
  <si>
    <t>openinvest.com</t>
  </si>
  <si>
    <t>OpenInvest</t>
  </si>
  <si>
    <t>OpenInvest's mission is to mainstream socially responsible investing. Our team combines senior technologists from the hedge fund industry and global non-profit leaders in order to build the world's first SRI-focused online investment platform. Users tell us what issues they care about, such as climate change, workplace equality, ethical supply chains. We partner with leading authorities on these issues to tell us how companies rate along these dimensions. With that information we construct custom portfolios for our users that are solid, long term strategies, but without supporting companies that go against their beliefs</t>
  </si>
  <si>
    <t>Josh Levin, Conor Murray, Phil Wei</t>
  </si>
  <si>
    <t>https://www.facebook.com/openinvestco/, https://twitter.com/openinvestco, https://www.linkedin.com/company/open-invest, https://www.openinvest.com/</t>
  </si>
  <si>
    <t>optimizely.com</t>
  </si>
  <si>
    <t>Optimizely</t>
  </si>
  <si>
    <t>Optimizely is a digital experience platform for unlocking digital potential, content, commerce, and optimization. Optimizely develops web content management and digital experience software. Their application combines content, commerce, multi-channel marketing, and predictive analytics in a single platform to work full circle for businesses, providing capabilities such as intelligent optimization, lead generation, web product recommendations, conversion, and repeat business with unprecedented ease of use for clients.</t>
  </si>
  <si>
    <t>Dan Siroker, Pete Koomen</t>
  </si>
  <si>
    <t>https://www.facebook.com/optimizely, https://twitter.com/optimizely, https://www.linkedin.com/company/1189697, https://www.optimizely.com/</t>
  </si>
  <si>
    <t>optimyze.cloud</t>
  </si>
  <si>
    <t>Optimyze</t>
  </si>
  <si>
    <t>Optimyze is a cloud computing company. Optimyze builds software to track and optimize your cloud resource consumption - your CPU, storage, and network utilization.</t>
  </si>
  <si>
    <t>https://twitter.com/OptimyzeCloud, https://www.linkedin.com/company/optimyze-cloud/, https://www.optimyze.cloud/</t>
  </si>
  <si>
    <t>pagerduty.com</t>
  </si>
  <si>
    <t>PagerDuty</t>
  </si>
  <si>
    <t>PagerDuty is an operations performance platform delivering visibility and actionable intelligence across the entire incident lifecycle.</t>
  </si>
  <si>
    <t>Alex Solomon, Andrew Miklas, Baskar Puvanathasan</t>
  </si>
  <si>
    <t>https://www.facebook.com/PagerDuty, https://twitter.com/pagerduty, https://www.linkedin.com/company/482819, https://github.com/PagerDuty, https://pagerduty.com/</t>
  </si>
  <si>
    <t>parsecgaming.com</t>
  </si>
  <si>
    <t>Parsec Gaming</t>
  </si>
  <si>
    <t>Parsec helps people to connect to their work, games, and friends from anywhere, on any device. Parsec for Teams lets artists, animators, developers, and designers across the creative industries use their powerful PCs and VMs from anywhere, across any device. Our silky smooth, 60FPS+, 4K interactive remote access tools are used by leaders ingames, animation, film, broadcast, architecture, and more. Millions of people use Parsec to access their games on the go. Share a link and you’re playing with friends and family.</t>
  </si>
  <si>
    <t>https://www.facebook.com/parsecgaming, https://twitter.com/parsecteam, https://www.linkedin.com/company/parsec-cloud, https://github.com/parsec-cloud/, https://parsecgaming.com/</t>
  </si>
  <si>
    <t>patch.bio</t>
  </si>
  <si>
    <t>Patch Biosciences</t>
  </si>
  <si>
    <t>Machine-designed sequences for safer, more effective gene therapy</t>
  </si>
  <si>
    <t>https://www.linkedin.com/company/patchbio, https://github.com/patchbio, https://www.patch.bio/</t>
  </si>
  <si>
    <t>patientping.com</t>
  </si>
  <si>
    <t>PatientPing</t>
  </si>
  <si>
    <t>Care coordination platform that generates real-time notifications when patients transition across sites of care</t>
  </si>
  <si>
    <t>https://www.patientping.com/</t>
  </si>
  <si>
    <t>pinterest.com</t>
  </si>
  <si>
    <t>Pinterest</t>
  </si>
  <si>
    <t>Pinterest is a visual discovery and planning tool. People use the site and apps to get ideas for their future, such as recipes, places to travel, and products to buy, and save the things they love to their own boards. Pinners also follow the boards of others who they find interesting.</t>
  </si>
  <si>
    <t>Ben Silbermann, Paul Sciarra, Evan Sharp</t>
  </si>
  <si>
    <t>https://www.facebook.com/PinterestBusiness/, https://twitter.com/pinterestbiz, https://www.linkedin.com/showcase/pinterest-for-business/, https://pinterest.com/</t>
  </si>
  <si>
    <t>pixate.com</t>
  </si>
  <si>
    <t>Pixate</t>
  </si>
  <si>
    <t>Pixate is a new platform for mobile interaction design. With it, you can create sophisticated interactive native prototypes without code.</t>
  </si>
  <si>
    <t>http://www.facebook.com/PixateInc, http://twitter.com/Pixate, http://www.linkedin.com/company/3140407, http://pixate.com/</t>
  </si>
  <si>
    <t>platfora.com</t>
  </si>
  <si>
    <t>Platfora</t>
  </si>
  <si>
    <t>Platfora is the first company to harness the potential of Hadoop so that any business user can explore, interact with, and derive insight from massive data sets, and all via an intuitive and dynamic interface.</t>
  </si>
  <si>
    <t>Ben Werther</t>
  </si>
  <si>
    <t>https://www.facebook.com/platfora, https://twitter.com/platfora, https://www.linkedin.com/company/2267380, https://www.platfora.com/</t>
  </si>
  <si>
    <t>producthunt.com</t>
  </si>
  <si>
    <t>ProductHunt</t>
  </si>
  <si>
    <t>Product Hunt is an internet company that specializes in the fields of start-ups, tech, and product development. It enables community members can submit, browse, vote, and comment on daily submissions of products and collections of products.</t>
  </si>
  <si>
    <t>Ryan Hoover</t>
  </si>
  <si>
    <t>http://www.facebook.com/producthunt, http://twitter.com/producthunt, https://www.linkedin.com/company/producthunt/, https://producthunt.com/</t>
  </si>
  <si>
    <t>quantopian.com</t>
  </si>
  <si>
    <t>Quantopian</t>
  </si>
  <si>
    <t>Quantopian inspires talented people to write investment algos. Select authors may license their algos to us and get paid for performance.</t>
  </si>
  <si>
    <t>John Fawcett, Jean Bredeche</t>
  </si>
  <si>
    <t>https://www.facebook.com/quantopian/, https://twitter.com/quantopian, https://www.linkedin.com/company/quantopian/, https://github.com/quantopian, https://www.quantopian.com/</t>
  </si>
  <si>
    <t>redhotlabs.com</t>
  </si>
  <si>
    <t>Red Hot Labs</t>
  </si>
  <si>
    <t>Red Hot Labs develops mobile games and underlying platform technology. Red Hot Labs founders were behind the creation of Zynga's Farmville, a social game played by millions of users everyday around the globe.</t>
  </si>
  <si>
    <t>https://www.facebook.com/RedHotLabs, https://twitter.com/RedHotLabs, https://www.linkedin.com/company/2713719, https://www.redhotlabs.com/</t>
  </si>
  <si>
    <t>redditinc.com</t>
  </si>
  <si>
    <t>Reddit</t>
  </si>
  <si>
    <t>Reddit is an online platform that enables users to submit links, create content, and have discussions about the topics of their interest.</t>
  </si>
  <si>
    <t>https://www.facebook.com/reddit/, https://www.twitter.com/reddit/, https://www.linkedin.com/company/reddit-com, https://redditinc.com/</t>
  </si>
  <si>
    <t>reflektive.com</t>
  </si>
  <si>
    <t>Reflektive</t>
  </si>
  <si>
    <t>Reflektive is solving a problem in the work place that has plagued us for decades: we don't get feedback quickly enough, that is relevant, and that is actionable enough to do anything about. Annual reviews never have enough context, and both employees and managers forget what actually happened. Reflektive gives employees and managers a platform to provide each other with positive and constructive feedback immediately, creating a culture and expectation of accountability. The data that is gathered in the process is meaningful and useful, and the process makes team members feel more engaged, connected, and productive. Other platforms tackle pieces of this process, but they do it in an old-fashioned, linear way. Reflektive is the first product that focuses on a holistic, 360° review process.</t>
  </si>
  <si>
    <t>Rajeev Behera</t>
  </si>
  <si>
    <t>http://www.facebook.com/reflektive, http://www.twitter.com/reflektive, https://www.linkedin.com/company/reflektive/, https://www.reflektive.com/</t>
  </si>
  <si>
    <t>ribbonhealth.com</t>
  </si>
  <si>
    <t>Ribbon Health</t>
  </si>
  <si>
    <t>Provider data API platform to power better healthcare decisions</t>
  </si>
  <si>
    <t>https://twitter.com/ribbonhealthAPI, https://www.linkedin.com/company/ribbonhealth/, https://www.ribbonhealth.com/</t>
  </si>
  <si>
    <t>rigetti.com</t>
  </si>
  <si>
    <t>Rigetti Quantum Computing</t>
  </si>
  <si>
    <t>Building cloud-deployed quantum computers to solve humanity's most pressing and valuable problems</t>
  </si>
  <si>
    <t>https://twitter.com/rigetti, https://www.linkedin.com/company/rigetti-computing/, https://github.com/rigetticomputing, https://rigetti.com/</t>
  </si>
  <si>
    <t>rival.co</t>
  </si>
  <si>
    <t>Rival</t>
  </si>
  <si>
    <t>Rival is building the platform for the most coveted live events on the planet. They are a technology company powered by an exceptional team of engineers, product managers, and designers, bringing DNA from a broad swath of industries to solve decades-old problems with next generation technologies. They create amazing consumer and enterpriseexperiences for teams, venues, artists, and fans. Backed by world class venture capital, sports teams, venue owners across the globe, and leaders from the tech industry’s highest profile companies, their mission is to inspire the fan in everyone.</t>
  </si>
  <si>
    <t>https://twitter.com/Rival, https://www.linkedin.com/company/rival-inc/, https://rival.co/</t>
  </si>
  <si>
    <t>corp.roblox.com</t>
  </si>
  <si>
    <t>Roblox is a global platform where people come together in real time to connect, create, and express themselves through immersive, interactive shared experiences.</t>
  </si>
  <si>
    <t>David Baszucki, Erik Cassel</t>
  </si>
  <si>
    <t>https://www.facebook.com/Roblox/, https://twitter.com/Roblox, https://www.linkedin.com/company/roblox/, https://github.com/Roblox, http://corp.roblox.com/</t>
  </si>
  <si>
    <t>rtfkt.com</t>
  </si>
  <si>
    <t>RTFKT</t>
  </si>
  <si>
    <t>RTFKT is a developer of custom sneakers designed for video game enthusiasts</t>
  </si>
  <si>
    <t>https://rtfkt.com/</t>
  </si>
  <si>
    <t>samsara.com</t>
  </si>
  <si>
    <t>Samsara</t>
  </si>
  <si>
    <t>Samsara is the pioneer of the Connected Operations™ Cloud, a system of record that enables organizations that depend on physical operations to harness Internet of Things (IoT) data to develop actionable insights and improve their operations.</t>
  </si>
  <si>
    <t>Growth, IPO</t>
  </si>
  <si>
    <t>Sanjit Biswas, John Bicket</t>
  </si>
  <si>
    <t>https://www.facebook.com/SamsaraHQ/, http://twitter.com/Samsara, https://www.linkedin.com/company/samsara/, https://samsara.com/</t>
  </si>
  <si>
    <t>seedfi.com</t>
  </si>
  <si>
    <t>SeedFi</t>
  </si>
  <si>
    <t>SeedFi is a financial health startup that provides financial products to underserved Americans. SeedFi is building a new generation of financial products for the 100MM Americans living paycheck to paycheck. Their customers include the most vulnerable members of society and their products have a tangible impact on their financial health, providing lower-cost access to capital and the opportunity to build credit and start saving.</t>
  </si>
  <si>
    <t>Jim McGinley, Eric Burton, Rodrigo Menezes, Bernardo Menezes, Greg Berman</t>
  </si>
  <si>
    <t>https://twitter.com/seed_fi?lang=en, https://www.linkedin.com/company/seedfi, https://seedfi.com/</t>
  </si>
  <si>
    <t>shoedazzle.com</t>
  </si>
  <si>
    <t>ShoeDazzle</t>
  </si>
  <si>
    <t>ShoeDazzle is an online e-commerce site offering personalized and stylish ladies footwear handpicked by fashion experts.</t>
  </si>
  <si>
    <t>Brian Lee, MJ Eng</t>
  </si>
  <si>
    <t>http://www.facebook.com/ShoeDazzle, https://twitter.com/shoedazzle, https://www.shoedazzle.com/</t>
  </si>
  <si>
    <t>signalfx.com</t>
  </si>
  <si>
    <t>SignalFx</t>
  </si>
  <si>
    <t>SignalFx is a cloud monitoring platform for infrastructure, microservices, and applications. The platform discovers and collects metrics across every component in your cloud environment, replacing traditional point tools and providing real-time predictive analytics. The massively scalable SignalFx architecture is optimized for cloud infrastructureand microservices-based applications and provides powerful visualization, proactive alerting, and collaborative triage capabilities for organizations of all sizes.</t>
  </si>
  <si>
    <t>Phillip Liu, Karthik Rau</t>
  </si>
  <si>
    <t>https://www.facebook.com/SignalFxInc, https://twitter.com/signalfx, https://www.linkedin.com/company/signalfx/, https://github.com/signalfx, https://www.signalfx.com/</t>
  </si>
  <si>
    <t>sigopt.com</t>
  </si>
  <si>
    <t>SigOpt</t>
  </si>
  <si>
    <t>SigOpt is the optimization platform for everything.</t>
  </si>
  <si>
    <t>Scott Clark, Patrick Hayes</t>
  </si>
  <si>
    <t>http://facebook.com/sigopt, http://twitter.com/sigopt, https://www.linkedin.com/company/sigopt, https://github.com/sigopt, https://sigopt.com/</t>
  </si>
  <si>
    <t>rsa.com</t>
  </si>
  <si>
    <t>Silver Tail Systems</t>
  </si>
  <si>
    <t>Silver Tail Systems employs web session intelligence and real-time behavioral analytics to detect and prevent fraud and abuse on websites.</t>
  </si>
  <si>
    <t>https://www.twitter.com/rsathreatdetect, https://www.linkedin.com/company/silver-tail-systems, https://www.rsa.com/products/</t>
  </si>
  <si>
    <t>skout.com</t>
  </si>
  <si>
    <t>Skout</t>
  </si>
  <si>
    <t>SKOUT is a mobile network and community platform for connecting with new people.</t>
  </si>
  <si>
    <t>Christian Wiklund, Niklas Lindstrom</t>
  </si>
  <si>
    <t>http://www.facebook.com/skout, https://twitter.com/singles, https://www.linkedin.com/company/278431, https://www.skout.com/</t>
  </si>
  <si>
    <t>soylent.com</t>
  </si>
  <si>
    <t>Soylent</t>
  </si>
  <si>
    <t>Soylent is a pioneer in food tech, producing delicious, functional foods, w/ complete nutrition that are good for the body &amp; the planet. Soylent is on a mission to provide complete, sustainable nutrition that is accessible, appealing and affordable to all; and its line of products are engineered from the ground up to provide the vitamins, minerals, fats, carbohydrates and protein that the body needs - all in convenient packages.</t>
  </si>
  <si>
    <t>Rob Rhinehart, Matthew Cauble, John Coogan, David Renteln</t>
  </si>
  <si>
    <t>https://www.facebook.com/soylent, https://twitter.com/Soylent, https://www.linkedin.com/company/soylent, https://soylent.com/</t>
  </si>
  <si>
    <t>stackoverflowbusiness.com</t>
  </si>
  <si>
    <t>Stack Exchange Inc. operates a network of question and answer sites. It builds libraries of questions and answers that are focused on various topics that range from software programming to cooking to photography and gaming. The company allows the users to ask or answer questions without registering. It serves programmers, researchers, and photographers; and other experts in various fields. Stack Exchange Inc. was formerly known as Stack Overflow, Inc. and changed its name to Stack Exchange Inc. in March 2011. The company was founded in 2008 and is based in New York, New York.</t>
  </si>
  <si>
    <t>Joel Spolsky, Jeff Atwood</t>
  </si>
  <si>
    <t>https://www.facebook.com/officialstackoverflow/, https://twitter.com/stackoverflow, https://www.linkedin.com/company/stack-overflow/, https://www.stackoverflowbusiness.com/</t>
  </si>
  <si>
    <t>swell.life</t>
  </si>
  <si>
    <t>Swell</t>
  </si>
  <si>
    <t>A Google News/Flipboard-type app for audio on your mobile device. The idea is there are lots of times when you can only listen vs. read (running, driving, cooking, walking). Concept.io is recreating digital radio (non-music), making it personalized and interactive. A sample stream could include: machine reading of tweets, updates on sports games for teams you follow, reminders of TV shows you like, warning of nearby accidents, etc.</t>
  </si>
  <si>
    <t>http://www.linkedin.com/company/concept-io, https://swell.life/</t>
  </si>
  <si>
    <t>swiftype.com</t>
  </si>
  <si>
    <t>Swiftype</t>
  </si>
  <si>
    <t>Swiftype is a provider of SaaS-based site and enterprise search platform used to fully customize the search experience on websites.</t>
  </si>
  <si>
    <t>http://www.facebook.com/swiftype, http://twitter.com/swiftype, https://www.linkedin.com/company/3291944, https://github.com/swiftype, https://swiftype.com/</t>
  </si>
  <si>
    <t>tabular.io</t>
  </si>
  <si>
    <t>Tabular</t>
  </si>
  <si>
    <t>Tabular Technologies is building an independent data automation platform powered by the open-source standard for huge analytic datasets, Apache Iceberg.</t>
  </si>
  <si>
    <t>Ryan Blue, Dan Weeks, Jason Reid</t>
  </si>
  <si>
    <t>https://twitter.com/TabularIO, https://www.linkedin.com/company/tabular-io/, https://github.com/apache/iceberg, https://tabular.io/</t>
  </si>
  <si>
    <t>teleport.org</t>
  </si>
  <si>
    <t>Teleport</t>
  </si>
  <si>
    <t>Teleport is creating a world where free people move around and every single government will be competing for every single citizen. As a start we are building software for startup people to find the best place where to live and work. Startups work increasingly in globally distributed teams, but picking the right place to be at any given time is still a taunting task, depending on 1) who you are (a founder looking to hire or an employee looking for a job; developer, designer or marketeer), 2) what you need to accomplish (be closer to your customers or work remotely, reduce cost and extend your runway, find like-minded people to build with, a tax and regulatory environment with least friction) and 3) what qualities of life make you happy and productive. We cut the painful research process to find your next place from two weeks to two minutes, and once you know where you need to be our software will help you get there smoothly, too. Our first released product optimizes your location in the San Francisco Bay Area and we are expanding to a long list of startup hubs around the world.</t>
  </si>
  <si>
    <t>http://facebook.com/teleportinc, https://twitter.com/teleportinc, https://www.linkedin.com/company/3854483, https://teleport.org/</t>
  </si>
  <si>
    <t>tenfold.com</t>
  </si>
  <si>
    <t>Tenfold</t>
  </si>
  <si>
    <t>Tenfold automates the capture of interaction data into a company's disperse systems of record and unifies that data across systems of record to provide complete and accurate context before, during and after a customer or prospect interaction. By doing so, Tenfold provides companies with visibility into leading activity-based indicators across the entire customer facing organization, improves operational efficiency by eliminating manual data entry and empowers employees to have more efficient and effective communications by ensuring they have a 360 degree view of the relationship with a prospect or customer before they even answer the phone.</t>
  </si>
  <si>
    <t>Dan Sincavage and Sean Pinegar</t>
  </si>
  <si>
    <t>https://twitter.com/growtenfold, https://www.linkedin.com/company/tenfold, https://www.tenfold.com/</t>
  </si>
  <si>
    <t>insightsoftware.com</t>
  </si>
  <si>
    <t>Tidemark</t>
  </si>
  <si>
    <t>Tidemark Systems, Inc. offers enterprise performance management applications on a unified application platform built for the cloud. The company delivers real-time risk-adjusted metrics management; strategic and financial operational planning and forecasting; and profitability modeling applications. It serves Fortune 1000 companies. The company was formerly known as PROFERI, Inc. Tidemark Systems, Inc. was incorporated in 2009 and is based in Redwood City, California with an additional location in Jacksonville, Florida.</t>
  </si>
  <si>
    <t>Tony Rizzo, Christian Ghoerghe</t>
  </si>
  <si>
    <t>http://www.facebook.com/TidemarkEPM, https://twitter.com/TidemarkEPM, http://www.linkedin.com/company/2362595, https://insightsoftware.com/tidemark/</t>
  </si>
  <si>
    <t>tilt.com</t>
  </si>
  <si>
    <t>Tilt</t>
  </si>
  <si>
    <t>Kickstarter for group purchases, Tilt allows users to pool funds for objectives in a simple, social, and frictionless way online.</t>
  </si>
  <si>
    <t>James Beshara, Khaled Hussein</t>
  </si>
  <si>
    <t>http://www.facebook.com/crowdtilt, https://twitter.com/crowdtilt, https://www.linkedin.com/company/2194230, https://tilt.com/</t>
  </si>
  <si>
    <t>tinyco.com</t>
  </si>
  <si>
    <t>TinyCo</t>
  </si>
  <si>
    <t>TinyCo has developed more than a dozen successful games for the App Store, Google Play Store and Amazon App store with titles such as Marvel Avengers Academy and Family Guy: The Quest for Stuff. The company's mission is to make people happy five minutes at a time through incredibly fun mobile entertainment, basedon the world's biggest brands.</t>
  </si>
  <si>
    <t>Suli Ali and Ian Spivey</t>
  </si>
  <si>
    <t>http://www.facebook.com/TinyCo, https://twitter.com/tinyco, https://www.linkedin.com/company/1963975, https://www.tinyco.com/</t>
  </si>
  <si>
    <t>tmunity.com</t>
  </si>
  <si>
    <t>Tmunity Therapeutics</t>
  </si>
  <si>
    <t>Next-generation cell therapies engineered to unleash the immunological potential of T cells</t>
  </si>
  <si>
    <t>https://twitter.com/tmunitytx, https://www.linkedin.com/company/tmunity-therapeutics-incorporated/, https://www.tmunity.com/</t>
  </si>
  <si>
    <t>tomfoolery.com</t>
  </si>
  <si>
    <t>Tomfoolery</t>
  </si>
  <si>
    <t>Tomfoolery builds crazy, beautiful, and useful apps for people to use at work. Our apps are mobile first, primarily iOS and Android, but offer light-weight web interfaces as well. Tomfoolery is currently in stealth mode.</t>
  </si>
  <si>
    <t>https://www.tomfoolery.com/</t>
  </si>
  <si>
    <t>txn.com</t>
  </si>
  <si>
    <t>TXN Solutions</t>
  </si>
  <si>
    <t>TXN is a consumer spending and sentiment analytics service for businesses. Combining purchase data from our proprietary consumer data panel and qualitative feedback from our targeted surveys, we allow merchants of all kinds to uncover insight about themselves, their customers, their competitors, and their partners.</t>
  </si>
  <si>
    <t>https://www.facebook.com/hellotxn, https://twitter.com/hellotxn, https://txn.com/</t>
  </si>
  <si>
    <t>udacity.com</t>
  </si>
  <si>
    <t>Udacity</t>
  </si>
  <si>
    <t>Our mission is to bring accessible higher education to the world. We seek to empower our students to develop their skills through learning by doing and to advance their education and careers. We believe that higher education is a basic human right, and it should be available to everyone, everywhere, and any time. And we strive to develop education that is fun, engaging, and effective.</t>
  </si>
  <si>
    <t>Sebastian Thrun, David Stavens, Mike Sokolsky</t>
  </si>
  <si>
    <t>https://www.facebook.com/Udacity/, https://twitter.com/udacity, https://www.linkedin.com/school/udacity/, https://github.com/udacity, https://www.udacity.com/</t>
  </si>
  <si>
    <t>usermind.com</t>
  </si>
  <si>
    <t>Usermind</t>
  </si>
  <si>
    <t>Usermind's customer experience platform optimizes real-time customer interactions to improve business outcomes.</t>
  </si>
  <si>
    <t>Michel Feaster, Przemek Pardyak</t>
  </si>
  <si>
    <t>https://www.facebook.com/usermindinc, https://twitter.com/usermindinc, https://www.linkedin.com/company/usermind, https://usermind.com/</t>
  </si>
  <si>
    <t>viki.com</t>
  </si>
  <si>
    <t>Viki</t>
  </si>
  <si>
    <t>ViKi, a play on video and wiki, is an international video site for the best of world TV series and movies, translated in 100+ languages by a community of avid fans. With over 1 billion streams and 100 million words translated into over 146 languages, ViKi uniquely brings entertainment to new audiences and unlocks markets for content owners.</t>
  </si>
  <si>
    <t>https://twitter.com/Viki, https://www.viki.com/</t>
  </si>
  <si>
    <t>walkerandcompany.com</t>
  </si>
  <si>
    <t>Walker &amp; Co</t>
  </si>
  <si>
    <t>We make health and beauty simple for people of color. Our vision is to build the world’s most consumer-centric health &amp; beauty products company. We want to completely reinvent the way our community learns about, purchases and enjoys health and beauty products. We’ll do this by developing, designing and testing products and services specifically tailored to our community's needs anddelivering on the promise of great customer service and a simple shopping experience.</t>
  </si>
  <si>
    <t>Tristan Walker</t>
  </si>
  <si>
    <t>https://www.facebook.com/walkerandcompany/, https://twitter.com/walkercobrands?ref_src=twsrc%5Egoogle%7Ctwcamp%5Eserp%7Ctwgr%5Eauthor, https://www.linkedin.com/company/walker-&amp;-company-brands-inc-/, https://github.com/WalkerAndCoBrandsInc, https://walkerandcompany.com/</t>
  </si>
  <si>
    <t>wit.ai</t>
  </si>
  <si>
    <t>Wit.AI</t>
  </si>
  <si>
    <t>Wit.AI is an AI platform that makes it easy for developers to create applications and devices that you can talk to. Any app or device can use Wit.AI to take voice input from a user and turn it into a command. Wit.AI turns speech into action.</t>
  </si>
  <si>
    <t>https://www.facebook.com/pages/WitAI/659704860731385, http://twitter.com/WitNL, https://www.linkedin.com/company/wit-ai, https://wit.ai/</t>
  </si>
  <si>
    <t>getsupernatural.com</t>
  </si>
  <si>
    <t>Within</t>
  </si>
  <si>
    <t>Within is the premier destination for innovative, entertaining, and informative story-based virtual reality and augmented reality. We bring together the best immersive experiences from the world's finest VR/AR creators—from gripping tales set in worlds of pure imagination to documentaries taking you further inside the news than ever before.</t>
  </si>
  <si>
    <t>Chris Milk and Aaron Koblin</t>
  </si>
  <si>
    <t>https://www.facebook.com/within/info/, https://twitter.com/within, https://www.linkedin.com/company/withinunlimited/, https://www.getsupernatural.com/</t>
  </si>
  <si>
    <t>zynga.com</t>
  </si>
  <si>
    <t>Zynga</t>
  </si>
  <si>
    <t>Zynga Inc. (Zynga) is the provider of social game services. The Company develops , market and operates online social games as live services played over the Internet and on social networking sites and mobile platforms. The Company's games are accessible on Facebook and other social networks, mobile platforms and Zynga.com. According to AppData, as of December 31, 2012, the Company had five of the top 10 games on Facebook based on DAUs. The Company's players are also more engaged, with the Company's games being played by 63 million DAUs, worldwide as of December 31, 2012. According to comScore, in the month of December 2012, players spent more time playing Zynga's mobile games than the next five mobile game developers combined.</t>
  </si>
  <si>
    <t>Mark Pincus</t>
  </si>
  <si>
    <t>http://www.facebook.com/Zynga, http://twitter.com/zynga, http://www.linkedin.com/company/zynga, https://zynga.com/</t>
  </si>
  <si>
    <t>11x.ai</t>
  </si>
  <si>
    <t>11x</t>
  </si>
  <si>
    <t>Venture</t>
  </si>
  <si>
    <t>https://twitter.com/11x_official, https://www.linkedin.com/company/11x-ai/, https://www.11x.ai/</t>
  </si>
  <si>
    <t>untitled.stream</t>
  </si>
  <si>
    <t>[untitled]</t>
  </si>
  <si>
    <t>[untitled] is building the new operating system for musicians.</t>
  </si>
  <si>
    <t>https://twitter.com/uuuntitleddd, https://www.linkedin.com/company/untitledinbrackets/, https://www.instagram.com/untitledinbrackets/, https://untitled.stream/</t>
  </si>
  <si>
    <t>actioniq.com</t>
  </si>
  <si>
    <t>ActionIQ</t>
  </si>
  <si>
    <t>ActionIQ helps companies like Verizon Wireless, Michael Kors, Weight Watchers and HBC/Saks 5th Ave leverage 100x more customer data to develop unique, personalized experiences. As customer data become one of the most valuable assets Enterprises can use to differentiate and compete, most CMOs are frustrated by how long it takes to leverage that asset to develop real-world customer interactions and experiences. ActionIQ can deliver value in months (versus years) and it can make Marketers significantly more self-sufficient and less dependent on IT for their success.</t>
  </si>
  <si>
    <t>Tasso Argyros, Nitay Joffe</t>
  </si>
  <si>
    <t>https://twitter.com/ActionIQinc, https://www.linkedin.com/company/actioniq/, https://www.actioniq.com/</t>
  </si>
  <si>
    <t>adaptive.build</t>
  </si>
  <si>
    <t>Adaptive is an automated financial management platform for the construction industry. It combines artificial intelligence with simple software to help construction companies automate their job costing and control their cash flow.</t>
  </si>
  <si>
    <t>Seed</t>
  </si>
  <si>
    <t>Henry Bradlow, Matt Calvano, Francisco Enriquez</t>
  </si>
  <si>
    <t>https://www.facebook.com/adaptivebuilds, https://twitter.com/AdaptiveBuilds, https://www.linkedin.com/company/adaptiverealestate/, https://adaptive.build/</t>
  </si>
  <si>
    <t>addi.com</t>
  </si>
  <si>
    <t>Addi</t>
  </si>
  <si>
    <t>Addi is revolutionizing digital commerce by building the best digital shopping experience in Latin America.</t>
  </si>
  <si>
    <t>Santiago Suarez, Daniel Vallejo, Elmer Ortega</t>
  </si>
  <si>
    <t>https://www.facebook.com/AddiCOL21, https://twitter.com/Addi_col, https://www.linkedin.com/company/addicol/, https://addi.com/</t>
  </si>
  <si>
    <t>adimverse.com</t>
  </si>
  <si>
    <t>Adim</t>
  </si>
  <si>
    <t>Technology has ushered in a new era of imagination and inspiration with the potential to unlock access and value for the voices and stories that shape our culture. Adim is a platform that enables creators of all levels and backgrounds around the world to connect, collaborate and capture value for their creative contributions.</t>
  </si>
  <si>
    <t>Rob McElhenney, Rich Rosenblatt, Chase Rosenblatt, Melissa Kaspers, Spencer Marell</t>
  </si>
  <si>
    <t>https://twitter.com/Adimverse, https://www.linkedin.com/company/adimverse, https://adimverse.com/</t>
  </si>
  <si>
    <t>aerodome.com</t>
  </si>
  <si>
    <t>Aerodome</t>
  </si>
  <si>
    <t>Aerodome is bringing the future of air support to public safety agencies around the world. Using a fully integrated, fully remote, automated, and AI-driven software operating system, we equip agencies with highly advanced, 24/7 drone-as-first-response capabilities. This means police and fire departments can automatically fly a drone to an emergency incident located anywhere in their city in less than 3 minutes, every time. State and Federal agencies can use Aerodome stations to immediately detect wildfires as soon as they start, helping prevent them from escalating into the devastating tragedies we've seen over the years.</t>
  </si>
  <si>
    <t>https://twitter.com/FlyAerodome, https://www.linkedin.com/company/aerodomeus/, https://www.aerodome.com/</t>
  </si>
  <si>
    <t>aghanim.com</t>
  </si>
  <si>
    <t>Aghanim</t>
  </si>
  <si>
    <t>Aghanim is an integrated commerce, live ops automation, community engagement, and payments platform for mobile games founded by former CEOs/CTOs of Xsolla, with over 20 years of experience in gaming fintech.</t>
  </si>
  <si>
    <t>https://www.facebook.com/aghanim.inc, https://twitter.com/aghaniminc, https://www.linkedin.com/company/aghanim/, https://aghanim.com/</t>
  </si>
  <si>
    <t>airspace-intelligence.com</t>
  </si>
  <si>
    <t>Air Space Intelligence</t>
  </si>
  <si>
    <t>Air Space Intelligence (ASI) is a software-first aerospace &amp; defense company. We partner with organizations such as the world's largest airlines and US&amp;allied government agencies to ensure the most complex air operations succeed. Our technology provides our partners with a decision-making advantage when and where the stakes are the highest — from air operations centers to the dynamic environment of the flight deck.</t>
  </si>
  <si>
    <t>Phillip Buckendorf, Kris Dorosz, Lucas Kukielka</t>
  </si>
  <si>
    <t>https://twitter.com/AirSpaceIntel, https://www.linkedin.com/company/airspace-intelligence/, https://www.airspace-intelligence.com/</t>
  </si>
  <si>
    <t>airgarage.com</t>
  </si>
  <si>
    <t>AirGarage</t>
  </si>
  <si>
    <t>AirGarage is the 21st century parking operator. We handle everything it takes to run your parking asset. We are a full stack parking operator that helps real estate owners monetize their parking assets. As a full-stack parking operator, we handle everything - enforcement, operations, software, payment, and more.</t>
  </si>
  <si>
    <t>Jonathon Barkl, Chelsea Border, Scott Fitsimones</t>
  </si>
  <si>
    <t>https://twitter.com/airgarageinc, https://www.linkedin.com/company/airgarage, https://github.com/airgarage, https://www.airgarage.com/</t>
  </si>
  <si>
    <t>akasa.com</t>
  </si>
  <si>
    <t>AKASA</t>
  </si>
  <si>
    <t>AI automation platform for end-to-end revenue cycle management</t>
  </si>
  <si>
    <t>Growth</t>
  </si>
  <si>
    <t>https://twitter.com/akasahealth/, https://www.linkedin.com/company/akasahealth/, https://akasa.com/</t>
  </si>
  <si>
    <t>akitasoftware.com</t>
  </si>
  <si>
    <t>Akita Software</t>
  </si>
  <si>
    <t>Akita helps companies see how their software uses data so they can build better products.</t>
  </si>
  <si>
    <t>Jean Yang</t>
  </si>
  <si>
    <t>http://twitter.com/akitasoftware, https://www.linkedin.com/company/20337186/admin/, https://github.com/akitasoftware, https://www.akitasoftware.com/</t>
  </si>
  <si>
    <t>alchemy.com</t>
  </si>
  <si>
    <t>Alchemy</t>
  </si>
  <si>
    <t>Alchemy is building a web3 operating system and developer platform that helps developers build on modern blockchains.</t>
  </si>
  <si>
    <t>Joseph Lau, Nikil Viswanathan</t>
  </si>
  <si>
    <t>https://twitter.com/AlchemyPlatform, https://www.linkedin.com/company/alchemyinc/, https://alchemy.com/</t>
  </si>
  <si>
    <t>alchemyhealth.com</t>
  </si>
  <si>
    <t>Alchemy Health</t>
  </si>
  <si>
    <t>Alchemy is powering the future of 340B pharmacy, starting with on-site pharmacies for covered entities. Alchemy provides the entire physical, clinical, and digital infrastructure needed to operate and grow best-in-class 340B programs.</t>
  </si>
  <si>
    <t>https://alchemyhealth.com/</t>
  </si>
  <si>
    <t>provable.com</t>
  </si>
  <si>
    <t>Aleo</t>
  </si>
  <si>
    <t>Aleo develops a private application building platform designed to facilitate absolute privacy on blockchains. Its platform offer toolkits for Windows, Linux, and macOS which allow users to write, deploy and share applications easily with a package manager, enabling them to compile and test codes without compromising privacy.</t>
  </si>
  <si>
    <t>Howard Wu, Michael Beller</t>
  </si>
  <si>
    <t>https://twitter.com/AleoHQ, https://www.linkedin.com/company/aleohq, https://github.com/AleoHQ, https://provable.com/</t>
  </si>
  <si>
    <t>allday.com</t>
  </si>
  <si>
    <t>All Day</t>
  </si>
  <si>
    <t>https://www.linkedin.com/company/all-day-kitchens/, https://www.allday.com/</t>
  </si>
  <si>
    <t>alluxio.io</t>
  </si>
  <si>
    <t>Alluxio</t>
  </si>
  <si>
    <t>Proven at global web scale in production for modern data services, Alluxio is the developer of open source data orchestration software for the cloud. Alluxio moves data closer to AI and machine learning compute frameworks in any cloud across clusters, regions, clouds and countries, providing memory-speed data access to files and objects. Intelligent data tiering and data management deliver consistent high performance to customers in financial services, high tech, retail and telecommunications.</t>
  </si>
  <si>
    <t>Haoyuan Li</t>
  </si>
  <si>
    <t>https://www.facebook.com/Alluxio-213853868965135/, https://twitter.com/Alluxio, https://www.linkedin.com/company/alluxio-inc-, https://github.com/Alluxio/alluxio, https://www.alluxio.io/</t>
  </si>
  <si>
    <t>almostapps.com</t>
  </si>
  <si>
    <t>AlmostApps</t>
  </si>
  <si>
    <t>Almost Apps builds free-to-play games for sports fans, blending casual gameplay with real-life sports scores and stats.</t>
  </si>
  <si>
    <t>https://almostapps.com/</t>
  </si>
  <si>
    <t>aloftappraisal.com</t>
  </si>
  <si>
    <t>Aloft</t>
  </si>
  <si>
    <t>Aloft Appraisal is a real estate valuation company.</t>
  </si>
  <si>
    <t>Travis Soukup, Yongxing Deng</t>
  </si>
  <si>
    <t>https://www.linkedin.com/company/aloftappraisal/about, https://twitter.com/aloftappraisal, https://www.linkedin.com/company/aloftappraisal/, https://aloftappraisal.com/</t>
  </si>
  <si>
    <t>alongsidefinance.com</t>
  </si>
  <si>
    <t>Alongside Finance</t>
  </si>
  <si>
    <t>Accessible index for web3 assets</t>
  </si>
  <si>
    <t>https://twitter.com/alongsidefi, https://github.com/Alongside-Finance, https://alongsidefinance.com/</t>
  </si>
  <si>
    <t>nobellfoods.com</t>
  </si>
  <si>
    <t>Alpine Bio</t>
  </si>
  <si>
    <t>Creating cheese and other dairy products from plant-derived dairy proteins for the 99% of people who are unwilling to compromise on taste and price</t>
  </si>
  <si>
    <t>https://twitter.com/nobellfoods?lang=en, https://www.linkedin.com/company/nobellfoods/, https://www.nobellfoods.com/</t>
  </si>
  <si>
    <t>altavr.io</t>
  </si>
  <si>
    <t>Alta</t>
  </si>
  <si>
    <t>Alta is a virtual reality company that develops games. They focus on developing a range of fun-based, adventurous, and war-mimicking multiplayer games that could be played across multiple virtual reality interfaces and immersive environments, enabling gaming enthusiasts to engage in mobile, animated virtual reality games via smartphones, laptops,or computers anytime, anywhere.</t>
  </si>
  <si>
    <t>https://www.facebook.com/altavr, https://twitter.com/RealAlta, https://www.linkedin.com/company/alta-vr/, https://www.altavr.io/</t>
  </si>
  <si>
    <t>altera.al</t>
  </si>
  <si>
    <t>AlteraAL</t>
  </si>
  <si>
    <t>Altera is an AI agent research and infrastructure company. We provide previously impossible agent-first experiences to consumers and gaming companies.</t>
  </si>
  <si>
    <t>https://twitter.com/Altera_AL, https://www.linkedin.com/company/stealth-al/, https://altera.al/</t>
  </si>
  <si>
    <t>altitudelearning.com</t>
  </si>
  <si>
    <t>AltSchool</t>
  </si>
  <si>
    <t>AltSchool is a collaborative community of micro-schools that uses outstanding teachers, deep research, and innovative tools to offer a personalized ?whole child? learning experience for the next generation. They believe that every child should have access to an exceptional, personalized education that enables them to be happy and successful in an ever-changing world.</t>
  </si>
  <si>
    <t>Max Ventilla</t>
  </si>
  <si>
    <t>https://www.facebook.com/AltSchool, https://twitter.com/AltSchool, https://www.linkedin.com/company/3204296, https://altitudelearning.com/</t>
  </si>
  <si>
    <t>amber.bio</t>
  </si>
  <si>
    <t>Amber</t>
  </si>
  <si>
    <t>RNA editing therapies targeting splicing machinery to correct pathological genetic mutations</t>
  </si>
  <si>
    <t>https://www.linkedin.com/company/amber-bio/about/, https://amber.bio/</t>
  </si>
  <si>
    <t>ambiencehealthcare.com</t>
  </si>
  <si>
    <t>Ambience Healthcare</t>
  </si>
  <si>
    <t>Fully automated, real-time AI medical scribe and workflow automation platform</t>
  </si>
  <si>
    <t>https://www.linkedin.com/company/ambiencehealthcare/, https://ambiencehealthcare.com/</t>
  </si>
  <si>
    <t>aminochain.io</t>
  </si>
  <si>
    <t>AminoChain</t>
  </si>
  <si>
    <t>Biosample and research data marketplace connecting biobanks and clinical sites with biopharma companies and CROs</t>
  </si>
  <si>
    <t>https://twitter.com/Amino_Chain, https://www.linkedin.com/company/aminochain, https://aminochain.io/</t>
  </si>
  <si>
    <t>anchorage.com</t>
  </si>
  <si>
    <t>Anchorage</t>
  </si>
  <si>
    <t>Anchorage Digital is a regulated crypto platform that provides institutions with integrated financial services and infrastructure solutions. With the only federally chartered crypto bank in the US, as well as Anchorage Digital Singapore, which offers equivalent security and service standards, Anchorage Digital provides institutions an unparalleled combination of secure custody, regulatory compliance, product breadth, and client service.</t>
  </si>
  <si>
    <t>Nathan McCauley &amp; Diogo Monica</t>
  </si>
  <si>
    <t>https://twitter.com/Anchorage, https://www.linkedin.com/company/anchorage, https://anchorage.com/</t>
  </si>
  <si>
    <t>anduril.com</t>
  </si>
  <si>
    <t>Anduril</t>
  </si>
  <si>
    <t>Anduril Industries is a defense technology company with a mission to transform US and allied military capabilities with advanced technology.</t>
  </si>
  <si>
    <t>Palmer Luckey, Brian Schimpf, Trae' Stephens, Matt Grimm, Joseph Chen</t>
  </si>
  <si>
    <t>https://www.facebook.com/andurilindustries/, https://twitter.com/anduriltech, https://www.linkedin.com/company/andurilindustries/, https://github.com/anduril, https://www.anduril.com/</t>
  </si>
  <si>
    <t>angle.money</t>
  </si>
  <si>
    <t>Angle</t>
  </si>
  <si>
    <t>Angle Protocol focus on offering stablecoins pegged to currencies like the euro as an alternative to dollar-centric tokens.</t>
  </si>
  <si>
    <t>Pablo Veyrat, Guillaume Nervo, Picodes</t>
  </si>
  <si>
    <t>https://twitter.com/AngleProtocol, https://github.com/AngleProtocol, https://angle.money/</t>
  </si>
  <si>
    <t>anyroad.com</t>
  </si>
  <si>
    <t>AnyRoad</t>
  </si>
  <si>
    <t>AnyRoad is the market leader in Experiential Marketing. AnyRoad’s industry-leading platform enables businesses to operate and optimize their events, tours, classes, and activations to grow consumer brand loyalty and drive greater ROI.</t>
  </si>
  <si>
    <t>https://a16z.com/portfolio/facebook.com/anyroad, https://a16z.com/portfolio/twitter.com/anyroad, https://www.linkedin.com/company/anyroad, https://anyroad.com/</t>
  </si>
  <si>
    <t>anyscale.com</t>
  </si>
  <si>
    <t>Anyscale</t>
  </si>
  <si>
    <t>Anyscale and their developer platform, Ray, help developers scale machine learning workloads in the cloud—without the cost or expertise required to manage complex infrastructure.</t>
  </si>
  <si>
    <t>Robert Nishihara, Philipp Moritz, Ion Stoica</t>
  </si>
  <si>
    <t>https://www.facebook.com/AnyscaleCompute/, https://twitter.com/anyscalecompute, https://www.linkedin.com/company/joinanyscale, https://github.com/ray-project/ray, https://anyscale.com/</t>
  </si>
  <si>
    <t>apeel.com</t>
  </si>
  <si>
    <t>Apeel Sciences</t>
  </si>
  <si>
    <t>Natural coatings and synthetic biotechnologies to keep produce fresh and transform food supply chain</t>
  </si>
  <si>
    <t>https://twitter.com/apeelsciences, https://www.linkedin.com/company/apeel-sciences, https://apeel.com/</t>
  </si>
  <si>
    <t>apexspace.com</t>
  </si>
  <si>
    <t>Apex Space</t>
  </si>
  <si>
    <t>Apex manufactures satellite buses, which are the core component of spacecraft. Apex's design-for-manufacturing approach, interoperable software, and vertical integration allows the company to deliver productized satellites significantly faster, with transparent pricing and industry-leading reliability for commercial and government customers.</t>
  </si>
  <si>
    <t>https://twitter.com/apexspacecraft, https://www.linkedin.com/company/apexspacetech/, https://apexspace.com/</t>
  </si>
  <si>
    <t>apollographql.com</t>
  </si>
  <si>
    <t>Apollo</t>
  </si>
  <si>
    <t>Apollo GraphOS is the all-purpose hub for your GraphQL API, empowering developers across the stack to ship early, ship often, and ship safely.</t>
  </si>
  <si>
    <t>Geoff Schmidt, Matt DeBergalis, Nick Martin</t>
  </si>
  <si>
    <t>https://www.facebook.com/apollographql/, https://twitter.com/apollographql, https://www.linkedin.com/company/apollo-graphql/, https://github.com/apollographql, https://www.apollographql.com/</t>
  </si>
  <si>
    <t>appliedintuition.com</t>
  </si>
  <si>
    <t>Applied Intuition</t>
  </si>
  <si>
    <t>Applied Intuition offers a suite of simulation, validation, and data management software that makes it faster, safer, and easier to bring autonomous systems to market.</t>
  </si>
  <si>
    <t>Qasar Younis and Peter Ludwig</t>
  </si>
  <si>
    <t>https://twitter.com/AppliedInt, https://www.linkedin.com/company/applied-intuition-inc/, https://appliedintuition.com/</t>
  </si>
  <si>
    <t>aptoslabs.com</t>
  </si>
  <si>
    <t>Aptos</t>
  </si>
  <si>
    <t>Aptos is a Web3 startup that builds a scalable layer 1 blockchain.</t>
  </si>
  <si>
    <t>Mo Shaikh, Avery Ching</t>
  </si>
  <si>
    <t>https://twitter.com/aptoslabs, https://www.linkedin.com/company/aptoslabs, https://aptoslabs.com/</t>
  </si>
  <si>
    <t>arcboats.com</t>
  </si>
  <si>
    <t>Arc</t>
  </si>
  <si>
    <t>Arc is developing the next generation of watercraft, starting with electric sport boats. Founded in 2021 in Los Angeles, CA, we're pushing the industry forward on an ambitious timeline.</t>
  </si>
  <si>
    <t>https://twitter.com/ArcBoats, https://www.linkedin.com/company/arc-boat-company/, https://arcboats.com/</t>
  </si>
  <si>
    <t>arcjet.com</t>
  </si>
  <si>
    <t>Arcjet</t>
  </si>
  <si>
    <t>https://twitter.com/arcjethq, https://www.linkedin.com/company/arcjet/, https://github.com/arcjet, https://arcjet.com/</t>
  </si>
  <si>
    <t>ardatx.com</t>
  </si>
  <si>
    <t>Arda Therapeutics</t>
  </si>
  <si>
    <t>Taking aim at chronic diseases and aging by depleting the pathogenic cells that drive these conditions. Their approach starts by using single-cell data to identify pathogenic cells to target and how to target them. They then design therapies to eliminate these - and only these - cells.</t>
  </si>
  <si>
    <t>https://twitter.com/Arda_Tx, https://linkedin.com/company/arda-therapeutics/, https://www.ardatx.com/</t>
  </si>
  <si>
    <t>arpeggi.io</t>
  </si>
  <si>
    <t>Arpeggi Labs</t>
  </si>
  <si>
    <t>Arpeggi Labs develops an online music creation tool that leverages web3 to build an open-source music creation. It allows musicians to compose and mint their songs as fully on-chain NFTs and enables artists to benefit from blockchain technology. The creation, collaboration, and monetization processes used by musicians could be transformed byblockchain technology.</t>
  </si>
  <si>
    <t>https://twitter.com/arpeggi_labs, https://www.linkedin.com/company/arpeggi-labs/, https://arpeggi.io/</t>
  </si>
  <si>
    <t>arweave.org</t>
  </si>
  <si>
    <t>Arweave</t>
  </si>
  <si>
    <t>Arweave is an information technology company that specializes in data storage, blockchain, and serverless web. It features a software platform thet offers unparalleled levels of data replication and security for users and financial incentives for participants in the network.</t>
  </si>
  <si>
    <t>https://www.facebook.com/pg/ArweaveTeam, https://twitter.com/ArweaveTeam, https://www.linkedin.com/company/arweave, https://arweave.org/</t>
  </si>
  <si>
    <t>asimov.com</t>
  </si>
  <si>
    <t>Asimov</t>
  </si>
  <si>
    <t>An integrated suite of cells, genes and software to power the design and manufacture of advanced therapies</t>
  </si>
  <si>
    <t>https://twitter.com/AsimovBio, https://www.linkedin.com/company/asimov/, https://www.asimov.com/</t>
  </si>
  <si>
    <t>astranis.com</t>
  </si>
  <si>
    <t>Astranis</t>
  </si>
  <si>
    <t>Astranis builds advanced satellites for high orbits.</t>
  </si>
  <si>
    <t>Growth, Venture</t>
  </si>
  <si>
    <t>John Gedmark, Ryan McLinko</t>
  </si>
  <si>
    <t>https://twitter.com/Astranis, https://www.linkedin.com/company/astranis, https://www.astranis.com/</t>
  </si>
  <si>
    <t>astromecha.co</t>
  </si>
  <si>
    <t>Astro Mechanica</t>
  </si>
  <si>
    <t>Astro Mechanica has invented a new kind of jet engine.</t>
  </si>
  <si>
    <t>https://twitter.com/AstroMechanica, https://www.linkedin.com/company/astro-mechanica/, https://astromecha.co/</t>
  </si>
  <si>
    <t>atlys.com</t>
  </si>
  <si>
    <t>Atlys</t>
  </si>
  <si>
    <t>Atlys offers an app where users can apply for visas hassle-free. Atlys provides people with transparent real-time data to avoid last-minute hassles and guides them step-by-step. Traveling is made easier and more accessible for everyone thanks to Atlys' innovative technology.</t>
  </si>
  <si>
    <t>Mohak Nahta</t>
  </si>
  <si>
    <t>https://www.facebook.com/getatlys, https://twitter.com/atlys, https://www.linkedin.com/company/getatlys/, https://www.instagram.com/atlys/, https://www.atlys.com/</t>
  </si>
  <si>
    <t>autograph.io</t>
  </si>
  <si>
    <t>Autograph.io</t>
  </si>
  <si>
    <t>https://twitter.com/Autograph, https://autograph.io/</t>
  </si>
  <si>
    <t>avax.network</t>
  </si>
  <si>
    <t>Avalanche</t>
  </si>
  <si>
    <t>Avalanche provides a decentralized contracts platform for global finance, with near-instant transaction completion. Avalanche is an open, programmable smart contracts platform for decentralized applications. Avalanche is a verifiable platform for institutions, enterprises, and governments. Launch assets, build applications and create subnets with complete control over your implementation with compliance, data security, and other rulesets built into the foundation.</t>
  </si>
  <si>
    <t>https://twitter.com/avalabsofficial, https://avax.network/</t>
  </si>
  <si>
    <t>axoni.com</t>
  </si>
  <si>
    <t>Axoni</t>
  </si>
  <si>
    <t>Axoni develops novel blockchain solutions while focusing on the capital markets industry. In various production implementations, we have demonstrated that our blockchain software can serve multiple asset classes and use cases at the world's most advanced financial institutions.</t>
  </si>
  <si>
    <t>https://twitter.com/axoni, https://www.linkedin.com/company/axoni/, https://axoni.com/</t>
  </si>
  <si>
    <t>azragames.com</t>
  </si>
  <si>
    <t>Azra Games</t>
  </si>
  <si>
    <t>Azra Games is a blockchain-based developer of collectable combat role-playing games for core gamers. The company specializes in blockchain technology and makes collectible combat RPGs for core gamers on the blockchain that features various characters, enabling gamers to make a complete shift in how to create, play, collect, trade, and socialize.</t>
  </si>
  <si>
    <t>http://discord.gg/azra, https://twitter.com/AzraGames?ref_src=twsrc%5Egoogle%7Ctwcamp%5Eserp%7Ctwgr%5Eauthor, https://www.linkedin.com/company/Azra-Games/, https://github.com/AzraGames, https://azragames.com/</t>
  </si>
  <si>
    <t>aztec.network</t>
  </si>
  <si>
    <t>Aztec</t>
  </si>
  <si>
    <t>Aztec develops an ethereum trading protocol that enables private transactions across the public blockchain. Aztec develops an ethereum trading protocol that enables private transactions across the public blockchain. Its renowned research team is the force behind PLONK, the lightning-fast standard in zero-knowledge technologies. The team has brought multiple R&amp;D breakthroughs to Layer 2 on Ethereum and has deep experience in deploying complex cryptosystems to Web3.</t>
  </si>
  <si>
    <t>https://twitter.com/aztecnetwork, https://www.linkedin.com/company/aztec-protocol/, https://aztec.network/</t>
  </si>
  <si>
    <t>backflip.ai</t>
  </si>
  <si>
    <t>Backflip AI</t>
  </si>
  <si>
    <t>3D asset generation</t>
  </si>
  <si>
    <t>https://x.com/BackflipAI, https://www.linkedin.com/company/backflip-ai/, https://backflip.ai/</t>
  </si>
  <si>
    <t>bash.gg</t>
  </si>
  <si>
    <t>bash.gg is a website for playing games with your friends. bash.gg is the developer of Sunnyvale.gg, an RP game where players create stories with AI NPCs and their friends.</t>
  </si>
  <si>
    <t>https://www.linkedin.com/company/playbashgg, https://bash.gg/</t>
  </si>
  <si>
    <t>bastion.io</t>
  </si>
  <si>
    <t>Bastion</t>
  </si>
  <si>
    <t>Bastion is on a mission to unlock the power of web3 by solving today’s hardest problems in the space — with seamless onboarding, fast and cost-effective user experiences, and actionable insights.</t>
  </si>
  <si>
    <t>https://x.com/bastionplatform, https://www.linkedin.com/company/bastionplatforms, https://bastion.io/</t>
  </si>
  <si>
    <t>battlebound.io</t>
  </si>
  <si>
    <t>BattleBound</t>
  </si>
  <si>
    <t>Crypto games start-up, Battlebound use blockchain technology to create play to earn games.</t>
  </si>
  <si>
    <t>Adam Hensel</t>
  </si>
  <si>
    <t>https://twitter.com/battlebound_io, https://www.linkedin.com/company/battlebound/, https://battlebound.io/</t>
  </si>
  <si>
    <t>bayesianhealth.com</t>
  </si>
  <si>
    <t>Bayesian Health</t>
  </si>
  <si>
    <t>Intelligent Clinical Augmentation (ICA) platform for delivering proactive care</t>
  </si>
  <si>
    <t>https://twitter.com/bayesianhealth, https://www.linkedin.com/company/bayesian-health/, https://github.com/bayesianhealth, https://bayesianhealth.com/</t>
  </si>
  <si>
    <t>meldium.com</t>
  </si>
  <si>
    <t>BBA Inc</t>
  </si>
  <si>
    <t>Cloud app manager for companies.</t>
  </si>
  <si>
    <t>https://www.meldium.com/</t>
  </si>
  <si>
    <t>beacons.ai</t>
  </si>
  <si>
    <t>Beacons</t>
  </si>
  <si>
    <t>Beacons is a link-in-bio website builder for creators. The company’s mobile website builder offers extensive customization options and supports multi-SKU creators through donations, e-commerce, affiliate marketing, and more.</t>
  </si>
  <si>
    <t>Neal Jean, Jesse Zhang, David Zeng, Greg Luppescu</t>
  </si>
  <si>
    <t>https://twitter.com/beaconsai, https://www.linkedin.com/company/beacons-ai/, https://beacons.ai/</t>
  </si>
  <si>
    <t>beeps.co</t>
  </si>
  <si>
    <t>Beeps</t>
  </si>
  <si>
    <t>https://twitter.com/beepshq, https://www.linkedin.com/company/beepsdev/, https://www.beeps.co/</t>
  </si>
  <si>
    <t>believer.gg</t>
  </si>
  <si>
    <t>Believer</t>
  </si>
  <si>
    <t>The Believer Company is a game development studio dedicated to putting the player at the center of their games.</t>
  </si>
  <si>
    <t>https://www.linkedin.com/company/the-believer-company/, https://www.believer.gg/</t>
  </si>
  <si>
    <t>belonghome.com</t>
  </si>
  <si>
    <t>Belong</t>
  </si>
  <si>
    <t>There is more than one American Dream. Owning your home is one of those dreams. It's been an aspiration for a long time, and we know that millions struggle to achieve it. But there are other American Dreams. Some of these dreams are about living differently than previous generations - for whom owning was everything. We may want to use our cash to start a business. We may want to experience new places. We may not have the money yet for home ownership, but still dream of living in a glorious home where we can put down roots and experience the sense of belonging. This is a new mindset. We are a community of people looking for a dream rental, and people who own properties and are looking for people who will love them. The old-school terms "landlord" and "tenant" don't apply in our world. Here, there are people who want to adopt homes for a while, and people who have wonderful residences ready for them. Our owners are not giant holding companies that own thousands of homes and view them as pure financial assets. There's a level of mutual respect and caring in our world that simply doesn't exist in the transactional, brutalist world of landlords and tenants. We manage properties for our owners, and treat the people who live there with the attention, speed and concern they deserve. And we support those who are living an ownership-free lifestyle by creating a true community everywhere we are. Our residents are connected not only to each other, but also to the local merchants, events, and institutions that give communities their unique character. Before, renters often felt like second-class citizens; with us, they are an immediate and integral part of the community. So, whether you own property and you're looking for someone to live in it and love it, or you're looking for a home where you can put down roots for however long you're planning to be there, we are the answer. Renting is the new American lifestyle. We didn't create it, but we're making it sing.</t>
  </si>
  <si>
    <t>Ale Resnik, Owen Savir and Tyler Infelise</t>
  </si>
  <si>
    <t>https://twitter.com/joinbelong, https://www.linkedin.com/company/belonghq/, https://belonghome.com/</t>
  </si>
  <si>
    <t>benchling.com</t>
  </si>
  <si>
    <t>Benchling</t>
  </si>
  <si>
    <t>Cloud-based platform for biotechnology research &amp; development</t>
  </si>
  <si>
    <t>https://twitter.com/benchling, https://www.linkedin.com/company/benchling, https://benchling.com/</t>
  </si>
  <si>
    <t>bereal.com</t>
  </si>
  <si>
    <t>BeReal</t>
  </si>
  <si>
    <t>BeReal is building the first social network where people spontaneously share their real life. No filters. No followers. Just friends, sharing with each other. On BeReal, you discover your friends' real lives and get closer to them!</t>
  </si>
  <si>
    <t>Alexis Barreyat</t>
  </si>
  <si>
    <t>https://twitter.com/BeReal_App, https://www.linkedin.com/company/bereal-app, https://github.com/orgs/BeReal-App/dashboard, https://bereal.com/</t>
  </si>
  <si>
    <t>bighatbio.com</t>
  </si>
  <si>
    <t>BigHat Biosciences</t>
  </si>
  <si>
    <t>ML-guided design and development of next-generation antibody therapeutics</t>
  </si>
  <si>
    <t>https://twitter.com/BigHatBio, https://www.linkedin.com/company/bighat-biosciences/, https://www.bighatbio.com/</t>
  </si>
  <si>
    <t>bigscreenvr.com</t>
  </si>
  <si>
    <t>BigScreen</t>
  </si>
  <si>
    <t>With Bigscreen you can have your own Virtual Reality LAN party! Use your Windows computer on massive screens in a virtual space where you can hangout with friends, watch movies, and even play video games together.</t>
  </si>
  <si>
    <t>Darshan Shankar</t>
  </si>
  <si>
    <t>https://facebook.com/bigscreenvr, https://twitter.com/bigscreenvr, https://www.linkedin.com/company/bigscreen-vr/, https://bigscreenvr.com/</t>
  </si>
  <si>
    <t>biodock.ai</t>
  </si>
  <si>
    <t>Biodock</t>
  </si>
  <si>
    <t>Software platform for AI powered, high-throughput microscopy image analysis and data storage</t>
  </si>
  <si>
    <t>https://twitter.com/biodockai, https://www.linkedin.com/company/biodockai, https://www.biodock.ai/</t>
  </si>
  <si>
    <t>bitski.com</t>
  </si>
  <si>
    <t>Bitski</t>
  </si>
  <si>
    <t>Bitski is a developer-focused blockchain wallet infrastructure provider that allows creators, brands, and platforms to easily create, sell, and purchase NFTs. The company connects communities, creators, and brands through ownable digital content. Bitski aims to allow mainstream brands and celebrities to bypass the crypto complexity of earlymarketplaces.</t>
  </si>
  <si>
    <t>https://twitter.com/Bitski, https://www.linkedin.com/company/bitski, https://bitski.com/</t>
  </si>
  <si>
    <t>blackforestlabs.ai</t>
  </si>
  <si>
    <t>Black Forest Labs</t>
  </si>
  <si>
    <t>https://x.com/bfl_ml, https://www.linkedin.com/company/bflml/, https://blackforestlabs.ai/</t>
  </si>
  <si>
    <t>blackore.ai</t>
  </si>
  <si>
    <t>Black Ore Technologies</t>
  </si>
  <si>
    <t>https://twitter.com/BlackOreAI, https://www.linkedin.com/company/black-ore-technologies/, https://www.blackore.ai/</t>
  </si>
  <si>
    <t>blackbird.xyz</t>
  </si>
  <si>
    <t>Blackbird.xyz</t>
  </si>
  <si>
    <t>https://twitter.com/blackbird_xyz, https://blackbird.xyz/</t>
  </si>
  <si>
    <t>agebold.com</t>
  </si>
  <si>
    <t>Bold</t>
  </si>
  <si>
    <t>Digital clinical exercise platform that uses research and data science to improve health outcomes, lower care costs, and enable seniors to boldly age in place</t>
  </si>
  <si>
    <t>https://www.linkedin.com/company/agebold, https://agebold.com/</t>
  </si>
  <si>
    <t>bonfirestudios.com</t>
  </si>
  <si>
    <t>Bonfire Studios</t>
  </si>
  <si>
    <t>Bonfire Studios is an independent game studio located in sunny Irvine, California. Our purpose is to build friendships by creating legendary game experiences that bring players closer together, united in a sense of adventure, exploration and fellowship. At Bonfire being the best means being driven to excel, not as individuals but as a team. We believe that skill and experience are only part of the puzzle—an adventurous spirit, a commitment to excellence and a passion for iteration are essential.</t>
  </si>
  <si>
    <t>Rob Pardo</t>
  </si>
  <si>
    <t>https://www.facebook.com/BonfireStudios, https://twitter.com/BonfireStudios, https://www.linkedin.com/company/bonfire-studios-inc/, http://www.bonfirestudios.com/</t>
  </si>
  <si>
    <t>border0.com</t>
  </si>
  <si>
    <t>Border0</t>
  </si>
  <si>
    <t>Border0's product helps engineers get easy &amp; secure access to cloud resources (e.g., databases, SSH, and HTTP servers) without needing a VPN and using your existing SSO credentials.</t>
  </si>
  <si>
    <t>https://twitter.com/Border0HQ, https://www.linkedin.com/company/border0/, https://border0.com/</t>
  </si>
  <si>
    <t>bounce.com</t>
  </si>
  <si>
    <t>Bounce</t>
  </si>
  <si>
    <t>Bounce provides luggage storage for travelers and tourists in cities across the world.</t>
  </si>
  <si>
    <t>https://www.facebook.com/BounceYourStuff/, https://x.com/bouncemystuff, https://www.linkedin.com/company/bounceyourstuff/, https://www.instagram.com/bouncemystuff, https://bounce.com/</t>
  </si>
  <si>
    <t>braidsocial.io</t>
  </si>
  <si>
    <t>Braid Social</t>
  </si>
  <si>
    <t>Braid is taking the effort out of friendship by building personalized mini-games to spark genuine connections.</t>
  </si>
  <si>
    <t>https://twitter.com/BraidSocial, https://www.linkedin.com/company/braidsocial, https://www.braidsocial.io/</t>
  </si>
  <si>
    <t>braid.ai</t>
  </si>
  <si>
    <t>Braid.ai</t>
  </si>
  <si>
    <t>Build your community with a single link. Create beautiful pages to share updates, text followers, and bring your audience together in one place.</t>
  </si>
  <si>
    <t>https://www.linkedin.com/company/braidai/, https://braid.ai/</t>
  </si>
  <si>
    <t>braintrust.dev</t>
  </si>
  <si>
    <t>BrainTrust Data</t>
  </si>
  <si>
    <t>https://twitter.com/braintrustdata, https://www.linkedin.com/company/braintrust-data/, https://github.com/braintrustdata, https://www.braintrust.dev/</t>
  </si>
  <si>
    <t>branch.co</t>
  </si>
  <si>
    <t>Branch.co</t>
  </si>
  <si>
    <t>Branch delivers world-class financial services to the mobile generation. The spread of smartphones presents an incredible opportunity for the world's emerging middle class to access banking options and achieve financial flexibility. We are revolutionizing banking in Kenya, and will soon expand to other regions. Led by the founder and former CEO of Kiva.org, our team has unmatched experience in financial technology and emerging markets. Since our launch in April 2015, we've disbursed almost 100,000 individual loans and are growing rapidly. Our success has led to investments from Silicon Valley's leading VCs.</t>
  </si>
  <si>
    <t>Matthew Flannery, Daniel Jung</t>
  </si>
  <si>
    <t>https://www.facebook.com/branch.co/, https://twitter.com/branch_co, https://www.linkedin.com/company/branch-co/, https://branch.co/</t>
  </si>
  <si>
    <t>breederdao.io</t>
  </si>
  <si>
    <t>BreederDAO</t>
  </si>
  <si>
    <t>BreederDAO is a Philippines-based specialist manufacturer of digital assets for use in blockchain-based games and virtual worlds. BreederDAO is the NFT asset factory of blockchain games. We provide high-volume asset production, tailored to specification, for some of the largest guilds in the Metaverse so they can supercharge their Play-To-Earn economies.</t>
  </si>
  <si>
    <t>https://twitter.com/BreederDAO, https://www.linkedin.com/company/breederdao, https://breederdao.io/</t>
  </si>
  <si>
    <t>gobrightside.com</t>
  </si>
  <si>
    <t>Brightside</t>
  </si>
  <si>
    <t>Brightside is an employer-based financial health solution that combines personal assistants and an innovative partner platform. Brightside is inventing a new category of financial health company — Financial Care. Brightside provides employers with a complete platform of financial solutions, focused on the 2/3 of workers who are living paycheck to paycheck and driving the cost of poor financial health (turnover, healthcare costs, productivity, DEI, and safety) forcompanies with front-line workers. Brightside combines these solutions with tech-powered financial assistants and an app that ties it all together and helps influence employees and their families to better financial health.</t>
  </si>
  <si>
    <t>https://www.facebook.com/BrightsideBenefit/, https://twitter.com/Go_Brightside, https://www.linkedin.com/company/gobrightside/, https://gobrightside.com/</t>
  </si>
  <si>
    <t>bromium.com</t>
  </si>
  <si>
    <t>Bromium</t>
  </si>
  <si>
    <t>A new desktop virtualization solution that runs on existing devices by creating micro-VMs; every time the user initiates a new transaction, they create a thin in-memory clone of a VM state; everything is isolated in its in full-OS container; does not require the install of a native hypervisor on top of the core OS; uVMs are designed to be ephemeral + garbage collected (although you can save a state if you like); solution is completely secure because all transactions run in a uVM and all read/writes to VM0 (your pristine OS state) need to be approved by policy or the user.</t>
  </si>
  <si>
    <t>Gaurav Banga, Simon Crosby, Ian Pratt</t>
  </si>
  <si>
    <t>http://www.facebook.com/pages/Bromium/161237430622323, https://twitter.com/bromium, https://www.linkedin.com/company/bromium, https://www.bromium.com/</t>
  </si>
  <si>
    <t>cadre.com</t>
  </si>
  <si>
    <t>Cadre</t>
  </si>
  <si>
    <t>Cadre is the first digital investment marketplace that provides access to institutional, quality alternative assets. Co-Founder and CEO Ryan Williams launched Cadre in 2014. Its technology-driven platform enables investors to benefit from greater transparency, actionable information, lower fees, and more flexibility. Collectively, the Cadre team brings decades of experience from leading investment and technology firms, and partners with top operators who have the experience and local market expertise relevant to each transaction.</t>
  </si>
  <si>
    <t>https://www.facebook.com/CadreCRE/, https://twitter.com/CadreRE, https://www.linkedin.com/company/cadrere/, http://github.com/cadre, https://cadre.com/</t>
  </si>
  <si>
    <t>caffeine.tv</t>
  </si>
  <si>
    <t>Caffeine</t>
  </si>
  <si>
    <t>Caffeine is a new kind of broadcast company focused on the creation and distribution of live, interactive content. Our social broadcasting platform makes it simple for people to create their own shows and watch new interactive content with friends.</t>
  </si>
  <si>
    <t>Ben Keighran, Sam Roberts</t>
  </si>
  <si>
    <t>https://www.facebook.com/caffeine, https://twitter.com/caffeine, https://www.linkedin.com/company/caffeine.tv/, https://caffeine.tv/</t>
  </si>
  <si>
    <t>eastsolanoplan.com</t>
  </si>
  <si>
    <t>California Forever</t>
  </si>
  <si>
    <t>California Forever is building the next great American city.</t>
  </si>
  <si>
    <t>Jan Sramek</t>
  </si>
  <si>
    <t>https://x.com/EastSolanoPlan, https://www.linkedin.com/company/caforever/, https://eastsolanoplan.com/</t>
  </si>
  <si>
    <t>camu.ai</t>
  </si>
  <si>
    <t>Camu</t>
  </si>
  <si>
    <t>https://www.linkedin.com/company/camu-ai/, https://camu.ai/</t>
  </si>
  <si>
    <t>shopcanal.com</t>
  </si>
  <si>
    <t>Canal</t>
  </si>
  <si>
    <t>Canal is a distributed commerce platform that facilitates the retail or purchase of any product online. Canal is engaged in building a curated network of brands that are ready to unlock novel revenue streams wherein it reaches consumers at the point of purchase intent while shopping instead of post-purchase.</t>
  </si>
  <si>
    <t>Bennett Carroccio, Liam Kinney, Clay Schubiner</t>
  </si>
  <si>
    <t>https://twitter.com/getShopCanal, https://www.linkedin.com/company/shopcanal, https://www.instagram.com/withcanal/, https://shopcanal.com/</t>
  </si>
  <si>
    <t>cantoreality.com</t>
  </si>
  <si>
    <t>Canto Reality, Inc.</t>
  </si>
  <si>
    <t>Canto Reality Inc. is an exploratory research lab focused on building social experiences.</t>
  </si>
  <si>
    <t>https://cantoreality.com/</t>
  </si>
  <si>
    <t>cape.co</t>
  </si>
  <si>
    <t>Cape</t>
  </si>
  <si>
    <t>Cape is the privacy-first mobile network.</t>
  </si>
  <si>
    <t>https://www.facebook.com/people/Cape-Mobile/61561648672445/, https://x.com/CapeWireless, https://www.linkedin.com/company/capemvno/, https://www.cape.co/</t>
  </si>
  <si>
    <t>capriza.com</t>
  </si>
  <si>
    <t>Capriza</t>
  </si>
  <si>
    <t>Capriza's disruptive approach enables business professionals to create highly personalized apps what work the way you do with no coding.</t>
  </si>
  <si>
    <t>Amnon Landan, Yuval Scarlat, Oren Ariel, Ronnen Armon</t>
  </si>
  <si>
    <t>http://www.facebook.com/CaprizApps, https://twitter.com/capriza, http://www.linkedin.com/company/capriza, https://github.com/capriza, https://www.capriza.com/</t>
  </si>
  <si>
    <t>carbonated.com</t>
  </si>
  <si>
    <t>Carbonated</t>
  </si>
  <si>
    <t>Carbonated is focused on developing highly competitive games for mobile devices. Carbonated's main focus is its upcoming mobile shooter, which uses AI to make the typically hardcore genre more accessible and easier to play with just one hand. It is also developing its own live ops system, Carbyne, which it will use to quickly deliver updates to its game.</t>
  </si>
  <si>
    <t>https://twitter.com/carbgames?lang=en, https://a16z.com/portfolio/linkedin.com/company/carbonated-inc., https://www.carbonated.com/</t>
  </si>
  <si>
    <t>carry1st.com</t>
  </si>
  <si>
    <t>Carry1st</t>
  </si>
  <si>
    <t>Carry1st is a game developer content platform and publisher of interactive apps. Carry1st is a full-stack publisher of social games and interactive content with a focus on frontier markets like Africa.</t>
  </si>
  <si>
    <t>https://twitter.com/carry1st, https://www.linkedin.com/company/carry1st, https://carry1st.com/</t>
  </si>
  <si>
    <t>carta.com</t>
  </si>
  <si>
    <t>Carta</t>
  </si>
  <si>
    <t>Carta is the leading provider of equity management and company-building solutions that underpin the multi trillion-dollar private market ecosystem.</t>
  </si>
  <si>
    <t>Henry Ward, Manu Kumar</t>
  </si>
  <si>
    <t>https://twitter.com/cartainc, https://www.linkedin.com/company/carta--/, https://carta.com/</t>
  </si>
  <si>
    <t>cartography.bio</t>
  </si>
  <si>
    <t>Cartography Biosciences</t>
  </si>
  <si>
    <t>Precision immunotherapies designed against the safest, most effective oncology targets</t>
  </si>
  <si>
    <t>https://twitter.com/CartographyBio, https://www.linkedin.com/company/cartographybio/, https://cartography.bio/</t>
  </si>
  <si>
    <t>casai.com</t>
  </si>
  <si>
    <t>Casai</t>
  </si>
  <si>
    <t>Casai is a hospitality company that provides travelers with premium accommodations, locally sourced designs, and smart home technology.</t>
  </si>
  <si>
    <t>https://a16z.com/portfolio/www.facebook.com/wearecasai, https://a16z.com/portfolio/@wearecasai, https://a16z.com/portfolio/www.linkedin.com/wearecasai, https://www.casai.com/</t>
  </si>
  <si>
    <t>castelion.com</t>
  </si>
  <si>
    <t>Castelion</t>
  </si>
  <si>
    <t>Castelion exists to build the systems America and its partners need to keep a global technical edge. We design, test, and manufacture next-generation military systems rapidly and at massive scale to deter future wars.</t>
  </si>
  <si>
    <t>Seed, Venture</t>
  </si>
  <si>
    <t>https://twitter.com/CastelionCorp, https://www.linkedin.com/company/castelion/, https://www.castelion.com/</t>
  </si>
  <si>
    <t>cazena.com</t>
  </si>
  <si>
    <t>Cazena</t>
  </si>
  <si>
    <t>Big data is too hard and too slow. Enterprises need big data on demand. Cazena was founded by former Netezza leaders with a mission to radically simplify and speed up access to big data, allowing much faster business outcomes at a fraction of the cost. Cazena is backed by Andreessen Horowitz and North Bridge Venture Partners.</t>
  </si>
  <si>
    <t>Prat Moghe</t>
  </si>
  <si>
    <t>https://twitter.com/cazena, https://www.linkedin.com/company/cazena/, https://www.cazena.com/</t>
  </si>
  <si>
    <t>eveonline.com</t>
  </si>
  <si>
    <t>CCP Games</t>
  </si>
  <si>
    <t>CCP Games is an independent developer of massively multiplayer games (MMO). They are creators of boundless and fascinating universes. Their products feature EVE Online, Project M5, and FPS projects.</t>
  </si>
  <si>
    <t>https://www.facebook.com/ccpgames, https://twitter.com/eveonline/, https://www.linkedin.com/company/ccpgames, https://eveonline.com/</t>
  </si>
  <si>
    <t>cedar.com</t>
  </si>
  <si>
    <t>Cedar</t>
  </si>
  <si>
    <t>Cedar makes healthcare more affordable and accessible through a consumer-friendly platform powered by data science, smart product design, and personalization.</t>
  </si>
  <si>
    <t>Florian Otto &amp; Arel Lidow</t>
  </si>
  <si>
    <t>https://www.facebook.com/CedarNY/, https://twitter.com/CedarNY, https://www.linkedin.com/company/cedar-inc./, https://github.com/cedar-team/, https://cedar.com/</t>
  </si>
  <si>
    <t>clabs.co</t>
  </si>
  <si>
    <t>Celo</t>
  </si>
  <si>
    <t>Celo is an open platform that makes financial tools accessible to anyone with a mobile phone. Its mission is to build a monetary system that creates the conditions of prosperity for all.</t>
  </si>
  <si>
    <t>https://www.facebook.com/pg/celohq, https://twitter.com/CeloOrg, https://www.linkedin.com/company/celo-labs/, https://clabs.co/</t>
  </si>
  <si>
    <t>getcensus.com</t>
  </si>
  <si>
    <t>Census</t>
  </si>
  <si>
    <t>A Data Activation and Reverse ETL platform that delivers trusted data and audiences from your data warehouse into 150+ operational tools. We transform the data warehouse into a hub for marketing and business operations, empowering everyone to take action with trusted, actionable data.</t>
  </si>
  <si>
    <t>https://www.twitter.com/census, https://www.linkedin.com/company/getcensus, https://getcensus.com/</t>
  </si>
  <si>
    <t>charthop.com</t>
  </si>
  <si>
    <t>Charthop</t>
  </si>
  <si>
    <t>ChartHop is a dynamic people operations platform that connects and visualizes all your peoples' data to empower your organization through insights, alignment, and action.</t>
  </si>
  <si>
    <t>Ian White</t>
  </si>
  <si>
    <t>https://www.facebook.com/charthop, https://twitter.com/charthop, https://www.linkedin.com/company/charthop, https://github.com/charthop, https://charthop.com/</t>
  </si>
  <si>
    <t>chia.net</t>
  </si>
  <si>
    <t>Chia</t>
  </si>
  <si>
    <t>Chia Network is building a blockchain platform based on Proofs of space and time to make a cryptocurrency that is less wasteful, more decentralized, and more secure.</t>
  </si>
  <si>
    <t>Bram Cohen</t>
  </si>
  <si>
    <t>https://twitter.com/chia_project, https://www.linkedin.com/company/chia-network/, https://github.com/Chia-Network, https://chia.net/</t>
  </si>
  <si>
    <t>chipprofessionals.com</t>
  </si>
  <si>
    <t>CHIP Professionals</t>
  </si>
  <si>
    <t>Dana Wilson is a northern New Jersey native and a graduate of an HBCU with vast financial services experience. Throughout her career in financial services, she recognized a gap between consumers and access to financial professionals of color. Motivated by this experience, she founded CHIP (Changing How Individuals Prosper), a financial services marketplace that aims to address this gap by connecting consumers with a diverse range of financial professionals to best serve their needs and personal finance goals.</t>
  </si>
  <si>
    <t>https://twitter.com/CHIP_pros, https://www.linkedin.com/company/chip-professionals/, https://www.instagram.com/chipprofessionals/, https://www.chipprofessionals.com/</t>
  </si>
  <si>
    <t>shopcider.com</t>
  </si>
  <si>
    <t>Cider</t>
  </si>
  <si>
    <t>Cider is a globally-minded, social-first, Gen-Z fashion brand that uses data-driven buying, merchandising, and marketing strategies to create the ultimate flywheel of great selection and great prices.</t>
  </si>
  <si>
    <t>https://www.facebook.com/ShopCider/, https://twitter.com/shopcider, https://www.linkedin.com/company/shopcider/, https://shopcider.com/</t>
  </si>
  <si>
    <t>civitai.com</t>
  </si>
  <si>
    <t>Civitai</t>
  </si>
  <si>
    <t>Civitai is a social platform for sharing, creating and generating with fine-tuned AI image models.</t>
  </si>
  <si>
    <t>Justin Maier, Maxfield Hulker, Briant Diehl</t>
  </si>
  <si>
    <t>https://twitter.com/HelloCivitai, https://www.linkedin.com/company/civitai, https://github.com/civitai, https://civitai.com/</t>
  </si>
  <si>
    <t>clementine.games</t>
  </si>
  <si>
    <t>Clementine</t>
  </si>
  <si>
    <t>Clementine is building an open-source platform for multi-agent AI games.</t>
  </si>
  <si>
    <t>https://twitter.com/ClementineInc, https://github.com/clementine-tech, https://clementine.games/</t>
  </si>
  <si>
    <t>clerk.com</t>
  </si>
  <si>
    <t>Clerk</t>
  </si>
  <si>
    <t>Clerk develops a software application to provide a sign-up and sign-in page for any website and profile management. After signing in, users take control of their account security with multi-factor authentication and device management while preventing hacking threats.</t>
  </si>
  <si>
    <t>https://www.facebook.com/clerkdev, https://twitter.com/ClerkDev, https://www.linkedin.com/company/clerkinc/, https://github.com/clerkinc, https://clerk.com/</t>
  </si>
  <si>
    <t>clickup.com</t>
  </si>
  <si>
    <t>ClickUp</t>
  </si>
  <si>
    <t>ClickUp is one app to replace them all: the modern bundle of productivity and collaboration applications, all delivered in a single, unified platform.</t>
  </si>
  <si>
    <t>Zeb Evans, Alex Yurkowski</t>
  </si>
  <si>
    <t>https://www.facebook.com/clickupprojectmanagement/, https://www.twitter.com/clickup, https://a16z.com/portfolio/www.linkedin.com/company/clickup-app/, https://github.com/clickup, https://clickup.com/</t>
  </si>
  <si>
    <t>closingtheory.com</t>
  </si>
  <si>
    <t>Closing Theory Studios</t>
  </si>
  <si>
    <t>Closing Theory Studios is an independent game studio on a mission to bring the real world into games. Their first title, House Rush, is a real estate fantasy game with real homes.</t>
  </si>
  <si>
    <t>https://www.facebook.com/houserush, https://twitter.com/closingtheory, https://www.linkedin.com/company/closingtheory/, https://github.com/Closing-Theory/, https://closingtheory.com/</t>
  </si>
  <si>
    <t>clover.com</t>
  </si>
  <si>
    <t>Clover Network</t>
  </si>
  <si>
    <t>Clover is a payment network built from the ground up for mobile devices, aiming to radically improve the speed and security of online mobile transactions.</t>
  </si>
  <si>
    <t>https://www.clover.com/</t>
  </si>
  <si>
    <t>clubhouse.com</t>
  </si>
  <si>
    <t>Clubhouse</t>
  </si>
  <si>
    <t>Clubhouse is an audio-based social media app that makes it easy to hang out with friends, meet new ones, and talk about anything.</t>
  </si>
  <si>
    <t>Paul Davison, Rohan Seth</t>
  </si>
  <si>
    <t>https://twitter.com/clubhouse, https://www.linkedin.com/company/clubhouse-app/, https://clubhouse.com/</t>
  </si>
  <si>
    <t>withclutch.com</t>
  </si>
  <si>
    <t>Clutch</t>
  </si>
  <si>
    <t>https://www.facebook.com/withclutch/, https://www.linkedin.com/company/withclutch/, https://www.withclutch.com/</t>
  </si>
  <si>
    <t>usecocreate.io</t>
  </si>
  <si>
    <t>Co:Create</t>
  </si>
  <si>
    <t>Co:Create enables innovative brands to unlock the power of their community — fueled by our flexible, API-first community activation platform. With Co:Create, brands can now build custom, collaborative and self-owned reward experiences using; wallets, digital collectibles, drops, loyalty points, on-chain status and more.</t>
  </si>
  <si>
    <t>Tara Fung, Ankush Agarwal, Josh Rosenblatt</t>
  </si>
  <si>
    <t>https://twitter.com/usecocreate, https://www.linkedin.com/company/co-create-protocol/, https://usecocreate.io/</t>
  </si>
  <si>
    <t>coactive.ai</t>
  </si>
  <si>
    <t>Coactive</t>
  </si>
  <si>
    <t>Coactive AI is a machine learning platform that unlocks analytics and insights from unstructured image and video data. Coactive AI brings unstructured data and assists analysts in making image and video data useful. Providing unprecedented insights, ease of use, and lightning-fast speeds.</t>
  </si>
  <si>
    <t>Cody Coleman, Will Gaviria Rojas</t>
  </si>
  <si>
    <t>https://www.twitter.com/coactiveai, https://www.linkedin.com/company/coactiveai, https://coactive.ai/</t>
  </si>
  <si>
    <t>codecombat.com</t>
  </si>
  <si>
    <t>CodeCombat</t>
  </si>
  <si>
    <t>CodeCombat is a multiplayer programming game for learning how to code. CodeCombat creates game-based computer science programs that engage and captivate students as they learn to type real code. With thousands of schools and millions of students, CodeCombat is bringing K12 computer science education to everyone, regardless of gender, race, or background.</t>
  </si>
  <si>
    <t>https://www.facebook.com/codecombat, https://twitter.com/CodeCombat, https://www.linkedin.com/company/codecombat/, https://github.com/codecombat/codecombat, https://codecombat.com/</t>
  </si>
  <si>
    <t>codi.com</t>
  </si>
  <si>
    <t>Codi</t>
  </si>
  <si>
    <t>The commercial real estate industry is stuck in the past. Companies are shifting towards workplace flexibility, and long-term leases with an antiquated search process don’t fit their needs. Codi is solving this problem with private offices built for the way people work today. With easy move-ins, turnkey spaces, and no long-term leases, every company can find a space where their team can thrive.</t>
  </si>
  <si>
    <t>https://www.facebook.com/codicommunity, https://twitter.com/codiwork, https://www.linkedin.com/company/codiwork/about/, https://www.codi.com/</t>
  </si>
  <si>
    <t>comma.ai</t>
  </si>
  <si>
    <t>Comma.ai</t>
  </si>
  <si>
    <t>Comma is an autonomous car kit.</t>
  </si>
  <si>
    <t>George Hotz</t>
  </si>
  <si>
    <t>https://twitter.com/comma_ai, https://www.linkedin.com/company/comma.ai, https://github.com/commaai, https://comma.ai/</t>
  </si>
  <si>
    <t>cmdzero.io</t>
  </si>
  <si>
    <t>Command Zero</t>
  </si>
  <si>
    <t>https://twitter.com/cmdzero_io, https://www.linkedin.com/company/command-zero/, https://www.cmdzero.io/</t>
  </si>
  <si>
    <t>csm.ai</t>
  </si>
  <si>
    <t>Common Sense Machines</t>
  </si>
  <si>
    <t>CSM is disrupting the process of game-engine ready world building, regardless of skill level.</t>
  </si>
  <si>
    <t>https://twitter.com/CSM_ai, https://www.linkedin.com/company/common-sense-machines/?viewAsMember=true, https://csm.ai/</t>
  </si>
  <si>
    <t>compound.finance</t>
  </si>
  <si>
    <t>Compound</t>
  </si>
  <si>
    <t>We're blockchain enthusiasts working together in San Francisco, California with a mission to make Ethereum assets more efficient and productive. The majority of cryptocurrencies sit idle on exchanges and in wallets, yielding no interest. At Compound, we're creating interest rate markets to unlock the value of these assets, empowering investors with new opportunities to profit. We are developing an Ethereum protocol that establishes money markets with algorithmically set interest rates. Compound algorithmically adjusts money market interest rates based on asset-specific supply and demand. That means that for the first time, users and applications can frictionlessly exchange the time value of Ethereum assets without having to negotiate terms, rates, or complex flows. Each money market is transparent, auditable, and completely predictable; perfect for profit-seeking humans and machines alike.</t>
  </si>
  <si>
    <t>https://twitter.com/compoundfinance, https://www.linkedin.com/company/compoundfinance/, https://github.com/compound-finance/vault, https://compound.finance/</t>
  </si>
  <si>
    <t>concourse.co</t>
  </si>
  <si>
    <t>Concourse</t>
  </si>
  <si>
    <t>Concourse is building AI agents for corporate finance teams. Concourse works alongside finance teams to assist in day-to-day operations by taking on the most manual and time consuming work. Core to the platform is an AI analyst tailor-built for finance teams that is available at any hour of the day, accessible via natural language, and built with full connectivity to a company’s existing financial systems. Concourse enables team members to more effectively retrieve and analyze data, generate charts and reports, and answer ad-hoc questions.</t>
  </si>
  <si>
    <t>https://x.com/Concourse_ai, https://www.linkedin.com/company/concourseai/, http://concourse.co/</t>
  </si>
  <si>
    <t>convex.dev</t>
  </si>
  <si>
    <t>Convex</t>
  </si>
  <si>
    <t>Convex is a serverless infrastructure company that has built the global state management platform for web developers. Convex makes it dead-simple to store your app's shared state and sync it everywhere. As a developer, you interact with your shared state using JavaScript or TypeScript functions and bind that state to your reactive app.</t>
  </si>
  <si>
    <t>Jamie Turner, James Cowling, and Sujay Jayakar</t>
  </si>
  <si>
    <t>https://twitter.com/convex_dev, https://www.linkedin.com/company/convex-dev/, https://github.com/get-convex, https://convex.dev/</t>
  </si>
  <si>
    <t>coreloop.ai</t>
  </si>
  <si>
    <t>Core Loop</t>
  </si>
  <si>
    <t>Core Loop is building a next generation sandbox MMO with a deep player-driven economy and web3 integration. Players are invited to slay huge raid bosses and conquer territory in this dynamic, ever-changing world.</t>
  </si>
  <si>
    <t>Vincenzo Alagna, Dan Chao</t>
  </si>
  <si>
    <t>https://www.facebook.com/profile.php?id=100069337416098, https://twitter.com/WorldEternalMMO, https://www.linkedin.com/company/core-loop-games/, https://coreloop.ai/</t>
  </si>
  <si>
    <t>counsel.health</t>
  </si>
  <si>
    <t>Counsel Health</t>
  </si>
  <si>
    <t>Counsel is a physician-led, AI-native clinical service that provides patients 24/7 access to the world's highest quality medical advice from real clinicians.</t>
  </si>
  <si>
    <t>https://counsel.health/</t>
  </si>
  <si>
    <t>craterstudiosgames.com</t>
  </si>
  <si>
    <t>Crater Studios</t>
  </si>
  <si>
    <t>Crater Studios is revolutionizing the gaming industry by introducing a new category of micro-AAA games that bridge the gap for the next generation of gamers.</t>
  </si>
  <si>
    <t>https://twitter.com/crater_studios, https://craterstudiosgames.com/</t>
  </si>
  <si>
    <t>createra.fun</t>
  </si>
  <si>
    <t>Createra</t>
  </si>
  <si>
    <t>Createra is a UGC gaming metaverse platform that enable creators to build infinitely engaging 3D worlds and games. It is based on the fundamental belief that creativity is a talent that everyone possesses.</t>
  </si>
  <si>
    <t>https://www.facebook.com/Codemaoteam/, https://twitter.com/CreatEra_, https://www.linkedin.com/company/createra/about/, https://createra.fun/</t>
  </si>
  <si>
    <t>creatordao.com</t>
  </si>
  <si>
    <t>CreatorDAO</t>
  </si>
  <si>
    <t>CreatorDAO is a decentralized community that invests in creators by providing capital, technology, and operational support.</t>
  </si>
  <si>
    <t>https://twitter.com/joincreatordao, https://www.linkedin.com/company/creatordao, https://creatordao.com/</t>
  </si>
  <si>
    <t>cresta.com</t>
  </si>
  <si>
    <t>Cresta</t>
  </si>
  <si>
    <t>Cresta augments sales and support agents by using state-of-the-art AI to provide real-time suggestions and coaching that dramatically increases the effectiveness and efficiency of every agent. Fortune 500 companies use Cresta to drive millions of dollars in additional top-line revenue for their teams.</t>
  </si>
  <si>
    <t>Zayd Enam, Tim Shi, Sebastian Thrun</t>
  </si>
  <si>
    <t>https://twitter.com/cresta, https://www.linkedin.com/company/cresta-inc/, https://cresta.com/</t>
  </si>
  <si>
    <t>crossriver.com</t>
  </si>
  <si>
    <t>Cross River Bank</t>
  </si>
  <si>
    <t>Cross River provides full-stack technology infrastructure to help businesses to deliver core fintech solutions at scale—from payments and cards to lending and crypto—to businesses and consumers across the globe.</t>
  </si>
  <si>
    <t>Gilles Gade</t>
  </si>
  <si>
    <t>https://www.facebook.com/crossriversocial/, https://twitter.com/crossriverbank, https://www.linkedin.com/company/cross-river-bank/, https://www.crossriver.com/</t>
  </si>
  <si>
    <t>crossbeam.com</t>
  </si>
  <si>
    <t>Crossbeam</t>
  </si>
  <si>
    <t>Crossbeam is a partner ecosystem that helps companies build more valuable partnerships. By acting as an escrow for data, Crossbeam allows companies to find overlapping customers and prospects with their partners while keeping the rest of their data secure.</t>
  </si>
  <si>
    <t>Bob Moore &amp; Buck Ryan</t>
  </si>
  <si>
    <t>https://twitter.com/crossbeam, https://www.linkedin.com/company/getcrossbeam, https://crossbeam.com/</t>
  </si>
  <si>
    <t>cruxclimate.com</t>
  </si>
  <si>
    <t>Crux</t>
  </si>
  <si>
    <t>https://twitter.com/cruxclimate, https://www.linkedin.com/company/cruxclimate/about/, https://cruxclimate.com/</t>
  </si>
  <si>
    <t>onchainstudios.com</t>
  </si>
  <si>
    <t>Cryptoys</t>
  </si>
  <si>
    <t>A software company that intends to bring ownership to interactive experiences.</t>
  </si>
  <si>
    <t>https://twitter.com/Cryptoys, https://www.linkedin.com/company/onchainstudios/, https://onchainstudios.com/</t>
  </si>
  <si>
    <t>cuenca.com</t>
  </si>
  <si>
    <t>Cuenca</t>
  </si>
  <si>
    <t>Cuenca is a developer of an online banking application designed to provide financial services digitally. The company's application provides savings by allowing interest rates and offers loan facilities, enabling users to securely deposit or borrow money digitally and pay it back according to their convenience.</t>
  </si>
  <si>
    <t>https://www.facebook.com/cuencamexico, https://twitter.com/cuenca_mx, https://www.linkedin.com/company/cuenca, https://github.com/cuenca-mx, https://cuenca.com/</t>
  </si>
  <si>
    <t>cultofthenorth.com</t>
  </si>
  <si>
    <t>Cult of the North</t>
  </si>
  <si>
    <t>Cult of the North is building the next generation of intense multiplayer experiences for PC and console. Based in Stockholm, Sweden.</t>
  </si>
  <si>
    <t>https://twitter.com/CultOfTheNorth, https://www.linkedin.com/company/cultofthenorth/, https://www.cultofthenorth.com/</t>
  </si>
  <si>
    <t>goculturewireless.com</t>
  </si>
  <si>
    <t>Culture Wireless</t>
  </si>
  <si>
    <t>Al Adjahoe, a DC native, along with Jerome Howard and William “Bam” Sparks, Georgia natives, each possess a unique set of accomplishments, spanning fields as diverse as IT infrastructure to brand strategy. Individually, they’ve demonstrated the entrepreneurial spirit through building small businesses that have made significant positive contributions to their respective communities. The trio decided to join forces to tackle a substantial challenge: connectivity within specific communities. They founded Culture Wireless, an internet service provider that aims to deliver affordable and high-quality internet service to underserved communities.</t>
  </si>
  <si>
    <t>https://www.facebook.com/theculturewireless/, https://twitter.com/CultureWireless, https://www.instagram.com/culturewireless/?hl=en, https://www.goculturewireless.com/</t>
  </si>
  <si>
    <t>current.com</t>
  </si>
  <si>
    <t>Current</t>
  </si>
  <si>
    <t>Current is a US fintech platform dedicated to empowering Americans in their pursuit of a brighter financial future. They strive to transform lives by offering innovative and motivational solutions tailored to members' immediate needs, with the flexibility to evolve alongside them and unlock opportunities for enhanced financial growth.</t>
  </si>
  <si>
    <t>Stuart Sopp</t>
  </si>
  <si>
    <t>https://www.facebook.com/CurrentDebitCard, https://twitter.com/current, https://www.linkedin.com/company/current/, https://current.com/</t>
  </si>
  <si>
    <t>cursor.sh</t>
  </si>
  <si>
    <t>Cursor</t>
  </si>
  <si>
    <t>Cursor is the best way to code with AI, and built to make you extraordinarily productive.</t>
  </si>
  <si>
    <t>https://twitter.com/cursor_ai, https://github.com/getcursor/cursor, https://cursor.sh/</t>
  </si>
  <si>
    <t>cygnvs.com</t>
  </si>
  <si>
    <t>CYGNVS</t>
  </si>
  <si>
    <t>CYGNVS provides a cyber crisis response platform designed to help organizations stay connected, confident, in control, and compliant before, during, and after a cyber crisis.</t>
  </si>
  <si>
    <t>Arvind Parthasarathi</t>
  </si>
  <si>
    <t>https://twitter.com/CygnvsInc, https://www.linkedin.com/company/cygnvs/, https://cygnvs.com/</t>
  </si>
  <si>
    <t>cyngn.com</t>
  </si>
  <si>
    <t>Cyngn</t>
  </si>
  <si>
    <t>Cyngn's autonomous vehicle software integrates with a suite of commercially available sensors and hardware to deliver safe, scalable, and efficient self-driving vehicle solutions to industrial organizations. Our solution is vehicle agnostic, which means heterogeneous fleets can tap into autonomy, switching easily between fully-autonomous, remotely-controlled, and manual modes.</t>
  </si>
  <si>
    <t>Lior Tal</t>
  </si>
  <si>
    <t>https://www.facebook.com/officialcyngn, https://twitter.com/cyngn, https://www.linkedin.com/company/cyngn/, https://www.cyngn.com/</t>
  </si>
  <si>
    <t>d2iq.com</t>
  </si>
  <si>
    <t>D2iQ</t>
  </si>
  <si>
    <t>D2iQ offers elastically run containers and data services at scale, with complete hybrid cloud portability.</t>
  </si>
  <si>
    <t>Florian Leibert, Tobi Knaup, Ben Hindman</t>
  </si>
  <si>
    <t>https://www.facebook.com/MesosphereCloud, https://twitter.com/D2iQ, https://www.linkedin.com/company/d2iq/mycompany/, https://github.com/mesosphere, https://d2iq.com/</t>
  </si>
  <si>
    <t>dapperlabs.com</t>
  </si>
  <si>
    <t>Dapper Labs</t>
  </si>
  <si>
    <t>Dapper Labs—the company behind CryptoKitties, NBA Top Shot, NFL All Day, UFC Strike, and the Flow blockchain—takes NFTs and blockchain gaming mainstream.</t>
  </si>
  <si>
    <t>Roham Gharegozlou</t>
  </si>
  <si>
    <t>https://www.facebook.com/CryptoKitties/, https://twitter.com/dapperlabs, https://www.linkedin.com/company/dapper-labs, https://dapperlabs.com/</t>
  </si>
  <si>
    <t>daredrop.com</t>
  </si>
  <si>
    <t>Dare Drop</t>
  </si>
  <si>
    <t>Dare Drop is a community marketing platform connecting brands to their social communities. 164% more creators in 2023, 76% through unpaid referrals. $2.1m bookings in 2023, 275% growth YoY, and 147% NDR.</t>
  </si>
  <si>
    <t>https://www.facebook.com/daredrops/, https://twitter.com/daredrops, https://www.linkedin.com/company/dare-drop, https://daredrop.com/</t>
  </si>
  <si>
    <t>databricks.com</t>
  </si>
  <si>
    <t>Databricks</t>
  </si>
  <si>
    <t>Databricks is the pioneer of the data lakehouse, a unified platform for data science, machine learning, data engineering, and analytics. Founded by the original creators of Apache Spark™, Delta Lake and MLflow, Databricks is on a mission to accelerate AI innovation and help data teams solve the world’s toughest problems with its industry-leading Databricks Lakehouse Platform.</t>
  </si>
  <si>
    <t>Ali Ghodsi, Ion Stoica, Matei Zaharia, Patrick Wendell, Reynold Xin, Andy Konwinski, Arsalan Tavakoli-Shiraji</t>
  </si>
  <si>
    <t>https://www.facebook.com/databricksinc/, https://twitter.com/databricks, https://www.linkedin.com/company/databricks/, https://github.com/databricks, https://databricks.com/</t>
  </si>
  <si>
    <t>datanomik.com</t>
  </si>
  <si>
    <t>Datanomik</t>
  </si>
  <si>
    <t>Datanomik simplifies financial data access across Latin America offering a multi-bank cash management solution.</t>
  </si>
  <si>
    <t>https://twitter.com/datanomik?lang=en, https://www.linkedin.com/company/datanomik/, https://www.datanomik.com/en/</t>
  </si>
  <si>
    <t>godaylight.com</t>
  </si>
  <si>
    <t>Daylight</t>
  </si>
  <si>
    <t>Daylight is building a decentralized protocol that will allow developers to program the energy grid through distributed energy resources.</t>
  </si>
  <si>
    <t>https://x.com/daylightenergy_, https://www.linkedin.com/company/daylightenergy/, https://godaylight.com/</t>
  </si>
  <si>
    <t>daze.nyc</t>
  </si>
  <si>
    <t>Daze</t>
  </si>
  <si>
    <t>Willem Simons</t>
  </si>
  <si>
    <t>https://twitter.com/DazeChat, https://www.linkedin.com/company/dazemarblemedia/, https://www.instagram.com/daze.chat/, https://daze.nyc/</t>
  </si>
  <si>
    <t>getdbt.com</t>
  </si>
  <si>
    <t>dbt Labs</t>
  </si>
  <si>
    <t>dbt Labs is on a mission to empower data practitioners to create and disseminate organizational knowledge. The team pioneered the practice of analytics engineering, built the primary tool in the analytics engineering toolbox, and have gathered a community to push the boundaries of the analytics engineering workflow.</t>
  </si>
  <si>
    <t>Tristan Handy</t>
  </si>
  <si>
    <t>https://www.twitter.com/dbt_labs, https://www.linkedin.com/company/dbtlabs/, https://github.com/dbt-labs/dbt-core, https://www.getdbt.com/</t>
  </si>
  <si>
    <t>decagon.ai</t>
  </si>
  <si>
    <t>Decagon</t>
  </si>
  <si>
    <t>https://twitter.com/DecagonAI, https://www.linkedin.com/company/decagon-ai/, https://decagon.ai/</t>
  </si>
  <si>
    <t>deel.com</t>
  </si>
  <si>
    <t>Deel</t>
  </si>
  <si>
    <t>Deel is the all-in-one HR platform for global teams. The platform helps companies simplify every aspect of managing an international workforce, from culture and onboarding to local payroll and compliance. Deel works for independent contractors and full-time employees in more than 150 countries, compliantly.</t>
  </si>
  <si>
    <t>Alex Bouaziz, Shuo Wang, Philippe Bouaziz</t>
  </si>
  <si>
    <t>https://www.facebook.com/GetDeel, https://twitter.com/deel, https://www.linkedin.com/company/deel, http://www.deel.com/</t>
  </si>
  <si>
    <t>deepcell.com</t>
  </si>
  <si>
    <t>Deepcell</t>
  </si>
  <si>
    <t>Combining advances in AI and single-cell analysis to develop an automated platform for use in translational research, diagnostic testing, and therapeutics</t>
  </si>
  <si>
    <t>https://twitter.com/deepcell_inc, https://www.linkedin.com/company/deepcell-inc/, https://deepcell.com/</t>
  </si>
  <si>
    <t>deeprmusic.com</t>
  </si>
  <si>
    <t>Deepr</t>
  </si>
  <si>
    <t>Austin Webster grew up in Memphis and has a design background with over 15 years of practical experience in the fields of industrial design and product/software development, working with teams to deliver products to Fortune 500 retailers. But it was his passion for music led him to found Deepr, a music discovery platform that uses artificial intelligence to help users find new music they love. Darrell Thompson, a 30-year music industry vet, joined Austin as a cofounder after witnessing his hustle and passion.</t>
  </si>
  <si>
    <t>https://www.instagram.com/deeprmusic/, https://www.deeprmusic.com/</t>
  </si>
  <si>
    <t>djv.ai</t>
  </si>
  <si>
    <t>dejavu</t>
  </si>
  <si>
    <t>Dejavu creates spatial environments for Apple Vision Pro that feel so real you'll believe you've been there before. Repeat founders, proprietary deep tech, and market demand from blue-chip enterprise customers.</t>
  </si>
  <si>
    <t>https://twitter.com/djv_ai, https://www.linkedin.com/company/djv-ai/, https://djv.ai/</t>
  </si>
  <si>
    <t>delphix.com</t>
  </si>
  <si>
    <t>Delphix</t>
  </si>
  <si>
    <t>https://www.facebook.com/DelphixCorp/, https://twitter.com/delphix, https://www.linkedin.com/company/delphix/, https://www.delphix.com/</t>
  </si>
  <si>
    <t>delv.tech</t>
  </si>
  <si>
    <t>DELV</t>
  </si>
  <si>
    <t>DELV (formerly Element Finance) is building the complete suite of decentralized finance. From core infrastructure to structured products, our protocols work together to help create and usher in the new financial system.</t>
  </si>
  <si>
    <t>https://twitter.com/element_fi, https://www.linkedin.com/company/delv-tech, https://delv.tech/</t>
  </si>
  <si>
    <t>descript.com</t>
  </si>
  <si>
    <t>Descript</t>
  </si>
  <si>
    <t>All-in-one audio &amp; video editing, as easy as a doc.</t>
  </si>
  <si>
    <t>Andrew Mason (founder of Groupon)</t>
  </si>
  <si>
    <t>https://www.facebook.com/descriptapp/, https://twitter.com/descriptapp, https://www.linkedin.com/company/18383806/, https://www.descript.com/</t>
  </si>
  <si>
    <t>deso.org</t>
  </si>
  <si>
    <t>DeSO</t>
  </si>
  <si>
    <t>https://twitter.com/desoprotocol, https://deso.org/</t>
  </si>
  <si>
    <t>devoted.com</t>
  </si>
  <si>
    <t>Devoted Health</t>
  </si>
  <si>
    <t>Tech-enabled payvider delivering population-scale, value-based care, starting with seniors</t>
  </si>
  <si>
    <t>https://www.linkedin.com/company/devoted-health/, https://www.devoted.com/</t>
  </si>
  <si>
    <t>dfinity.org</t>
  </si>
  <si>
    <t>Dfinity</t>
  </si>
  <si>
    <t>The DFINITY Foundation's mission is to build, promote, and maintain the Internet Computer — and by doing so, improve the world. The Internet Computer extends the functionality of the internet from connecting billions ofpeople to also providing millions of developers and entrepreneurs with a public compute platform — creating a revolutionary new way to build websites, enterprise systems and internet services within an open environment. This public software development platform is created by independent data centers around the world combining computing power using an advanced decentralized protocol called Internet Computer Protocol (ICP). This generational shift in computing aims to take on Big Tech and return the internet back to its free and open roots.</t>
  </si>
  <si>
    <t>Venture, Growth</t>
  </si>
  <si>
    <t>Dominic Williams</t>
  </si>
  <si>
    <t>https://twitter.com/DFINITY, https://www.linkedin.com/company/dfinity, https://github.com/dfinity, https://dfinity.org/</t>
  </si>
  <si>
    <t>dialpad.com</t>
  </si>
  <si>
    <t>Dialpad</t>
  </si>
  <si>
    <t>UberConference brings a whole new visual dimension to audio conference calling. It's a revolutionary conference experience. It's a revolutionary conference experience.</t>
  </si>
  <si>
    <t>Craig Walker, Brian Peterson, John Rector, Alex Cornell</t>
  </si>
  <si>
    <t>https://www.facebook.com/Dialpadhq/, https://twitter.com/dialpad/, https://www.linkedin.com/company/dialpad/life/, https://dialpad.com/</t>
  </si>
  <si>
    <t>dispatch.ai</t>
  </si>
  <si>
    <t>Dispatch</t>
  </si>
  <si>
    <t>Dispatch is creating a platform for local delivery powered by a fleet of autonomous vehicles designed for sidewalks and pedestrian spaces.</t>
  </si>
  <si>
    <t>https://twitter.com/dispatch_ai, https://dispatch.ai/</t>
  </si>
  <si>
    <t>distributional.com</t>
  </si>
  <si>
    <t>Distributional</t>
  </si>
  <si>
    <t>https://x.com/dbnlAI, https://www.linkedin.com/company/dbnlai/, https://www.distributional.com/</t>
  </si>
  <si>
    <t>divvyhomes.com</t>
  </si>
  <si>
    <t>Divvy Homes</t>
  </si>
  <si>
    <t>Divvy Homes is a tech-enabled real estate platform that facilitates rent-to-own home purchases. Its platform selects any home on the market and buys it for the renter who in turn makes down payments and gets a jump start on owning a house, enabling customers to close the housing affordability gap.</t>
  </si>
  <si>
    <t>Venture, M&amp;A</t>
  </si>
  <si>
    <t>Adena Hefets, Nick Clark, Brian Ma, Alex Klarfield</t>
  </si>
  <si>
    <t>https://twitter.com/divvyhomes, https://www.linkedin.com/company/divvy-homes, https://github.com/DivvyHomes, https://divvyhomes.com/</t>
  </si>
  <si>
    <t>donotpay.com</t>
  </si>
  <si>
    <t>DoNotPay</t>
  </si>
  <si>
    <t>DoNotPay is an online robot lawyer that allows anyone to automatically claim asylum in the U.S, U.K, and Canada for free.</t>
  </si>
  <si>
    <t>https://www.linkedin.com/company/donotpay/, https://donotpay.com/</t>
  </si>
  <si>
    <t>doppel.com</t>
  </si>
  <si>
    <t>Doppel</t>
  </si>
  <si>
    <t>Kevin Tian, Rahul Madduluri</t>
  </si>
  <si>
    <t>https://twitter.com/DoppelHQ, https://www.linkedin.com/company/doppelhq/, https://www.doppel.com/</t>
  </si>
  <si>
    <t>doxel.ai</t>
  </si>
  <si>
    <t>Doxel</t>
  </si>
  <si>
    <t>What we do
Human error in construction costs the world about $3 Trillion/yr and is largely responsible for over 50% of construction projects running over schedule.
Using 3D computer vision and deep learning, our software turns off the shelf sensors into error detection tools for construction projects - giving project managers superhuman powers to spot critical issues that they otherwise couldn't.
This significantly reduces costs, and more importantly reduces the risk of a project running over schedule.
Who we are
We're a team of geeks from Stanford and UMich who are passionate about applying computer vision to dusty industries that have been neglected by technology.</t>
  </si>
  <si>
    <t>http://www.twitter.com/@doxel_ai, https://www.linkedin.com/company/doxel-sr-autonomous-inc.-?trk=top_nav_home, https://www.doxel.ai/</t>
  </si>
  <si>
    <t>dreamore.app</t>
  </si>
  <si>
    <t>Dream Voyage Inc.</t>
  </si>
  <si>
    <t>Dream Voyage gamifies spiritual journeys by blending astrology, tarot, and daily rituals. To date, Dream Voyage has served 150k+ users with a founding team that formerly built products at Tinder, Nauto, and Databricks.</t>
  </si>
  <si>
    <t>https://twitter.com/cocoyaly, https://www.linkedin.com/company/dreamvoyage/, https://dreamore.app/</t>
  </si>
  <si>
    <t>dwolla.com</t>
  </si>
  <si>
    <t>Dwolla</t>
  </si>
  <si>
    <t>Dwolla is a payment services provider powering innovations with sophisticated account-to-account payment solutions. Dwolla’s modern API simplifies the complex process of integrating with the various payment networks to create a single end-to-end solution–giving businesses the ability to program payments on the same day, next day or in real-timedirectly to bank accounts. With minimal development, start-ups to Fortune 500 companies can gain efficiency, flexibility and improved cash flow by working with Dwolla.</t>
  </si>
  <si>
    <t>Ben Milne</t>
  </si>
  <si>
    <t>https://www.facebook.com/dwolla, https://twitter.com/dwolla, https://www.linkedin.com/company/dwolla/, https://www.dwolla.com/</t>
  </si>
  <si>
    <t>dydx.exchange</t>
  </si>
  <si>
    <t>dYdX</t>
  </si>
  <si>
    <t>dYdX is a leading decentralized exchange offering Perpetual, Margin, &amp; Spot trading, as well as borrow / lend pools on Ethereum. dYdX is a leading decentralized exchange built by developers on a mission to build open, secure, and powerful financial products. dYdX runs on audited smart contracts on Ethereum, which eliminates the need to trust a central exchange while trading. We combine the security and transparency of a decentralized exchange, with the speed and usability of a centralized exchange.</t>
  </si>
  <si>
    <t>https://twitter.com/dYdX, https://dydx.exchange/</t>
  </si>
  <si>
    <t>dynamic.xyz</t>
  </si>
  <si>
    <t>Dynamic Labs, Inc.</t>
  </si>
  <si>
    <t>Dynamic is multi-chain wallet-based authentication and authorization platform.</t>
  </si>
  <si>
    <t>Itai Turbahn and Yoni Goldberg</t>
  </si>
  <si>
    <t>https://twitter.com/dynamic_xyz, https://www.linkedin.com/company/dynamiclabs, https://dynamic.xyz/</t>
  </si>
  <si>
    <t>dynotx.com</t>
  </si>
  <si>
    <t>Dyno Therapeutics</t>
  </si>
  <si>
    <t>Solving in vivo gene delivery with AI-powered AAV vectors</t>
  </si>
  <si>
    <t>https://twitter.com/dyno_tx, https://www.linkedin.com/company/dynotx, https://dynotx.com/</t>
  </si>
  <si>
    <t>e-3.tech</t>
  </si>
  <si>
    <t>E-3 Tech</t>
  </si>
  <si>
    <t>https://e-3.tech/</t>
  </si>
  <si>
    <t>earli.com</t>
  </si>
  <si>
    <t>Earli</t>
  </si>
  <si>
    <t>Engineered biology platform for early disease detection by forcing cancer cells to produce synthetic biomarkers</t>
  </si>
  <si>
    <t>https://twitter.com/goearli, https://www.linkedin.com/company/earli/, https://earli.com/</t>
  </si>
  <si>
    <t>earnbetter.com</t>
  </si>
  <si>
    <t>EarnBetter</t>
  </si>
  <si>
    <t>EarnBetter is building an AI-native copilot for your job search.</t>
  </si>
  <si>
    <t>https://www.facebook.com/earnbetterHQ/, https://twitter.com/EarnBetterHQ, https://www.linkedin.com/company/earnbetter/, https://www.instagram.com/earnbetterhq/, https://earnbetter.com/</t>
  </si>
  <si>
    <t>earnin.com</t>
  </si>
  <si>
    <t>Earnin</t>
  </si>
  <si>
    <t>Earnin is the new, faster way to get your paycheck. Unlike traditional, rigid paychecks that only show up every two weeks, Earnin gives you access to your pay as you earn it -- any time, any day, right from your smartphone. Earnin charges no fee or interest for using the service: instead, with each transaction users are given the opportunity topay what they believe is fair</t>
  </si>
  <si>
    <t>Ram Palaniappan</t>
  </si>
  <si>
    <t>https://www.facebook.com/EarninOfficial/, https://twitter.com/earnin, https://www.linkedin.com/company/earnin/, https://www.earnin.com/</t>
  </si>
  <si>
    <t>eclypsium.com</t>
  </si>
  <si>
    <t>Eclypsium</t>
  </si>
  <si>
    <t>Eclypsium’s cloud-based platform provides supply chain security for critical software, firmware and hardware in enterprise infrastructure. Eclypsium helps enterprises and government agencies mitigate risks to their infrastructure from complex technology supply chains.</t>
  </si>
  <si>
    <t>Yuriy Bulygin, Alex Bazhaniuk</t>
  </si>
  <si>
    <t>https://twitter.com/eclypsium, https://www.linkedin.com/company/eclypsium, https://github.com/eclypsium, https://www.eclypsium.com/</t>
  </si>
  <si>
    <t>eco.com</t>
  </si>
  <si>
    <t>Eco</t>
  </si>
  <si>
    <t>Eco enables any onchain action to be a simple, one-click stablesend. With Eco, apps can easily accept anyone’s preferred stablecoin, regardless of the network — unlocking stablecoin liquidity from any connected chain and giving users the simplest onchain experience. To make this possible, the Eco Protocol brings together Routes, Accounts, and Crowd Liquidity (coming soon) to give app developers the ultimate flexibility while prioritizing speed, cost, and security.</t>
  </si>
  <si>
    <t>https://twitter.com/Eco, https://github.com/eco-association, https://eco.com/</t>
  </si>
  <si>
    <t>eigenlayer.xyz</t>
  </si>
  <si>
    <t>EigenLayer</t>
  </si>
  <si>
    <t>https://twitter.com/eigenlayer, https://eigenlayer.xyz/</t>
  </si>
  <si>
    <t>elegenbio.com</t>
  </si>
  <si>
    <t>Elegen</t>
  </si>
  <si>
    <t>Blazing a path towards a biology-based economy with fast, reliable, and accurate DNA synthesis</t>
  </si>
  <si>
    <t>https://www.linkedin.com/company/elegenbio/, https://www.elegenbio.com/</t>
  </si>
  <si>
    <t>elevenlabs.io</t>
  </si>
  <si>
    <t>ElevenLabs</t>
  </si>
  <si>
    <t>ElevenLabs is a voice AI research &amp; deployment company with a mission to make content universally accessible in any language &amp; voice. ElevenLabs creates the most realistic, versatile and contextually-aware AI audio, providing the ability to generate speech in hundreds of new and existing voices in over 20 languages. As a technology research company, ElevenLabs is at the forefront of developing new cutting-edge voice AI. We deploy the most advanced models and features accessible via web app or API to a user base from creators to publishers and beyond.</t>
  </si>
  <si>
    <t>https://twitter.com/elevenlabsio, https://www.linkedin.com/company/elevenlabsio/, https://github.com/elevenlabs, https://elevenlabs.io/</t>
  </si>
  <si>
    <t>elodie.games</t>
  </si>
  <si>
    <t>Elodie</t>
  </si>
  <si>
    <t>Elodie Games connect gamers around the globe by creating games with deep co-op gameplay and endlessly engaging experiences.</t>
  </si>
  <si>
    <t>David Banks, Christina Norman</t>
  </si>
  <si>
    <t>https://twitter.com/elodie_games, https://www.linkedin.com/company/elodie-games, https://elodie.games/</t>
  </si>
  <si>
    <t>elsewhere.zone</t>
  </si>
  <si>
    <t>Elsewhere</t>
  </si>
  <si>
    <t>Elsewhere is an online co-op roguelike game, building the first live-service “forever” game (e.g., League of Legends, Fortnite) in the mold of indie roguelike hits like Hades, Dead Cells, and Risk of Rain 2. The game utilizes procedural generation and AI to create novel experiences and infinite replayability.</t>
  </si>
  <si>
    <t>https://twitter.com/ElsewhereZone, https://www.linkedin.com/company/elsewherezonegaming, https://elsewhere.zone/</t>
  </si>
  <si>
    <t>end.gg</t>
  </si>
  <si>
    <t>End Game</t>
  </si>
  <si>
    <t>End Game Interactive is a game development company that built third-party apps for games such as Pokévision. End Game Interactive is a developer of ZombsRoyale.io, a real-time multiplayer shooter that runs in browsers across numerous platforms.</t>
  </si>
  <si>
    <t>https://twitter.com/EndGameCo, https://end.gg/</t>
  </si>
  <si>
    <t>engflow.com</t>
  </si>
  <si>
    <t>EngFlow</t>
  </si>
  <si>
    <t>EngFlow is a build acceleration startup that builds source code and runs tests on their local machines. It optimizes software development by providing fast builds and tests, making build results more accessible, and improving core Bazel to meet requirements. With support for Bazel, Chromium, and the Android Platform, it enables its enterprise customers to build and test their source code more efficiently</t>
  </si>
  <si>
    <t>Helen Altshuler, Ulf Adams</t>
  </si>
  <si>
    <t>https://twitter.com/EngFlow, https://www.linkedin.com/company/engflow, https://github.com/EngFlow, https://www.engflow.com/</t>
  </si>
  <si>
    <t>entropy.xyz</t>
  </si>
  <si>
    <t>Entropy</t>
  </si>
  <si>
    <t>Entropy provides crypto custody services to keep private keys secure and make assets available on demand. Its services specialize in creating a decentralized network leveraging advanced threshold cryptography and multi-party computation.</t>
  </si>
  <si>
    <t>https://twitter.com/entropydotxyz, https://entropy.xyz/</t>
  </si>
  <si>
    <t>envoy.com</t>
  </si>
  <si>
    <t>Envoy</t>
  </si>
  <si>
    <t>Envoy is transforming modern workplaces for flexible work to bring people together so they can connect, collaborate, and thrive. Envoy’s workplace platform has redefined how companies welcome visitors, improve the employee experience, book desks and conference rooms, and manage deliveries in 16,000 locations around the globe by designing products for a flexible workplace experience. Companies like Slack, Pinterest, and Warby Parker rely on Envoy to create an unrivaled first impression and keep their offices secure and compliant. With more than 150,000 new sign-ins every day, Envoy Visitors creates a warm welcome for guests while safeguarding people, property, and ideas. Envoy helps employees collaborate with teammates by coordinating on-site schedules. Envoy Desks gives employees the flexibility to reserve a desk for the days they are in the office. Envoy Rooms provides a simple solution to book meeting rooms and free up unused space. Envoy Deliveries ensures packages reach their recipients without mailroom pile-ups. Envoy Connect combines hospitality with security to welcome visitors in multi-tenant buildings. For more information, please visit envoy.com.</t>
  </si>
  <si>
    <t>Larry Gadea</t>
  </si>
  <si>
    <t>https://www.facebook.com/SignWithEnvoy/, https://twitter.com/envoy, https://www.linkedin.com/company/envoy-inc, https://github.com/envoy, https://envoy.com/</t>
  </si>
  <si>
    <t>epal.gg</t>
  </si>
  <si>
    <t>EPAL, INC.</t>
  </si>
  <si>
    <t>E-Pal is the Best-in-class social network for gaming enthusiasts, gamers pay for skill and interest-based matching with skillful ePals.</t>
  </si>
  <si>
    <t>https://www.facebook.com/people/epalgg/100076074592215/, https://twitter.com/epalgg, https://www.linkedin.com/company/epalgg/, https://www.epal.gg/</t>
  </si>
  <si>
    <t>equals.app</t>
  </si>
  <si>
    <t>Equals</t>
  </si>
  <si>
    <t>Equals is a spreadsheet startup aiming to challenge and replace Excel with its next-generation spreadsheet. The startup provides a spreadsheet with built-in connections to any database, versioning, and collaboration. It enables users to build any analysis with data directly from their database, whether or not they know SQL.</t>
  </si>
  <si>
    <t>https://twitter.com/heyequals, https://www.linkedin.com/company/equalshq/, https://equals.app/</t>
  </si>
  <si>
    <t>espressosys.com</t>
  </si>
  <si>
    <t>Espresso (Translucence Research Inc)</t>
  </si>
  <si>
    <t>Espresso is the coordination layer for chains to create value for their users – and capture that value for their ecosystems.</t>
  </si>
  <si>
    <t>https://twitter.com/EspressoSys, https://github.com/espressosystems/, https://espressosys.com/</t>
  </si>
  <si>
    <t>eve.legal</t>
  </si>
  <si>
    <t>Eve</t>
  </si>
  <si>
    <t>Eve is the Legal AI for Plaintiff Law Firms. Eve handles the heavy lifting of legal cases—from intake to resolution.</t>
  </si>
  <si>
    <t>https://twitter.com/evelegalai, https://www.linkedin.com/company/eve-legal, https://eve.legal/</t>
  </si>
  <si>
    <t>everlaw.com</t>
  </si>
  <si>
    <t>Everlaw</t>
  </si>
  <si>
    <t>Everlaw is a legal technology company serving 8 of the top 10 class action law firms and over 65% of state Attorneys General. The company is applying modern design principles and computer science advances to challenges in the legal industry.</t>
  </si>
  <si>
    <t>AJ Shankar, Jeff Friedman</t>
  </si>
  <si>
    <t>https://www.facebook.com/everlaw.inc/, http://twitter.com/everlaw, http://linkedin.com/company/everlaw, https://github.com/everlaw, https://www.everlaw.com/</t>
  </si>
  <si>
    <t>everyrealm.com</t>
  </si>
  <si>
    <t>EveryRealm</t>
  </si>
  <si>
    <t>Develops and invests in businesses related to virtual worlds and social video gaming—an ecosystem also known as immersive media. Everyrealm is a digital real estate vehicle that invests in virtual worlds through NFTs. They invest in, manage, and develop assets including NFTs, virtual real estate, metaverse platforms, gaming, and infrastructure.</t>
  </si>
  <si>
    <t>https://www.facebook.com/Everyrealm, https://twitter.com/everyrealm, https://www.linkedin.com/company/everyrealm/, https://everyrealm.com/</t>
  </si>
  <si>
    <t>exh.ai</t>
  </si>
  <si>
    <t>Ex-Human, Inc</t>
  </si>
  <si>
    <t>Ex-human offers customizable, multimodal AI characters that keep conversations lively and engaging. Our characters interact using text, audio, images, and video responses, effortlessly entertaining users for hours. Ideal for clients in gaming, dating, chatbots, and influencer marketing industries.</t>
  </si>
  <si>
    <t>https://www.linkedin.com/company/ex-human/, https://exh.ai/</t>
  </si>
  <si>
    <t>Factual is a platform where anyone can share and mash open data on any subject. For example, you might find a directory of California restaurants, a database of endocrinologists, or a list of American Idol finalists. We provide smart tools to help the community build and maintain a trusted source of structured data. And this data can be used through widgets and APIs to help application developers and content publishers be more innovative and productive.</t>
  </si>
  <si>
    <t>http://www.facebook.com/factual, https://twitter.com/Factual, https://www.linkedin.com/company/factual-inc/, https://www.factual.com/</t>
  </si>
  <si>
    <t>fal.ai</t>
  </si>
  <si>
    <t>fal</t>
  </si>
  <si>
    <t>https://twitter.com/FAL, https://www.linkedin.com/company/features-and-labels/, https://github.com/fal-ai, https://fal.ai/</t>
  </si>
  <si>
    <t>fanatics.com</t>
  </si>
  <si>
    <t>Fanatics</t>
  </si>
  <si>
    <t>Fanatics is the largest destination and fulfillment provider for licensed sports apparel.</t>
  </si>
  <si>
    <t>Michael Rubin</t>
  </si>
  <si>
    <t>http://www.facebook.com/Fanatics, https://twitter.com/Fanatics, https://www.linkedin.com/company/68543, https://fanatics.com/</t>
  </si>
  <si>
    <t>fashivly.com</t>
  </si>
  <si>
    <t>Fashivly</t>
  </si>
  <si>
    <t>Fashivly's mission is to help you find and refine your own personal style. From work to weekend and everything in between, Fashivly finds the looks that are 100% you and delivers the link straight to your inbox — no meet-ups or pressure to buy.</t>
  </si>
  <si>
    <t>https://www.linkedin.com/company/fashivly/, https://www.instagram.com/fashivly/?hl=en, https://fashivly.com/</t>
  </si>
  <si>
    <t>favorited.com</t>
  </si>
  <si>
    <t>favorited</t>
  </si>
  <si>
    <t>Favorited is building the platform for extremely profitable interactive games on live. CEO previously co-founded sendit (250M+ users, 30M+ rev).</t>
  </si>
  <si>
    <t>https://www.favorited.com/</t>
  </si>
  <si>
    <t>feedplan.com</t>
  </si>
  <si>
    <t>Feedplan</t>
  </si>
  <si>
    <t>Feedplan is a restaurant meal plan and subscription app. An entirely new marketplace concept that allows users to prepay for multiple restaurant meals (i.e., meal plans), resulting in significant savings on food.</t>
  </si>
  <si>
    <t>https://www.linkedin.com/company/feedplan/, https://www.instagram.com/feedplanapp/, https://feedplan.com/</t>
  </si>
  <si>
    <t>fei.money</t>
  </si>
  <si>
    <t>Fei Protocol</t>
  </si>
  <si>
    <t>The vision for Fei Protocol is to be a highly scalable, fully decentralized stablecoin</t>
  </si>
  <si>
    <t>https://twitter.com/feiprotocol, https://fei.money/</t>
  </si>
  <si>
    <t>fidocure.com</t>
  </si>
  <si>
    <t>Fidocure</t>
  </si>
  <si>
    <t>Precision medicine for dogs and humans who love them</t>
  </si>
  <si>
    <t>https://twitter.com/fidocure, https://www.linkedin.com/company/fidocure/, https://www.fidocure.com/</t>
  </si>
  <si>
    <t>filmhub.com</t>
  </si>
  <si>
    <t>Filmhub</t>
  </si>
  <si>
    <t>Filmhub is building the modern B2B marketplace for film and TV, creating an open distribution system for filmmakers to better distribute and profit from their work in an increasingly digital and global entertainment ecosystem.</t>
  </si>
  <si>
    <t>https://www.facebook.com/filmhubhq/, https://twitter.com/filmhubhq, https://www.linkedin.com/company/filmhub/, https://filmhub.com/</t>
  </si>
  <si>
    <t>fingerprintsdao.xyz</t>
  </si>
  <si>
    <t>FingerprintsDAO</t>
  </si>
  <si>
    <t>FingerprintsDAO collects art, commissions new works, and supports projects by artists. They collect seminal smart contract-based artworks showcasing of the blockchain for artistic expression. They support efforts in the creation of smart contract-based art, generating revenue for the DAO in the process.</t>
  </si>
  <si>
    <t>https://twitter.com/FingerprintsDAO, https://fingerprintsdao.xyz/</t>
  </si>
  <si>
    <t>firefly.health</t>
  </si>
  <si>
    <t>Firefly Health</t>
  </si>
  <si>
    <t>Commercial payvider for employers, built on a value-based primary care chassis</t>
  </si>
  <si>
    <t>https://twitter.com/carebyfirefly, https://www.linkedin.com/company/firefly-health/, https://www.firefly.health/</t>
  </si>
  <si>
    <t>firstbasehq.com</t>
  </si>
  <si>
    <t>Firstbase</t>
  </si>
  <si>
    <t>Remote Office—Instant at-home remote worker setup. Setup, manage, maintain &amp; retrieve all the physical equipment your remote teams need to do great work at home.</t>
  </si>
  <si>
    <t>Chris Herd, Trey Bastian</t>
  </si>
  <si>
    <t>https://a16z.com/portfolio/facebook.com/FirstbaseHQ/, https://www.twitter.com/Firstbase, https://www.linkedin.com/company/firstbasehq, https://www.github.com/FirstbaseHQ, https://www.firstbasehq.com/</t>
  </si>
  <si>
    <t>fivetran.com</t>
  </si>
  <si>
    <t>Fivetran</t>
  </si>
  <si>
    <t>Fivetran is a SaaS service that connects critical data sources in an organization, pulls and processes all the data, and then stores it in a warehouse for SQL access and further transformations.</t>
  </si>
  <si>
    <t>George Fraser and Taylor Brown</t>
  </si>
  <si>
    <t>https://www.facebook.com/Fivetran/, https://twitter.com/fivetran, https://www.linkedin.com/company/fivetran, https://github.com/fivetran, https://fivetran.com/</t>
  </si>
  <si>
    <t>flashhoops.com</t>
  </si>
  <si>
    <t>Flash Hoops</t>
  </si>
  <si>
    <t>Veronica Peterson, born in Gary, Indiana and raised in Chicago, was introduced to basketball by her father as a toddler. She committed and played the sport throughout high school, college, and eventually professionally abroad. While competing overseas, she developed an interest in business and decided to pursue a masters degree in computer science so she could build companies that had a purpose. As a result, she founded FlashHoops, a mobile platform that helps children learn math while receiving one-on-one basketball skill training from their favorite athlete.</t>
  </si>
  <si>
    <t>https://www.flashhoops.com/</t>
  </si>
  <si>
    <t>flavrs.com</t>
  </si>
  <si>
    <t>Flavrs</t>
  </si>
  <si>
    <t>Flvrs is a shoppable video platform that combines premium food content and commerce for foodies. Users can use it to Watch, Shop, and Eat. Flavrs collaborates with renowned chefs and food creators to provide users with access to premium recipe tutorials that include a commerce component that allows foodies to discover and replicate the meals theysee at home by purchasing ingredients via a custom integration with Instacart.</t>
  </si>
  <si>
    <t>Alejandro Oropeza, Francois Chu</t>
  </si>
  <si>
    <t>https://www.linkedin.com/company/68941667/, https://www.instagram.com/flavrs.app/, https://www.flavrs.com/</t>
  </si>
  <si>
    <t>flexport.com</t>
  </si>
  <si>
    <t>Flexport</t>
  </si>
  <si>
    <t>Flexport is the technology platform for global logistics—empowering buyers, sellers, and their logistics partners with the technology and services to grow and innovate.</t>
  </si>
  <si>
    <t>Ryan Petersen</t>
  </si>
  <si>
    <t>https://www.facebook.com/flexport, https://twitter.com/flexport, https://www.linkedin.com/company/flexport/, https://github.com/flexport, https://flexport.com/</t>
  </si>
  <si>
    <t>flockhomes.com</t>
  </si>
  <si>
    <t>Flock Homes</t>
  </si>
  <si>
    <t>Flock Homes allows individuals to own rental homes through portfolio shares. Flock Homes converts individual rental properties into fully-passive, diversified shares in a pool of houses. Flock helps rental property owners retire from being landlords. The company offers low-cost, tax-advantaged, hassle-free way to get and keep all the benefits of owning rental properties without any of the burdens.</t>
  </si>
  <si>
    <t>Ari Rubin</t>
  </si>
  <si>
    <t>https://twitter.com/flockhomes?lang=en, https://www.linkedin.com/company/flock-homes/, https://www.flockhomes.com/</t>
  </si>
  <si>
    <t>flocksafety.com</t>
  </si>
  <si>
    <t>Flock Safety</t>
  </si>
  <si>
    <t>Flock Safety is a public safety operating system that helps cities, businesses, schools, and law enforcement in thousands of communities work together to stop crime, protect privacy, and mitigate bias.</t>
  </si>
  <si>
    <t>Garrett Langley, Matt Feury, Paige Todd</t>
  </si>
  <si>
    <t>https://www.facebook.com/flocksafety, https://www.twitter.com/Flock_Safety, https://www.linkedin.com/company/flock-safety, https://www.flocksafety.com/</t>
  </si>
  <si>
    <t>flow.life</t>
  </si>
  <si>
    <t>Flow</t>
  </si>
  <si>
    <t>The US residential real estate needs to be updated. Enter Flow, a solution to these changing residential real estate dynamics.</t>
  </si>
  <si>
    <t>Adam Neumann</t>
  </si>
  <si>
    <t>https://www.flow.life/</t>
  </si>
  <si>
    <t>flowcarbon.com</t>
  </si>
  <si>
    <t>Flowcarbon</t>
  </si>
  <si>
    <t>Flow Carbon uses blockchain technology to put carbon offset credits on-chain, accelerating the scalability of climate change solutions</t>
  </si>
  <si>
    <t>https://twitter.com/WeAreFlowCarbon, https://www.linkedin.com/company/flowcarbon/, https://flowcarbon.com/</t>
  </si>
  <si>
    <t>flyhomes.com</t>
  </si>
  <si>
    <t>FlyHomes</t>
  </si>
  <si>
    <t>Launched in 2015, by Stephen Lane and Tushar Garg, FlyHomes is a full-service non-traditional real estate brokerage and technology company focused on reimagining the home buying experience one buyer at a time. FlyHomes believes that speed, transparency, and end-to-end service are necessities to improve an industry that hadn't evolved in decades. FlyHomes has helped more than 400 people close on more than $300 million worth of homes with a truly seamless process. It has broken down each step of the journey and systematically reshaped it with comprehensive consumer education, segmented expertise, financial innovation, and on-demand technology. And it's just getting started.</t>
  </si>
  <si>
    <t>https://www.facebook.com/RealFlyHomes/, https://twitter.com/RealFlyHomes, https://www.linkedin.com/company/flyhomes/, https://www.flyhomes.com/</t>
  </si>
  <si>
    <t>foodology.com.co</t>
  </si>
  <si>
    <t>Foodology</t>
  </si>
  <si>
    <t>Foodology is a cloud kitchen and virtual restaurant company that specializes in creating brands from scratch and scaling them.</t>
  </si>
  <si>
    <t>https://twitter.com/foodologyinc_, https://www.linkedin.com/company/foodology-inc/?originalSubdomain=co, https://foodology.com.co/</t>
  </si>
  <si>
    <t>formation.dev</t>
  </si>
  <si>
    <t>Formation</t>
  </si>
  <si>
    <t>Formation is a remote fellowship for ambitious software engineers looking to land the next step in their career. Fellows work directly with senior engineers from companies like Google, Uber, Oracle and more to build features and debug production issues in real consumer facing applications. They learn the computer sciencefundamentals they need to think like a software engineer and solve the world's most challenging problems. Our unparalleled outcomes are a result of our relentless focus on engineering principles and building a community of the best engineers in the industry. Our fellows regularly get hired at companies like Facebook, Google, LinkedIn, etc.</t>
  </si>
  <si>
    <t>https://www.facebook.com/FormationFellowship, https://twitter.com/formation_dev, https://www.linkedin.com/company/formation-dev/, https://formation.dev/</t>
  </si>
  <si>
    <t>formation.bio</t>
  </si>
  <si>
    <t>Formation Bio</t>
  </si>
  <si>
    <t>Tech-native pharma company that uses proprietary clinical trial technology to accelerate the development of new treatments for patients</t>
  </si>
  <si>
    <t>https://www.linkedin.com/company/formationbio/, https://www.formation.bio/</t>
  </si>
  <si>
    <t>forta.org</t>
  </si>
  <si>
    <t>Forta Network</t>
  </si>
  <si>
    <t>https://twitter.com/FortaProtocol, https://forta.org/</t>
  </si>
  <si>
    <t>fortunahealth.com</t>
  </si>
  <si>
    <t>Fortuna Health</t>
  </si>
  <si>
    <t>“TurboTax for Medicaid” - guiding patients and members end-to-end through Medicaid eligibility, enrollment, and coverage renewal</t>
  </si>
  <si>
    <t>https://fortunahealth.com/</t>
  </si>
  <si>
    <t>forwardnetworks.com</t>
  </si>
  <si>
    <t>Forward Networks</t>
  </si>
  <si>
    <t>Forward Networks is dramatically improving networking for companies of all sizes.</t>
  </si>
  <si>
    <t>David Erickson, Nikhil Handigol, Brandon Heller, Peyman Kazemian</t>
  </si>
  <si>
    <t>https://www.facebook.com/forwardnetworks, https://twitter.com/FwdNetworks, https://www.linkedin.com/company/forward-networks, https://www.forwardnetworks.com/</t>
  </si>
  <si>
    <t>foundation.app</t>
  </si>
  <si>
    <t>Foundation</t>
  </si>
  <si>
    <t>Foundation Labs is a developer of a blockchain-based art marketplace used for creators, curators, and tastemakers. Foundation Labs is a developer of a blockchain-based art marketplace used for creators, curators, and tastemakers. It uses the power of the internet and crypto to bring totally new revenue streams and forms of ownership to art, design, and any creative output that allows the artists on the platform to issue tokens backed by their creations and the people who then purchase the tokens may then either redeem these tokens or trade them like any regular digital asset on an exchange.</t>
  </si>
  <si>
    <t>Kayvon Tehranian, Elpizo Choi, Matt Vernon</t>
  </si>
  <si>
    <t>https://m.facebook.com/pages/category/Internet-Company/Foundation-111255683931671/, https://twitter.com/FOUNDATION, https://www.linkedin.com/company/foundation-labs/, https://foundation.app/</t>
  </si>
  <si>
    <t>foursquare.com</t>
  </si>
  <si>
    <t>Foursquare</t>
  </si>
  <si>
    <t>Foursquare is a location based social network that incorporates gaming elements. Foursquare is a location technology platform offering business solutions and consumer products through a deep understanding of location. As a location intelligence company, Foursquare is comprised of two well-known consumer apps, Foursquare and Swarm, as well as thriving media and enterprise products. The platform leverages a deep understanding oflocation intelligence to unlock valuable insights about customers, enabling brands to understand and connect to targeted audiences as well as to measure foot traffic and advertising success.</t>
  </si>
  <si>
    <t>Dennis Crowley, Naveen Selvadurai</t>
  </si>
  <si>
    <t>http://www.facebook.com/foursquare, https://twitter.com/foursquare, https://www.linkedin.com/company/264317, https://github.com/foursquare, https://foursquare.com/</t>
  </si>
  <si>
    <t>freatic.team</t>
  </si>
  <si>
    <t>Freatic</t>
  </si>
  <si>
    <t>Building the monetization layer for your alpha.</t>
  </si>
  <si>
    <t>https://twitter.com/hotnewcrypto, https://freatic.team/</t>
  </si>
  <si>
    <t>freenome.com</t>
  </si>
  <si>
    <t>Freenome</t>
  </si>
  <si>
    <t>Early cancer detection using ML-powered analysis from liquid biopsies</t>
  </si>
  <si>
    <t>https://twitter.com/freenome?lang=en, https://www.linkedin.com/company/freenome, https://github.com/freenome, https://www.freenome.com/</t>
  </si>
  <si>
    <t>fu.do</t>
  </si>
  <si>
    <t>Fudo</t>
  </si>
  <si>
    <t>Fudo builds simple but powerful software for restaurants that automates everything from orders, room configuration, inventory, supplier management, and more.</t>
  </si>
  <si>
    <t>https://www.facebook.com/socialfudo, https://www.linkedin.com/company/socialfudo, https://fu.do/</t>
  </si>
  <si>
    <t>functionhealth.com</t>
  </si>
  <si>
    <t>Function Health</t>
  </si>
  <si>
    <t>Function Health is making whole body medical diagnostics available to everyone.</t>
  </si>
  <si>
    <t>https://www.functionhealth.com/</t>
  </si>
  <si>
    <t>functiononcology.com</t>
  </si>
  <si>
    <t>Function Oncology</t>
  </si>
  <si>
    <t>Functional genomic profiling of patient tumor samples for target discovery &amp; drug development</t>
  </si>
  <si>
    <t>https://www.linkedin.com/company/function-oncology/, https://functiononcology.com/</t>
  </si>
  <si>
    <t>fwb.help</t>
  </si>
  <si>
    <t>FWB</t>
  </si>
  <si>
    <t>FWB is a new kind of social network. Home to many subcultures, FWB exists as an ecosystem of symbiotic relationships, a decentralized creative studio, and a never-ending group chat. Most of all, it’s an evolving experiment. At our core, we are a growing social DAO with more than 4,000 members—including artists, builders, and thinkers from across the crypto and cultural sectors. Collectively, we aim to catalyze the power of web3 as a tool for creating and making things happen.</t>
  </si>
  <si>
    <t>https://twitter.com/FWBtweets, https://fwb.help/</t>
  </si>
  <si>
    <t>gamebeast.gg</t>
  </si>
  <si>
    <t>Gamebeast</t>
  </si>
  <si>
    <t>Gamebeast is building the low-code live ops and monetization platform for Roblox.</t>
  </si>
  <si>
    <t>https://twitter.com/gamebeastgg, https://www.linkedin.com/company/gamebeastgg/about/, https://github.com/GamebeastGG/, https://www.gamebeast.gg/</t>
  </si>
  <si>
    <t>gamerxsociety.com</t>
  </si>
  <si>
    <t>GamerXSociety</t>
  </si>
  <si>
    <t>GamerXSociety is an ecosystem of gamers and brands engaging together through rewarding gameplay experiences.</t>
  </si>
  <si>
    <t>https://www.instagram.com/gamerxsociety/, https://www.gamerxsociety.com/</t>
  </si>
  <si>
    <t>gatebio.com</t>
  </si>
  <si>
    <t>Gate Bio</t>
  </si>
  <si>
    <t>Developing a new class of small molecules that block protein secretion and translocation</t>
  </si>
  <si>
    <t>https://gatebio.com/</t>
  </si>
  <si>
    <t>gc-tx.com</t>
  </si>
  <si>
    <t>GC Therapeutics</t>
  </si>
  <si>
    <t>Induced pluripotent stem cell (iPSC) reprogramming platform for development of scalable, high quality cell therapies</t>
  </si>
  <si>
    <t>https://www.linkedin.com/company/gctx, https://www.gc-tx.com/</t>
  </si>
  <si>
    <t>genesistherapeutics.ai</t>
  </si>
  <si>
    <t>Genesis Therapeutics</t>
  </si>
  <si>
    <t>Unlocking novel protein targets, exploring untapped chemical space, and accelerating the development of critical new medicines with the industry's most advanced molecular AI drug discovery platform</t>
  </si>
  <si>
    <t>https://www.linkedin.com/company/genesistherapeutics/, https://www.genesistherapeutics.ai/</t>
  </si>
  <si>
    <t>gensyn.ai</t>
  </si>
  <si>
    <t>Gensyn</t>
  </si>
  <si>
    <t>Gensyn is a machine learning computing protocol for the world's deep learning models. It connects all of the machine learning-competent compute hardware in the world, including GPUs and CPUs and makes it available to engineers, researchers, and academics.</t>
  </si>
  <si>
    <t>Harry Grieve, Dr Benjamin Fielding</t>
  </si>
  <si>
    <t>https://twitter.com/gensynai, https://www.linkedin.com/company/54109371, https://github.com/gensyn-ai, https://gensyn.ai/</t>
  </si>
  <si>
    <t>puzzlewizards.net</t>
  </si>
  <si>
    <t>GGFolks</t>
  </si>
  <si>
    <t>GGFolks create forever social worlds for everyone. Their first title is Puzzle Wizards, a cozy co-op follow-up to the team's twenty-year live MMO, Puzzle Pirates.</t>
  </si>
  <si>
    <t>https://twitter.com/puzzlewizards, https://www.linkedin.com/company/ggfolks/, https://puzzlewizards.net/</t>
  </si>
  <si>
    <t>glorify-app.com</t>
  </si>
  <si>
    <t>Glorify</t>
  </si>
  <si>
    <t>Glorify is a Christian Daily Worship and well-being app designed to strengthen a user's relationship with God through bite-sized daily devotionals, a library full of meditations, declarations, prayers and exclusive music, and much more.</t>
  </si>
  <si>
    <t>Henry Costa and Ed Beccle</t>
  </si>
  <si>
    <t>https://www.facebook.com/glorifyappofficial, https://twitter.com/glorify_app, https://www.linkedin.com/company/glorify, https://www.instagram.com/glorifyappofficial, https://glorify-app.com/</t>
  </si>
  <si>
    <t>glossbird.com</t>
  </si>
  <si>
    <t>Glossbird</t>
  </si>
  <si>
    <t>Alina Matson was born and raised in Minnesota after her family came to the states as refugees. While in college, she learned about product development which inspired her move from the midwest to California. During the pandemic, Alina struggled to find motivation to exercise and be healthy, but always made time for video games, which led to the idea for Glossbird. Glossbird aims to promote wellness by leveraging the benefits of gaming for both physical and mental health. She teamed up with Samara Fantie, a researcher turned game developer and artist, who is passionate about using her eclectic skills and knowledge to improve wellness.</t>
  </si>
  <si>
    <t>https://twitter.com/playfitment, https://www.linkedin.com/company/glossbird, https://www.instagram.com/playfitment, http://www.glossbird.com/</t>
  </si>
  <si>
    <t>glowing.com</t>
  </si>
  <si>
    <t>Glow</t>
  </si>
  <si>
    <t>Glow tracks when a women is most likely to get pregnant by analyzing an array of information, and it helps couples manage their pregnancy efforts through daily activities, recommended tips, and personalized information. Glow is available in iTunes App Store.</t>
  </si>
  <si>
    <t>Max Levchin</t>
  </si>
  <si>
    <t>https://www.facebook.com/glow, https://twitter.com/glowhq, https://www.linkedin.com/company/glow-inc/, https://glowing.com/</t>
  </si>
  <si>
    <t>glyf.space</t>
  </si>
  <si>
    <t>Glyf</t>
  </si>
  <si>
    <t>Glyf is an AI-powered 3D rendering engine that empowers 2D designers to create high-quality, controllable 3D in seconds instead of days. Built by Ex-TikTok (AR Effects) and Ex-Meta (Reality Labs) team.</t>
  </si>
  <si>
    <t>https://twitter.com/glyfspace, https://www.linkedin.com/company/glyfspace/, https://www.instagram.com/glyf.space/, https://glyf.space/</t>
  </si>
  <si>
    <t>gooddata.com</t>
  </si>
  <si>
    <t>GoodData</t>
  </si>
  <si>
    <t>Good Data uses cloud computing to deliver a business intelligence solution as an on-demand service. A central component of Good Data is collaborative analytics, making it easy for users to collectively reach and share insight</t>
  </si>
  <si>
    <t>Roman Stanek</t>
  </si>
  <si>
    <t>http://www.facebook.com/gooddata, https://twitter.com/gooddata, http://www.linkedin.com/company/gooddata, https://www.gooddata.com/</t>
  </si>
  <si>
    <t>graphite.dev</t>
  </si>
  <si>
    <t>Graphite</t>
  </si>
  <si>
    <t>Graphite is an open-source CLI and a code review dashboard built for engineers who want to write and review smaller pull requests, stay unblocked, and ship faster.</t>
  </si>
  <si>
    <t>Merrill Lutsky, Tomas Reimers, Greg Foster</t>
  </si>
  <si>
    <t>https://twitter.com/withgraphite, https://www.linkedin.com/company/withgraphite/, https://github.com/withgraphite, https://graphite.dev/</t>
  </si>
  <si>
    <t>greenlight.com</t>
  </si>
  <si>
    <t>Greenlight</t>
  </si>
  <si>
    <t>Greenlight is a banking app for families that teaches kids and teens how to earn, save, spend wisely, and invest.</t>
  </si>
  <si>
    <t>Tim Sheehan and Johnson Cook</t>
  </si>
  <si>
    <t>https://www.facebook.com/GreenlightCard//, https://twitter.com/GreenlightCard, https://www.linkedin.com/company/greenlightcard/, https://greenlight.com/</t>
  </si>
  <si>
    <t>greether.com</t>
  </si>
  <si>
    <t>Greether</t>
  </si>
  <si>
    <t>Vanessa Karel was born in Los Angeles, California, but spent her formative years in Mexico. She returned to the U.S. for college and earned a degree in advertising and photography, which led to her starting a production agency that worked with companies like Intercontinental Hotels, AT&amp;T, and The North Face. As an avid traveler, Vanessa identified a gap in safety for solo female travelers, especially after a challenging experience in Morocco during the pandemic. This realization led to Greether, a platform that ensures safety and provides income opportunities for female travelers worldwide.</t>
  </si>
  <si>
    <t>https://www.facebook.com/greetherhere, https://www.linkedin.com/company/greether, https://www.instagram.com/greet.her/, https://www.greether.com/</t>
  </si>
  <si>
    <t>grepr.ai</t>
  </si>
  <si>
    <t>Grepr</t>
  </si>
  <si>
    <t>https://www.linkedin.com/company/grepr/, https://www.grepr.ai/</t>
  </si>
  <si>
    <t>gridsnap.com</t>
  </si>
  <si>
    <t>Gridsnap</t>
  </si>
  <si>
    <t>Gridsnap is a UEFN studio with a quick release and community-focused strategy. The founders previously founded UEFN studio Beyond Creative, which specialized in branded games, working with companies like the NFL and Nike to produce some of Fortnite’s landmark experiences like Airphoria.</t>
  </si>
  <si>
    <t>https://twitter.com/GridsnapFN, https://www.linkedin.com/company/gridsnapgames/about/, https://gridsnap.com/</t>
  </si>
  <si>
    <t>gymclassvr.com</t>
  </si>
  <si>
    <t>Gym Class VR</t>
  </si>
  <si>
    <t>Gym Class is the best way to play basketball with people from all over the world, and the most popular sports game in VR.</t>
  </si>
  <si>
    <t>https://twitter.com/gymclassvr, https://www.linkedin.com/company/irlstudios/, https://www.gymclassvr.com/</t>
  </si>
  <si>
    <t>hadrian.co</t>
  </si>
  <si>
    <t>Hadrian</t>
  </si>
  <si>
    <t>Hadrian is a machine-parts startup that manufactures precision components for cutting-edge technology companies. It builds autonomous, software-defined precision component factories that help its customers make rockets, satellites, jets, and eVTOLs 2x faster and cheaper.</t>
  </si>
  <si>
    <t>https://twitter.com/HadrianSpace, https://www.linkedin.com/company/hadrianspace/, https://hadrian.co/</t>
  </si>
  <si>
    <t>halliday.xyz</t>
  </si>
  <si>
    <t>Halliday</t>
  </si>
  <si>
    <t>https://twitter.com/HallidayHQ, https://halliday.xyz/</t>
  </si>
  <si>
    <t>harbor.com</t>
  </si>
  <si>
    <t>Harbor</t>
  </si>
  <si>
    <t>Harbor is helping to power the next big wave in capital markets – tokenized securities - by automating regulatory compliance. Harbor is reengineering private securities with blockchain technology to help usher in a new wave of tokenized securities backed by real-world assets, such as real estate, company equity, investment funds, and fine art. The Harbor platform, powered by its compliance protocol, is the first to ensure tokenized securities comply with existingsecurities laws on every trade, everywhere across the globe.</t>
  </si>
  <si>
    <t>Bob Remeika, Arisa Amano</t>
  </si>
  <si>
    <t>https://www.facebook.com/HarborHQ, https://twitter.com/harbor, https://www.linkedin.com/company/harbor-hq, https://harbor.com/</t>
  </si>
  <si>
    <t>headway.co</t>
  </si>
  <si>
    <t>Headway</t>
  </si>
  <si>
    <t>Headway is building the first asset-free national network of therapists who accept insurance. This helps therapists build their practices while helping individuals find great care they can afford.</t>
  </si>
  <si>
    <t>Andrew Adams</t>
  </si>
  <si>
    <t>https://www.facebook.com/findheadway/, https://twitter.com/try_headway, https://www.linkedin.com/company/find-headway-com/, https://github.com/flexport, https://headway.co/</t>
  </si>
  <si>
    <t>heat.tech</t>
  </si>
  <si>
    <t>HEAT</t>
  </si>
  <si>
    <t>HEAT slashes character animation time from hours to seconds with just a few clicks, democratizing animation by making it simple and accessible for creators across the 3D and gaming industries.</t>
  </si>
  <si>
    <t>https://twitter.com/HEATanimation, https://www.linkedin.com/company/heatdottech, https://heat.tech/</t>
  </si>
  <si>
    <t>hebbia.ai</t>
  </si>
  <si>
    <t>Hebbia</t>
  </si>
  <si>
    <t>https://www.linkedin.com/company/hebbia/, https://www.hebbia.ai/</t>
  </si>
  <si>
    <t>hedra.com</t>
  </si>
  <si>
    <t>Hedra</t>
  </si>
  <si>
    <t>Dream AI is a next-gen AI-native 3D creation engine for video generation and editing, led by a team of ex-Stanford Ph.D. students.</t>
  </si>
  <si>
    <t>https://www.hedra.com/</t>
  </si>
  <si>
    <t>hntlabs.com</t>
  </si>
  <si>
    <t>Here Not There, Inc.</t>
  </si>
  <si>
    <t>https://twitter.com/hntlabs, https://hntlabs.com/</t>
  </si>
  <si>
    <t>hex.tech</t>
  </si>
  <si>
    <t>Hex</t>
  </si>
  <si>
    <t>Hex is a platform for collaborative analytics and data science. The technology brings SQL, Python, R, and no-code workflows together in powerful notebooks that allow users to do exploratory analysis with minimal friction and publish projects as interactive data apps that anyone in an organization can use—from data scientists and data analysts to the C-suite.</t>
  </si>
  <si>
    <t>Barry McCardel, Caitlin Colgrove, Glen Takahashi</t>
  </si>
  <si>
    <t>https://www.twitter.com/_hex_tech, https://www.linkedin.com/company/hex-technologies, https://github.com/hex-inc, https://hex.tech/</t>
  </si>
  <si>
    <t>hipcamp.com</t>
  </si>
  <si>
    <t>Hipcamp</t>
  </si>
  <si>
    <t>Hipcamp unlocks access to private land for camping and outdoor recreation. It is a mission-driven marketplace where people can list, discover, and book campsites and accommodations on private and public land.</t>
  </si>
  <si>
    <t>https://twitter.com/hipcamp, https://www.linkedin.com/company/hipcamp/, https://hipcamp.com/</t>
  </si>
  <si>
    <t>hippocraticai.com</t>
  </si>
  <si>
    <t>Hippocratic AI</t>
  </si>
  <si>
    <t>Healthcare-native large language models to automate voice-to-voice interactions</t>
  </si>
  <si>
    <t>https://www.facebook.com/hippocraticai, https://www.twitter.com/hippocraticai, https://www.linkedin.com/company/hippocratic-ai-health, https://hippocraticai.com/</t>
  </si>
  <si>
    <t>joinhonor.com</t>
  </si>
  <si>
    <t>Honor</t>
  </si>
  <si>
    <t>Home care network that is transforming the way society cares for older adults</t>
  </si>
  <si>
    <t>https://twitter.com/honor, https://www.linkedin.com/company/joinhonor/, https://www.joinhonor.com/</t>
  </si>
  <si>
    <t>hyperexponential.com</t>
  </si>
  <si>
    <t>hyperexponential</t>
  </si>
  <si>
    <t>https://www.linkedin.com/company/hyperexponential/, https://hyperexponential.com/</t>
  </si>
  <si>
    <t>ifttt.com</t>
  </si>
  <si>
    <t>IFTTT</t>
  </si>
  <si>
    <t>IFTTT (aka IF This Then That) automates your business and home so that you can save time and get more done. Over 25 million individuals have used IFTTT to automate workflows that save multiple hours out of a typical day. IFTTT’s simple, no-code interface, combined with 800+ of the most popular business, productivity, and smart home apps, allowsyou to quickly create powerful business and home automations. Save time and achieve more with IFTTT.</t>
  </si>
  <si>
    <t>Linden Tibbets, Alexander Tibbets</t>
  </si>
  <si>
    <t>https://www.facebook.com/ifttt, https://twitter.com/ifttt, https://www.linkedin.com/company/ifttt/, https://github.com/ifttt, https://ifttt.com/</t>
  </si>
  <si>
    <t>illumio.com</t>
  </si>
  <si>
    <t>Illumio</t>
  </si>
  <si>
    <t>Illumio is a provider of a SaaS platform offering automated enforcement against cyberattacks. Illumio is a cloud security company that stops cyber threats of unauthorized communications through adaptive segmentation. It is a data center and cloud security company led by veterans with deep experience in virtualization, networking, and security hailing from industry leaders such as VMware, Cisco, Juniper, McAfee, and Nicira.</t>
  </si>
  <si>
    <t>Andrew Rubin, PJ Kirner</t>
  </si>
  <si>
    <t>https://www.facebook.com/illumio/, https://twitter.com/illumio, https://www.linkedin.com/company/illumio/, https://www.illumio.com/</t>
  </si>
  <si>
    <t>imply.io</t>
  </si>
  <si>
    <t>Imply</t>
  </si>
  <si>
    <t>Built from Apache Druid, Imply helps developers become the new heroes of analytics by delivering interactive data experiences on real-time and historical data, with limitless scale and at the best economics.</t>
  </si>
  <si>
    <t>Fangjin Yang, Gian Merlino, Vadim Ogievetsky</t>
  </si>
  <si>
    <t>https://www.facebook.com/implydatainc/, https://twitter.com/implydata, https://www.linkedin.com/company/imply/, https://github.com/implydata, https://imply.io/</t>
  </si>
  <si>
    <t>improbable.io</t>
  </si>
  <si>
    <t>Improbable</t>
  </si>
  <si>
    <t>Improbable is building a platform that enables a developer to easily create real-time, persistent simulations consisting of potentially billions of complex entities. These simulations are automatically distributed within the cloud and resources are allocated as necessary. All of which can be simultaneously accessed by thousands of users. The developer can plug in pre-existing business logic/models and Improbable will scale these models on datasets many orders of magnitude larger than they could before. Improbable's technology has application in businesses as varied as gaming, healthcare, academia and defence.</t>
  </si>
  <si>
    <t>Herman Narula</t>
  </si>
  <si>
    <t>https://www.facebook.com/improbable.io, https://twitter.com/Improbableio, https://www.linkedin.com/company/improbable/, https://github.com/spatialos, https://www.improbable.io/</t>
  </si>
  <si>
    <t>inceptive.life</t>
  </si>
  <si>
    <t>Inceptive</t>
  </si>
  <si>
    <t>AI-powered biological software for the rational design of novel, broadly accessible medicines previously out of reach</t>
  </si>
  <si>
    <t>https://inceptive.life/</t>
  </si>
  <si>
    <t>incite.dev</t>
  </si>
  <si>
    <t>Incite Interactive</t>
  </si>
  <si>
    <t>Incite Interactive is an AI-native games developer that operates Incite Worlds, a UGC platform where you can play, create, and publish roleplay games with intelligent NPCs.</t>
  </si>
  <si>
    <t>https://twitter.com/incite_dev, https://www.linkedin.com/company/incite-interactive-ai/, http://www.incite.dev/</t>
  </si>
  <si>
    <t>incrediblehealth.com</t>
  </si>
  <si>
    <t>Incredible Health</t>
  </si>
  <si>
    <t>Staffing marketplace for nurses where the employers apply to nurses, not the other way around. Incredible Health is a career marketplace technology that connects health systems with nurses. Its mission is to help healthcare professionals live better lives and find and do their best work.</t>
  </si>
  <si>
    <t>https://twitter.com/JoinIncredible, https://www.linkedin.com/company/incrediblehealth/, https://www.incrediblehealth.com/</t>
  </si>
  <si>
    <t>inductive.bio</t>
  </si>
  <si>
    <t>Inductive Bio</t>
  </si>
  <si>
    <t>Making ML accessible for biopharma to design and optimize drug candidates faster</t>
  </si>
  <si>
    <t>https://inductive.bio/</t>
  </si>
  <si>
    <t>infiniteathlete.ai</t>
  </si>
  <si>
    <t>Infinite Athlete</t>
  </si>
  <si>
    <t>Born out of the idea that the world can do better in all aspects of sports and live events – the fan, the game, and the athlete experience – Infinite Athlete’s mission is to create a single technological foundation across all major sports, upon which innovative sports technology and media products can be built. This foundation will combine and connect sports data from all sources, which will create infinite possibilities. We also create interactive AR experiences for fans that improve the engagement with teams and players. These experiences can be personalized and easily integrate with social media. With unprecedented access to sporting events, we aim to partner with sports leagues around the world to implement this technology. With hands-on R&amp;D at live events, we are developing edge hardware that streams to our cloud-based ML systems.</t>
  </si>
  <si>
    <t>https://twitter.com/IAAthlete, https://www.linkedin.com/company/infiniteathlete/, https://infiniteathlete.ai/</t>
  </si>
  <si>
    <t>infinitemachine.com</t>
  </si>
  <si>
    <t>Infinite Machine, Inc.</t>
  </si>
  <si>
    <t>https://twitter.com/infinitemachine, https://www.linkedin.com/company/infinite-machine-technologies/, https://www.instagram.com/infinitemachine, https://infinitemachine.com/</t>
  </si>
  <si>
    <t>infinitus.ai</t>
  </si>
  <si>
    <t>Infinitus</t>
  </si>
  <si>
    <t>Voice agents for patient, payor and provider facing healthcare</t>
  </si>
  <si>
    <t>Ankit Jain, Shyam Rajagopalan</t>
  </si>
  <si>
    <t>https://infinitus.ai/</t>
  </si>
  <si>
    <t>inngest.com</t>
  </si>
  <si>
    <t>Inngest</t>
  </si>
  <si>
    <t>Inngest is the developer platform for easily building reliable workflows with zero infrastructure.</t>
  </si>
  <si>
    <t>Tony Holdstock-Brown, Dan Farrelly</t>
  </si>
  <si>
    <t>https://twitter.com/inngest, https://www.linkedin.com/company/inngest-inc/, https://github.com/inngest/inngest, https://www.inngest.com/</t>
  </si>
  <si>
    <t>insitro.com</t>
  </si>
  <si>
    <t>InSitro</t>
  </si>
  <si>
    <t>Integrating machine learning and biology at scale to reimagine drug discovery and development</t>
  </si>
  <si>
    <t>https://twitter.com/insitro, https://www.linkedin.com/company/insitro/, https://www.insitro.com/</t>
  </si>
  <si>
    <t>instart.com</t>
  </si>
  <si>
    <t>Instart</t>
  </si>
  <si>
    <t>Instart Logic is building disruptive technology that radically changes the way the Internet gets delivered. Instart helps hundreds of leading enterprises around the world deliver a faster, safer and more profitable digital experience.</t>
  </si>
  <si>
    <t>Manav Mital, Hariharan Kolam, Raghu Venkat</t>
  </si>
  <si>
    <t>http://www.facebook.com/InstartLogic, https://twitter.com/InstartLogic, http://www.linkedin.com/company/2727861, https://www.instart.com/</t>
  </si>
  <si>
    <t>intro.co</t>
  </si>
  <si>
    <t>Intro</t>
  </si>
  <si>
    <t>With Intro, consumers can book the world's most in-demand experts and get advice over a video call.</t>
  </si>
  <si>
    <t>Raad Mobrem, Tim Watson</t>
  </si>
  <si>
    <t>https://twitter.com/useintro, https://www.linkedin.com/company/useintro/, https://instagram.com/useintro, https://intro.co/</t>
  </si>
  <si>
    <t>inventa.shop</t>
  </si>
  <si>
    <t>Inventa</t>
  </si>
  <si>
    <t>Inventa is a wholesale marketplace that connects suppliers and retailers in search of new business opportunities. It aims to make the lives of millions of Latin American entrepreneurs easier by connecting fantastic brands to small and medium-sized retailers and facilitating the entire purchasing, selection, and discovery of new products, credit,logistics, and service processes.</t>
  </si>
  <si>
    <t>Fernando Carrasco, Laura Camargo, Marcos Salama</t>
  </si>
  <si>
    <t>https://www.linkedin.com/company/inventashop/, https://inventa.shop/</t>
  </si>
  <si>
    <t>irreverentlabs.com</t>
  </si>
  <si>
    <t>Irreverent Labs</t>
  </si>
  <si>
    <t>Irreverent Labs develops artificially intelligent games with machine learning, engaging gameplay, and blockchain technology. Irreverent Labs builds games and entertainment in which all the characters are AI-powered NPCs. Irreverent Labs develops artificially intelligent games with machine learning, engaging gameplay, and blockchain technology. Irreverent Labs' games are designed to grow across decades of breathtaking depth and fun.</t>
  </si>
  <si>
    <t>Rahul Sood, David Raskino</t>
  </si>
  <si>
    <t>https://www.facebook.com/irreverentlabs, https://twitter.com/IrreverentLabs, https://www.linkedin.com/company/irreverentlabs, https://irreverentlabs.com/</t>
  </si>
  <si>
    <t>isovalent.com</t>
  </si>
  <si>
    <t>Isovalent</t>
  </si>
  <si>
    <t>Building software to improve security and operations for microservices applications.</t>
  </si>
  <si>
    <t>Dan Wendlandt, Thomas Graf</t>
  </si>
  <si>
    <t>https://www.twitter.com/isovalent, https://www.linkedin.com/company/isovalent, https://github.com/cilium, https://isovalent.com/</t>
  </si>
  <si>
    <t>iyk.app</t>
  </si>
  <si>
    <t>IYK</t>
  </si>
  <si>
    <t>https://twitter.com/iyk_app, https://iyk.app/</t>
  </si>
  <si>
    <t>tryjeeves.com</t>
  </si>
  <si>
    <t>Jeeves</t>
  </si>
  <si>
    <t>Jeeves is a fintech that brings financial solutions to empower businesses globally. Jeeves is building international fintech infrastructure from scratch; this includes a global switching layer across countries and the ability to run all the company spends -- corporate cards, noncard and cross-border payment -- on Jeeves.</t>
  </si>
  <si>
    <t>https://www.facebook.com/tryjeeves, https://twitter.com/jeeves_inc, https://www.linkedin.com/company/tryjeeves/, https://www.instagram.com/jeeves_inc/, https://tryjeeves.com/</t>
  </si>
  <si>
    <t>journera.com</t>
  </si>
  <si>
    <t>Journera</t>
  </si>
  <si>
    <t>Journera is a technology company developing the first software platform for travel-related companies to create more seamless travel journeys. Through our secure GXR (Global Experience Record), which creates a unified view of the traveler's journey in real-time, and our unique publish-subscribe and data permissions architecture, the Journera platform is enabling travel-related companies and application developers to create new travel experiences, more quickly implement and improve partnerships, and better govern their data.</t>
  </si>
  <si>
    <t>Jeff Katz</t>
  </si>
  <si>
    <t>https://twitter.com/journera, https://www.linkedin.com/company/journera, https://github.com/Journera, https://journera.com/</t>
  </si>
  <si>
    <t>juniperplatform.com</t>
  </si>
  <si>
    <t>Juniper Behavioral Health</t>
  </si>
  <si>
    <t>Automated workflow tools and tech-enabled billing services that make behavioral health care more efficient and accessible</t>
  </si>
  <si>
    <t>https://www.facebook.com/juniperplatform, https://twitter.com/JuniperPlatform, https://www.linkedin.com/company/juniperplatform/, https://juniperplatform.com/</t>
  </si>
  <si>
    <t>k-id.com</t>
  </si>
  <si>
    <t>k-ID</t>
  </si>
  <si>
    <t>k-ID is transforming how kids and teens access age-appropriate game experiences and helping developers comply with global regulations with a first-of-its-kind suite of tools that make online game platforms safer, better, faster, and more empowering for young players.</t>
  </si>
  <si>
    <t>https://twitter.com/k_idofficial, https://www.linkedin.com/company/k-id, https://k-id.com/</t>
  </si>
  <si>
    <t>k12crypto.com</t>
  </si>
  <si>
    <t>K12 Crypto</t>
  </si>
  <si>
    <t>Amen Rahh, also known as Principal Rahh, was born and raised in Compton, Los Angeles. His upbringing in Compton shaped his perspective and fueled his determination to make a positive impact on education. As a math teacher, he witnessed the challenges and disparities faced by students in underserved communities which motivated him to pursue a career as a principal. Driven by a passion for technology, culture, gaming, finance, and education, Amen recognized the potential to revolutionize education beyond being a principal. He founded K12 Crypto, an education platform that addresses absenteeism and democratizes access to web3 via a learn-to-earn model in K-12 education.</t>
  </si>
  <si>
    <t>https://twitter.com/k12crypto, https://instagram.com/k12crypto, https://www.k12crypto.com/</t>
  </si>
  <si>
    <t>kadabrainc.com</t>
  </si>
  <si>
    <t>Kadabra</t>
  </si>
  <si>
    <t>https://www.facebook.com/kadabrainc/, https://www.linkedin.com/company/10675566/admin/, https://www.kadabrainc.com/</t>
  </si>
  <si>
    <t>kaedim3d.com</t>
  </si>
  <si>
    <t>Kaedim</t>
  </si>
  <si>
    <t>Game-ready on-demand 3D assets</t>
  </si>
  <si>
    <t>https://twitter.com/kaedim3d, https://www.linkedin.com/company/kaedim/, https://www.instagram.com/kaedim3d/, https://www.kaedim3d.com/</t>
  </si>
  <si>
    <t>kaizenlabs.co</t>
  </si>
  <si>
    <t>Kaizen Labs</t>
  </si>
  <si>
    <t>Kaizen is redefining how residents discover and access local government services across parks &amp; recreation, permitting, public works, and citizen engagement.</t>
  </si>
  <si>
    <t>Nikhil Reddy, KJ Shah</t>
  </si>
  <si>
    <t>https://twitter.com/thekaizenlabs, https://www.linkedin.com/company/the-kaizen-labs, https://www.kaizenlabs.co/</t>
  </si>
  <si>
    <t>karyostudios.com</t>
  </si>
  <si>
    <t>Karyo Studios</t>
  </si>
  <si>
    <t>Karyo Studios develops games and tech that explore the weird and wonderful world of synthetic biology. By blending creativity with science, we create experiences designed to inspire and nurture the next gen of scientists.</t>
  </si>
  <si>
    <t>https://twitter.com/ATrotmanGrant, https://www.karyostudios.com/</t>
  </si>
  <si>
    <t>keepfinancial.com</t>
  </si>
  <si>
    <t>Keep</t>
  </si>
  <si>
    <t>Keep Financial allows businesses to issue not-yet-earned compensation today that vests over time through employee retention, engagement, and performance.</t>
  </si>
  <si>
    <t>https://www.facebook.com/KeepFinancial, https://twitter.com/keep_financial, https://www.linkedin.com/company/keepfinancial/, https://keepfinancial.com/</t>
  </si>
  <si>
    <t>keep.network</t>
  </si>
  <si>
    <t>Keep Network</t>
  </si>
  <si>
    <t>Keep helps contracts harness the full power of the public blockchain by enabling deep interactivity with private data. It is an off-chain container for private data.</t>
  </si>
  <si>
    <t>https://twitter.com/keep_project, https://www.linkedin.com/company/keep-network/, https://keep.network/</t>
  </si>
  <si>
    <t>kikiworld.io</t>
  </si>
  <si>
    <t>KIKI</t>
  </si>
  <si>
    <t>https://kikiworld.io/</t>
  </si>
  <si>
    <t>livekindred.com</t>
  </si>
  <si>
    <t>Kindred</t>
  </si>
  <si>
    <t>Kindred is a members-only home swapping network that harnesses the power of community to unlock radical access to travel.</t>
  </si>
  <si>
    <t>Justine Palefsky &amp; Tasneem Amina</t>
  </si>
  <si>
    <t>https://twitter.com/livekindred, https://www.linkedin.com/company/live-kindred/, https://livekindred.com/</t>
  </si>
  <si>
    <t>knownwell.co</t>
  </si>
  <si>
    <t>Knownwell</t>
  </si>
  <si>
    <t>The patient-centered home for obesity care</t>
  </si>
  <si>
    <t>https://www.linkedin.com/company/knownwellhealth/, https://www.knownwell.co/</t>
  </si>
  <si>
    <t>koboldmetals.com</t>
  </si>
  <si>
    <t>KoBold Metals</t>
  </si>
  <si>
    <t>KoBold Metals is a full-stack battery metals exploration company. They deploy their proprietary AI/ML scientific computing platform to improve the efficiency and efficacy of mineral exploration.</t>
  </si>
  <si>
    <t>Kurt House, Jeff Jurinak, Josh Goldman</t>
  </si>
  <si>
    <t>https://www.facebook.com/koboldmetals/, https://twitter.com/KoBold_Metals, https://www.linkedin.com/company/koboldmetals/, https://github.com/KoBoldMetals, https://www.koboldmetals.com/</t>
  </si>
  <si>
    <t>komodohealth.com</t>
  </si>
  <si>
    <t>Komodo Health</t>
  </si>
  <si>
    <t>A comprehensive Healthcare Map, powered by real-world data and analytics, to reduce the burden of disease</t>
  </si>
  <si>
    <t>https://twitter.com/komodohealth, https://www.linkedin.com/company/komodo-health/, https://komodohealth.com/</t>
  </si>
  <si>
    <t>kosen.ai</t>
  </si>
  <si>
    <t>Kosen Labs</t>
  </si>
  <si>
    <t>Miljan Martic, Peter Toth</t>
  </si>
  <si>
    <t>https://twitter.com/kosenlabs, https://www.linkedin.com/company/kosenlabs, https://kosen.ai/</t>
  </si>
  <si>
    <t>kweli.tv</t>
  </si>
  <si>
    <t>kweliTV</t>
  </si>
  <si>
    <t>DeShuna Spencer grew up in Memphis and developed a love for reading and storytelling from a young age. DeShuna studied journalism and communications at Jackson State University and worked as a reporter, but began to feel disillusioned with the industry. She decided to pursue a career in PR and later became a features editor for a military newspaper. Frustrated with the lack of diverse and impactful content, DeShuna founded kweliTV, a streaming platform that focuses on Black stories and equitable distribution partnerships with filmmakers.</t>
  </si>
  <si>
    <t>https://facebook.com/kwelitv/, https://twitter.com/kwelitv, https://www.instagram.com/kwelitv/, https://www.kweli.tv/</t>
  </si>
  <si>
    <t>labelbox.com</t>
  </si>
  <si>
    <t>Labelbox</t>
  </si>
  <si>
    <t>Build computer vision products for the real world. Labelbox offers a complete solution for your training data problem with fast labeling tools, human workforce, data management, a powerful API and automation features.</t>
  </si>
  <si>
    <t>Manu Sharma, Brian Rieger, Daniel Rasmuson</t>
  </si>
  <si>
    <t>https://www.facebook.com/getlabelbox/, https://twitter.com/labelbox, https://www.linkedin.com/company/labelbox/, https://labelbox.com/</t>
  </si>
  <si>
    <t>labster.com</t>
  </si>
  <si>
    <t>Labster</t>
  </si>
  <si>
    <t>Labster empowers educators to reimagine their science courses with immersive online simulations.</t>
  </si>
  <si>
    <t>Michael Bodekaer Jensen, Mads Tvillinggaard Bonde</t>
  </si>
  <si>
    <t>https://www.facebook.com/teamlabster/, https://twitter.com/labster, https://www.linkedin.com/company/labster/, https://www.labster.com/</t>
  </si>
  <si>
    <t>layerzero.network</t>
  </si>
  <si>
    <t>LayerZero</t>
  </si>
  <si>
    <t>LayerZero Labs is a blockchain messaging protocol developer that allows decentralized applications build across multiple blockchains. The company is a User Application (UA) configurable on-chain endpoint that runs a ULN.</t>
  </si>
  <si>
    <t>https://twitter.com/LayerZero_Labs, https://www.linkedin.com/company/layerzerolabs, https://layerzero.network/</t>
  </si>
  <si>
    <t>legionstudio.dev</t>
  </si>
  <si>
    <t>Legion Studios</t>
  </si>
  <si>
    <t>Legion is developing a new IP, COVENANT: A 1st Person Dark-Fantasy Action Game that focuses on the interweaving of fantastical spells, primordial weapons, and martial arts.</t>
  </si>
  <si>
    <t>https://twitter.com/legiongamedev?t=_GrPdCGtRz7BKT1ZmWTe3g&amp;s=33, https://www.linkedin.com/company/legionstudio/, https://www.legionstudio.dev/</t>
  </si>
  <si>
    <t>levelheadedgames.com</t>
  </si>
  <si>
    <t>Level Headed Games</t>
  </si>
  <si>
    <t>Level Headed is a studio of seasoned game developers making a multiplayer arena game centered on self-expression, companion creatures, and coopetition. In this game, everyone wins, but some win more than others.</t>
  </si>
  <si>
    <t>https://www.facebook.com/levelheadedgames, https://x.com/LH_Games, https://www.linkedin.com/company/level-headed-games, http://www.levelheadedgames.com/</t>
  </si>
  <si>
    <t>levels.com</t>
  </si>
  <si>
    <t>Levels Health</t>
  </si>
  <si>
    <t>Platform and community solving the metabolic health crisis through real-time feedback on how diet and lifestyle choices impact metabolic health through biosensors, data-driven discovery, science-backed education, and tailored interventions</t>
  </si>
  <si>
    <t>https://twitter.com/levels, https://www.linkedin.com/company/levels-health/, https://github.com/levelshealth, https://www.levels.com/</t>
  </si>
  <si>
    <t>lido.fi</t>
  </si>
  <si>
    <t>Lido Finance</t>
  </si>
  <si>
    <t>Lido is a provider of liquid staking solutions for staked assets and Ethereum. The platform lets users stake their assets for daily staking rewards. Users can stake any amount of tokens - no minimum. It issues synthetic native tokens for every Ethereum staked via its protocol, thereby enabling users to stake Ethereum and receive an asset of equalvalue which can be used in various DeFi applications to earn yield.</t>
  </si>
  <si>
    <t>https://twitter.com/lidofinance, https://www.linkedin.com/company/lidofi/, https://lido.fi/</t>
  </si>
  <si>
    <t>lighter.xyz</t>
  </si>
  <si>
    <t>Lighter</t>
  </si>
  <si>
    <t>Vladimir Novakovski and Scott Wu</t>
  </si>
  <si>
    <t>https://twitter.com/Lighter_xyz, https://www.linkedin.com/company/lighter-xyz/about/, https://lighter.xyz/</t>
  </si>
  <si>
    <t>lightspark.com</t>
  </si>
  <si>
    <t>Lightspark Group, Inc.</t>
  </si>
  <si>
    <t>Lightspark is created to explore, build and extend the capabilities and utility of Bitcoin.</t>
  </si>
  <si>
    <t>https://twitter.com/lightspark, https://www.linkedin.com/company/lightspark-group/, https://lightspark.com/</t>
  </si>
  <si>
    <t>lightup.ai</t>
  </si>
  <si>
    <t>Lightup</t>
  </si>
  <si>
    <t>Lightup enables data-driven businesses to achieve their full potential. Modern businesses are dealing with unprecedented volumes of real-time data, operating in environments that are constantly changing internally and externally. To get the most out of data-driven operations, businesses need the ability to continuously measure the performance of their data-driven operations at fine granularity across the entire pipeline. Lightup is enabling businesses to continuously track vitals of their data-driven operations at the finest granularity, catch problems before their customers do, and fix them before they impact business. The founding team brings together a unique combination of experience in big data, stream processing and rigorous statistical signal processing - crucial for building a data stability platform. We have over three decades of industry experience in multiple game changing startups and industry stalwarts like Google, GlobalFoundries and VMware.</t>
  </si>
  <si>
    <t>Manu Bansal, Vivek Joshi, Rajiv Ramanathan</t>
  </si>
  <si>
    <t>https://twitter.com/lightupdata, https://www.linkedin.com/company/lightup-data/, https://github.com/lightup-data, https://www.lightup.ai/</t>
  </si>
  <si>
    <t>lilsnack.co</t>
  </si>
  <si>
    <t>Lil Snack</t>
  </si>
  <si>
    <t>Lil Snack is gamifying entertainment by releasing new games every day. Play at the speed of culture.</t>
  </si>
  <si>
    <t>https://twitter.com/lilsnackdaily, https://www.linkedin.com/company/lil-snack/, https://www.lilsnack.co/</t>
  </si>
  <si>
    <t>li.me</t>
  </si>
  <si>
    <t>Lime</t>
  </si>
  <si>
    <t>We are proud to be launching LimeBike to revolutionize urban mobility, empowering people with more efficient, affordable, and sustainable transportation options. By utilizing modern mobile technology and systematically deploying thousands of smart-bikes, enabled with GPS and self-locking mechanisms, we can make bike sharing universally available and affordable with a station-less, subsidy free network unlike ever seen before. This will dramatically improve urban mobility, making the first and last mile faster, cheaper, and healthier. Users will be able to identify a bike on the street or on our app and with just two taps, will have access to $1 rides, with the ease to parking the bike at their destination. No more hunting for a distant docking station.</t>
  </si>
  <si>
    <t>https://www.facebook.com/limebike/, https://twitter.com/limebike, https://www.linkedin.com/company/limebike/, https://www.li.me/</t>
  </si>
  <si>
    <t>limitless.ai</t>
  </si>
  <si>
    <t>Limitless</t>
  </si>
  <si>
    <t>https://twitter.com/LimitlessAI, https://www.linkedin.com/company/rewindai/, https://www.limitless.ai/</t>
  </si>
  <si>
    <t>linq.gg</t>
  </si>
  <si>
    <t>Linq.gg</t>
  </si>
  <si>
    <t>Linq is empowering gaming economies with its fintech stack. The company is the financial backbone of Web 2.0 virtual worlds and game economies.</t>
  </si>
  <si>
    <t>https://ie.linkedin.com/company/linqgg, https://linq.gg/</t>
  </si>
  <si>
    <t>liveaware.io</t>
  </si>
  <si>
    <t>Live Aware Labs</t>
  </si>
  <si>
    <t>Live Aware is an AI-powered DevOps platform that helps digital product teams capture, analyze, and take action on community feedback at scale. Led by a team of industry vets from Activision, 343 (Halo), WB, and Twitch.</t>
  </si>
  <si>
    <t>https://www.linkedin.com/company/liveawarelabs, https://liveaware.io/</t>
  </si>
  <si>
    <t>getlocalmotion.com</t>
  </si>
  <si>
    <t>Local Motion</t>
  </si>
  <si>
    <t>Local Motion provides car sharing and mobility management technologies. Our technology powers smart fleets for corporations, campuses and government. Stop sharing the keys, start optimizing your assets! We've developed a smalltelematics device that we install in any vehicle. Employees save time by switching from using keys to using their badge to access vehicles. We provide a web-based dashboard that helps manager's control the fleet and make hard decisions. Managers can monitor activity, lower maintenance costs and decide how to rightsize their fleet.</t>
  </si>
  <si>
    <t>John Stanfield, Clement Gires</t>
  </si>
  <si>
    <t>https://www.facebook.com/pages/Local-Motion/222413771167848, https://twitter.com/getlocalmotion, https://www.linkedin.com/company/1310533, https://www.getlocalmotion.com/</t>
  </si>
  <si>
    <t>shoplocale.com</t>
  </si>
  <si>
    <t>Locale</t>
  </si>
  <si>
    <t>Locale is building the top marketplace for food discovery. Customers can order from local favorites and iconic eateries, all delivered in one box for a flat $5 delivery fee.</t>
  </si>
  <si>
    <t>https://www.facebook.com/localebayarea, https://www.linkedin.com/company/71623882/admin/, https://shoplocale.com/</t>
  </si>
  <si>
    <t>loft.com.br</t>
  </si>
  <si>
    <t>Loft</t>
  </si>
  <si>
    <t>Loft is a transactional marketplace for residential real estate that helps manage the home buying and selling process. Loft is Brazil’s first transactional marketplace for residential real estate, facilitating the purchase and sale of properties on behalf of individuals, brokers, and two publicly listedREITs managed by the company. By leveraging proprietary transaction data and an end-to-end digital workflow, Loft is bringing the Brazilian home-buying experience into the e-commerce age while integrating a multitude of adjacent service offerings.</t>
  </si>
  <si>
    <t>Florian Hagenbuch and Mate Pencz</t>
  </si>
  <si>
    <t>https://www.facebook.com/loftbr, https://twitter.com/loft_br, https://www.linkedin.com/company/loftbr/, https://loft.com.br/</t>
  </si>
  <si>
    <t>loftia.gg</t>
  </si>
  <si>
    <t>Loftia</t>
  </si>
  <si>
    <t>Loftia is a cozy, solarpunk-inspired live service game and community platform - where heartwarming gameplay and facilitating genuine connections between players is at its core.</t>
  </si>
  <si>
    <t>https://www.facebook.com/loftiadev, https://twitter.com/loftiadev, https://au.linkedin.com/company/qloud-games, https://loftia.gg/</t>
  </si>
  <si>
    <t>loopcrypto.xyz</t>
  </si>
  <si>
    <t>Loop Crypto is a platform that enables autopay with crypto.</t>
  </si>
  <si>
    <t>Eleni &amp; Shane</t>
  </si>
  <si>
    <t>https://twitter.com/loopcrypto_xyz, https://www.linkedin.com/company/loop-crypto, https://loopcrypto.xyz/</t>
  </si>
  <si>
    <t>lootrush.com</t>
  </si>
  <si>
    <t>LootRush</t>
  </si>
  <si>
    <t>LootRush is a Web3 Videogame Platform.</t>
  </si>
  <si>
    <t>https://www.facebook.com/LootRushGames?_rdc=1&amp;_rdr, https://twitter.com/LootRushGames, https://www.linkedin.com/company/lootrush/, https://www.lootrush.com/</t>
  </si>
  <si>
    <t>ltse.com</t>
  </si>
  <si>
    <t>LTSE Services, Inc.</t>
  </si>
  <si>
    <t>The Long-Term Stock Exchange (LTSE) is creating an SEC-regulated national securities exchange designed to align great companies and long-term investors with the shared goal of value creation. We have assembled a world-class team of experts and advisors located in New York, San Francisco, and DC with deep expertise in finance, regulation, law, and technology.</t>
  </si>
  <si>
    <t>Eric Ries</t>
  </si>
  <si>
    <t>https://www.facebook.com/longtermstockexchange, https://twitter.com/ltse, https://www.linkedin.com/company/the-long-term-stock-exchange, https://github.com/captable, https://ltse.com/</t>
  </si>
  <si>
    <t>lumalabs.ai</t>
  </si>
  <si>
    <t>Luma AI</t>
  </si>
  <si>
    <t>Luma AI enables everyone to capture and experience the world in 3D.</t>
  </si>
  <si>
    <t>https://twitter.com/lumalabsai?lang=en, https://www.linkedin.com/company/luma-ai/, https://lumalabs.ai/</t>
  </si>
  <si>
    <t>playkinderworld.com</t>
  </si>
  <si>
    <t>Lumi Interactive</t>
  </si>
  <si>
    <t>Lumi Interactive is the Australian-based game studio behind Kinder World, a free emotional wellbeing app for Gen Z and millennial women. They're on a mission to inspire kindness on a global scale by creating a whole new category of games.</t>
  </si>
  <si>
    <t>https://www.linkedin.com/company/lumi-interactive/?originalSubdomain=au, https://www.playkinderworld.com/</t>
  </si>
  <si>
    <t>lumos.com</t>
  </si>
  <si>
    <t>Lumos</t>
  </si>
  <si>
    <t>Lumos is the first AppStore for companies. Employees can receive access to the right apps and permissions for the right amount of time. Technology gives us superpowers. We believe equipping everyone with superpowers quickly and securely. That’s why we are building Lumos, the first AppStore for companies. Employees can go to their Company AppStore and receive the right access to the right apps and permissions for the right amount of time.</t>
  </si>
  <si>
    <t>Andrej Safundzic, Leo Mehr, Alan Flores-Lopez</t>
  </si>
  <si>
    <t>https://www.twitter.com/lumosidentity, https://www.linkedin.com/company/lumosidentity, https://lumos.com/</t>
  </si>
  <si>
    <t>macro.com</t>
  </si>
  <si>
    <t>Macro</t>
  </si>
  <si>
    <t>Macro is an information technology firm that provides SAAS solutions. Macro offers a document workspace driven by AI. They provide tools for word processors, PDF editors, comparison tools, automation tools, and more. They offer rapid context by allowing users to click on any specified term, section, chapter, clause, and more.</t>
  </si>
  <si>
    <t>https://www.linkedin.com/company/macrocom/, https://macro.com/</t>
  </si>
  <si>
    <t>magiccircle.studio</t>
  </si>
  <si>
    <t>Magic Circle Studio</t>
  </si>
  <si>
    <t>Magic Circle is building instant social games for every real-life and online gathering, personalized by AI.</t>
  </si>
  <si>
    <t>https://twitter.com/magiccircle_gg, https://www.linkedin.com/company/magiccirclestudio/, https://magiccircle.studio/</t>
  </si>
  <si>
    <t>magicleap.com</t>
  </si>
  <si>
    <t>Magic Leap</t>
  </si>
  <si>
    <t>Magic Leap is combining that inherent visual ability with mobile computing— giving you visual output equivalent to when you step outside into the world, but powered by the mobile tech you carry around. Using our Dynamic Digitized Lightfield Signal, imagine being able to generate images indistinguishable from real objects and then being able to place those images seamlessly into the real world. We are visionaries, rocket scientists, artificial intelligence gurus, robotics wizards, visualization jedis, software ninjas, computing hobbits, film freaks, mathematical artists, psychedelic physicists, people people, business athletes, and music lovers. We are creating a whole new user experience that we call Cinematic Reality.</t>
  </si>
  <si>
    <t>Rony Abovitz</t>
  </si>
  <si>
    <t>https://www.facebook.com/magicleap/, https://twitter.com/magicleap, https://www.linkedin.com/company/magic-leap-inc-/, https://www.magicleap.com/</t>
  </si>
  <si>
    <t>themainframe.com</t>
  </si>
  <si>
    <t>Mainframe Industries</t>
  </si>
  <si>
    <t>Mainframe Industries is a pan-Nordic game venture with studios in Helsinki and Reyjavik. The company will work on an open-world, social sandbox MMO specifically designed for cloud gaming, with cross-platform play across mobile, PC, and TV. Mainframe believes that the promise of friction-free access from social networks and streaming platforms on the device of your choice will greatly expand the creative canvas for game developers.</t>
  </si>
  <si>
    <t>https://www.facebook.com/MainframeIndustries, https://twitter.com/LootRushGames, https://www.linkedin.com/company/mainframe-industries, https://themainframe.com/</t>
  </si>
  <si>
    <t>makerdao.com</t>
  </si>
  <si>
    <t>Maker</t>
  </si>
  <si>
    <t>Maker is a decentralized autonomous organization on the Ethereum blockchain seeking to minimize the price volatility of its own stable token — the Dai — against the IMF’s international currency basket SDR.</t>
  </si>
  <si>
    <t>https://www.facebook.com/MakerDAOOfficial/, https://twitter.com/MakerDAO, https://www.linkedin.com/company/10146072/, https://makerdao.com/</t>
  </si>
  <si>
    <t>mana.bio</t>
  </si>
  <si>
    <t>Mana Bio</t>
  </si>
  <si>
    <t>AI powered design of non-viral delivery vehicles for genetic medicines</t>
  </si>
  <si>
    <t>https://mana.bio/</t>
  </si>
  <si>
    <t>manifold.xyz</t>
  </si>
  <si>
    <t>Manifold</t>
  </si>
  <si>
    <t>Manifold specializes in developing tools and products for NFT creators and communities. It helps web3 creators have true creative ownership, preserve on-chain provenance, and interoperate with all major NFT marketplaces.</t>
  </si>
  <si>
    <t>https://twitter.com/manifoldxyz, https://www.linkedin.com/company/manifoldxyz, https://manifold.xyz/</t>
  </si>
  <si>
    <t>markerlearning.com</t>
  </si>
  <si>
    <t>Marker Learning</t>
  </si>
  <si>
    <t>Affordable and accessible learning disabilities diagnostics and support platform</t>
  </si>
  <si>
    <t>https://m.facebook.com/people/Marker-Learning/100076160887516/, https://www.linkedin.com/company/markerlearning/, https://markerlearning.com/</t>
  </si>
  <si>
    <t>matchday.com</t>
  </si>
  <si>
    <t>Matchday</t>
  </si>
  <si>
    <t>Matchday is creating an ecosystem of games for 5B soccer fans. At the heart of our games is your dream team, assembled from tens of thousands of officially licensed soccer stars.</t>
  </si>
  <si>
    <t>https://x.com/matchday, https://www.linkedin.com/company/matchday/, http://matchday.com/</t>
  </si>
  <si>
    <t>material.security</t>
  </si>
  <si>
    <t>Material Security</t>
  </si>
  <si>
    <t>Organizations of all shapes and sizes trust Material to provide visibility, defense-in-depth, and security infrastructure for Microsoft 365 and Google Workspace. Material helps reduce the attack surface with powerful risk analytics and threat detection tools, and contain the blast radius of incidents in order to protect sensitive data and apps.</t>
  </si>
  <si>
    <t>Ryan Noon, Abhishek Agrawal, Chris Park</t>
  </si>
  <si>
    <t>https://twitter.com/material_sec, https://www.linkedin.com/company/materialsecurity, https://material.security/</t>
  </si>
  <si>
    <t>matik.io</t>
  </si>
  <si>
    <t>Matik</t>
  </si>
  <si>
    <t>Matik provides an online platform that generates personalized customer presentations in minutes. The platform automatically generates native Google Slide or PowerPoint presentations with customized data inputs.</t>
  </si>
  <si>
    <t>https://www.facebook.com/app.matik.io/?ref=py_c, https://twitter.com/matik_io, https://www.linkedin.com/company/matik-inc/, https://instagram.com/matik.io, https://www.matik.io/</t>
  </si>
  <si>
    <t>matter-labs.io</t>
  </si>
  <si>
    <t>Matter Labs</t>
  </si>
  <si>
    <t>Matter Labs is scaling Ethereum with zero-knowledge proofs to accelerate public blockchain adoption. The company started out of scientific curiosity, the joy of engineering, and a deep conviction, the most impactful way to improve the world today is to provide an open and free alternative to its existing, deeply flawed financial system.</t>
  </si>
  <si>
    <t>https://twitter.com/the_matter_labs, https://www.linkedin.com/company/matterlabs/, https://github.com/matter-labs/zksync, https://matter-labs.io/</t>
  </si>
  <si>
    <t>maven.com</t>
  </si>
  <si>
    <t>Maven</t>
  </si>
  <si>
    <t>Maven is a developer of an online cohort-based leadership program designed to create a community where anyone can start their own course.</t>
  </si>
  <si>
    <t>Gagan Biyani, Wes Kao, Shreyans Bhansali</t>
  </si>
  <si>
    <t>https://twitter.com/mavenhq, https://www.linkedin.com/company/maven-hq, https://maven.com/</t>
  </si>
  <si>
    <t>shop.mayvenn.com</t>
  </si>
  <si>
    <t>Mayvenn</t>
  </si>
  <si>
    <t>Mayvenn is an e-commerce platform designed to enable beauty professionals to retail, without having to buy or manage inventory. Mayvenn has a network of over 30,000 hair stylists nationwide that have used our platform to add an additional stream of income to their business.</t>
  </si>
  <si>
    <t>Diishan Imira</t>
  </si>
  <si>
    <t>https://www.facebook.com/mavyennhair, https://twitter.com/mayvennhair, https://www.linkedin.com/company/mayvenn, http://instagram.com/mayvennhair, https://shop.mayvenn.com/</t>
  </si>
  <si>
    <t>mazetx.com</t>
  </si>
  <si>
    <t>Maze Therapeutics</t>
  </si>
  <si>
    <t>Maze Therapeutics is translating novel genetic insights into lifesaving medicines by integrating human genetics and functional genomics to transform the lives of patients</t>
  </si>
  <si>
    <t>Charles Homcy, Sekar Kathiresan, Mark Daly, Stephen Elledge, Aaron D. Gitler, Jonathan S. Weissman</t>
  </si>
  <si>
    <t>https://twitter.com/MazeInBiotech, https://www.linkedin.com/company/mazetx/, https://mazetx.com/</t>
  </si>
  <si>
    <t>mediachain.io</t>
  </si>
  <si>
    <t>Mediachain</t>
  </si>
  <si>
    <t>The goal of Mine is to make metadata for digital images persistent and discoverable anywhere images exist. Today, information about an image, such as authorship or context, is quickly lost as it is shared across the internet. An image may start its life illustrating a news article on the New York Times, annotated with the photographers name and an insightful caption, but it quickly gets stripped down of any valuable context as it propagates different channels of the internet. We effectively know less about an image as it goes viral and reaches more people Mine wants to leverage the phenomenon of social image sharing in the production of a visual knowledge project. Mine uses computer vision to connect the thousands of different appearances of an image, over a thousand contexts and across any platform into one source image: where everything about that image can be collected and known. The entire ripple an image makes across the world is shown under one heading and the Mine community filters what information is most important. Our goal is to disinter mediate media consumption and interaction, which today relies on centralized platforms such as Facebook and Twitter which monetize their users and all the content that flows through them with little benefit to the communities that create that value. This is why we are building our dataset on top of the blockchain, the same technology that enabled two people to exchange a financial asset with no middleman in the case of Bitcoin. We have specified a proposal for our open dataset in the Canonical Content Registry: https://github.com/mine-code/canonical-content-registry</t>
  </si>
  <si>
    <t>http://twitter.com/mediachain_, http://github.com/mediachain, https://mediachain.io/</t>
  </si>
  <si>
    <t>medium.com</t>
  </si>
  <si>
    <t>Medium</t>
  </si>
  <si>
    <t>Launched in August 2012, Medium.com is a blog that enables users to share and experience knowledge, ideas and stories. It is a personalized blogging site that allows users to post their writings of more than 140 characters with embedded images. Users ranging from journalists to amateur cooks create, post, leave notes and add recommendations on medium.com. The site also helps users find their targeted audience with less effort.</t>
  </si>
  <si>
    <t>Evan Williams</t>
  </si>
  <si>
    <t>https://www.facebook.com/medium/, http://twitter.com/medium, https://www.linkedin.com/company/medium-com/, https://medium.com/</t>
  </si>
  <si>
    <t>withmedley.com</t>
  </si>
  <si>
    <t>Medley</t>
  </si>
  <si>
    <t>Medley is a membership for curious, growth-minded people who want a structured, social, and accessible way to invest in themselves. Medley is a network of the future united by a shared commitment to growth, on a mission to make high-quality experiences engaging and accessible to broader audiences. Members are algorithmically matched into small, diverse groups and led in monthly sessions by certified coaches. Medley members benefit not only from these curated sessions, but alsoa community built on diverse perspectives – leading to positive, enriching, and engaging interactions.</t>
  </si>
  <si>
    <t>Jordan Taylor and Edith Cooper</t>
  </si>
  <si>
    <t>https://twitter.com/withmedley, https://www.linkedin.com/company/withmedley/, https://www.withmedley.com/</t>
  </si>
  <si>
    <t>meitre.com</t>
  </si>
  <si>
    <t>Meitre</t>
  </si>
  <si>
    <t>Meitre is an online reservations, guest, and revenue management platform for the world's top restaurants.</t>
  </si>
  <si>
    <t>https://twitter.com/meitre_com, https://www.linkedin.com/company/18489108/, https://meitre.com/en</t>
  </si>
  <si>
    <t>mem.ai</t>
  </si>
  <si>
    <t>Mem</t>
  </si>
  <si>
    <t>The world's first self-organizing workspace.</t>
  </si>
  <si>
    <t>Kevin Moody, Dennis Xu</t>
  </si>
  <si>
    <t>https://twitter.com/memdotai, https://www.linkedin.com/company/memdotai/, https://mem.ai/</t>
  </si>
  <si>
    <t>mem.co</t>
  </si>
  <si>
    <t>Mem Protocol</t>
  </si>
  <si>
    <t>Mem Protocol is a human-centric tool for the social layer of web3.</t>
  </si>
  <si>
    <t>Abhi Vyas, Don Walpola</t>
  </si>
  <si>
    <t>https://twitter.com/memprotocol, https://www.linkedin.com/company/memprotocol, https://mem.co/</t>
  </si>
  <si>
    <t>mercury.com</t>
  </si>
  <si>
    <t>Mercury</t>
  </si>
  <si>
    <t>Mercury offers FDIC-insured accounts, virtual &amp; physical debit cards, currency exchange, domestic, and international wires. Mercury read and write API access, custom team management, and integrations with the tools your startup uses like Quickbooks and Stripe. Plus, keep growing with Mercury with programs like Raise that connects startups toinvestors, mentors, and other founders.</t>
  </si>
  <si>
    <t>https://www.facebook.com/bankwithmercury/, https://twitter.com/mercury, https://www.linkedin.com/company/mercurybank, https://mercury.com/</t>
  </si>
  <si>
    <t>merits.com</t>
  </si>
  <si>
    <t>Merit</t>
  </si>
  <si>
    <t>Merit's at the center of life-saving emergency response and recovery, initiatives to revitalize the workforce and find quality jobs for military spouses, and multi-million-dollar education grant programs.</t>
  </si>
  <si>
    <t>https://www.facebook.com/earnmerits, https://www.twitter.com/earnmerits, https://www.linkedin.com/company/19074857/, https://www.merits.com/</t>
  </si>
  <si>
    <t>farcaster.xyz</t>
  </si>
  <si>
    <t>Merkle Manufactory, Inc.</t>
  </si>
  <si>
    <t>Farcaster is building a protocol for decentralized social media applications. Farcaster is a social network that helps coders, fitness enthusiasts, and meme makers find people based on their interests.</t>
  </si>
  <si>
    <t>https://mobile.twitter.com/farcaster_xyz, https://www.linkedin.com/company/farcaster/, https://farcaster.xyz/</t>
  </si>
  <si>
    <t>meta4.capital</t>
  </si>
  <si>
    <t>Meta4 Capital</t>
  </si>
  <si>
    <t>https://twitter.com/Meta4Capital, https://www.linkedin.com/company/meta4-capital/, https://www.instagram.com/meta4capital/, https://meta4.capital/</t>
  </si>
  <si>
    <t>metaphor.io</t>
  </si>
  <si>
    <t>Metaphor Data</t>
  </si>
  <si>
    <t>Metaphor is a search and discovery tool built for data scientists, data engineers, and AI practitioners. It aims to help all organizations better understand and manage their data through the power of the metadata knowledge graph.</t>
  </si>
  <si>
    <t>Pardhu Gunnam, Mars Lan</t>
  </si>
  <si>
    <t>https://twitter.com/MetaphorData, https://www.linkedin.com/company/metaphor-data/?viewAsMember=true, https://github.com/linkedin/datahub, https://metaphor.io/</t>
  </si>
  <si>
    <t>metatheory.gg</t>
  </si>
  <si>
    <t>Metatheory</t>
  </si>
  <si>
    <t>Metatheory focuses on building Web3 games and virtual worlds imagined across innovative new story franchise IPs. Metatheory Inc. is an interactive technology and entertainment company building Web3 games, interactive content, social experiences, and other community-driven adventures. Metatheory’s mission is to inspire imagination by connecting people worldwide through immersive worlds built on cross-generational IP.</t>
  </si>
  <si>
    <t>https://twitter.com/DuskBreakers, https://www.linkedin.com/company/metatheory-inc/, https://metatheory.gg/</t>
  </si>
  <si>
    <t>methodfi.com</t>
  </si>
  <si>
    <t>Method</t>
  </si>
  <si>
    <t>Method Financial empowers real-time data and payment access for consumer liabilities. Using a consumer’s PII, Method can securely connect all of a user’s liabilities, retrieve comprehensive data, and enable payment access. Method’s industry-backed network allows lenders, fintechs, and financial institutions to build personalized lending and financial management experiences supported by comprehensive real-time credit data, evergreen connections and integrated payment rails. Through a single integration, Method powers access to liabilities held at over 15,000+ FIs in the US, covering 95% of all outstanding consumer liabilities.</t>
  </si>
  <si>
    <t>Jose Bethancourt, Marco del Carmen, Mit Shah</t>
  </si>
  <si>
    <t>https://twitter.com/MethodFinancial, https://www.linkedin.com/company/methodfi/, https://methodfi.com/</t>
  </si>
  <si>
    <t>metronome.com</t>
  </si>
  <si>
    <t>Metronome</t>
  </si>
  <si>
    <t>Metronome helps software companies launch, iterate, and scale their business models with billing infrastructure that works at any size and stage. Push your data into Metronome and rapidly iterate on your evolving business model without rearchitecting billing or rewriting code.</t>
  </si>
  <si>
    <t>Kevin Liu, Scott Woody</t>
  </si>
  <si>
    <t>https://www.twitter.com/getmetronome, https://www.linkedin.com/company/getmetronome, https://metronome.com/</t>
  </si>
  <si>
    <t>miluhealth.com</t>
  </si>
  <si>
    <t>Milu Health</t>
  </si>
  <si>
    <t>Comprehensive platform for employers and employees to save money on healthcare</t>
  </si>
  <si>
    <t>https://www.miluhealth.com/</t>
  </si>
  <si>
    <t>kiosk.app</t>
  </si>
  <si>
    <t>Mirror</t>
  </si>
  <si>
    <t>https://twitter.com/viamirror, https://kiosk.app/</t>
  </si>
  <si>
    <t>mixpanel.com</t>
  </si>
  <si>
    <t>Mixpanel</t>
  </si>
  <si>
    <t>Mixpanel is helping the world learn from its data by offering event analytics everyone can use. Mixpanel helps companies measure what matters, make decisions fast, and build better products through data. The company offers a self-serve product analytics solution that can analyze how and why people engage, convert, and retain—in real-time, across devices—to improve their user experience.</t>
  </si>
  <si>
    <t>Suhail Doshi, Tim Trefren</t>
  </si>
  <si>
    <t>https://www.facebook.com/mixpanel, https://twitter.com/mixpanel, https://www.linkedin.com/company/423483, https://mixpanel.com/</t>
  </si>
  <si>
    <t>ml4t.org</t>
  </si>
  <si>
    <t>MLT</t>
  </si>
  <si>
    <t>https://ml4t.org/</t>
  </si>
  <si>
    <t>modernfi.com</t>
  </si>
  <si>
    <t>ModernFi</t>
  </si>
  <si>
    <t>ModernFi operates a deposit network that helps institutions grow, retain, and manage their deposits. Through the ModernFi deposit network, institutions can provide extended insurance to depositors through program banks, sweep excess funds to program banks, and receive funds on demand.</t>
  </si>
  <si>
    <t>https://www.linkedin.com/company/modernfi, https://modernfi.com/</t>
  </si>
  <si>
    <t>withmoment.com</t>
  </si>
  <si>
    <t>Moment</t>
  </si>
  <si>
    <t>Moment offers a modern, comprehensive, and accessible all-in-one solution for fixed income. Founded in 2022, Moment has quickly established itself as the leading fixed income infrastructure provider for global fintechs, traditional brokerages, and RIAs. The company's APIs power automated execution, data and analytics, and risk management for firms collectively representing 100B+ in assets.</t>
  </si>
  <si>
    <t>Dylan Parker, Ammer Soliman, Dean Hathout</t>
  </si>
  <si>
    <t>https://www.linkedin.com/company/moment-markets/, https://www.withmoment.com/</t>
  </si>
  <si>
    <t>moov.io</t>
  </si>
  <si>
    <t>Moov</t>
  </si>
  <si>
    <t>Moov is developing an open source platform enabling users to quickly deploy basic financial service tools. Moov is rebuilding banking infrastructure for a cloud-native world without any legacy technology dependencies. Moov’s banking-as-a-service platform takes a developer-first approach of being open-source, portable to cloud providers or on-premises, modular for customization, and decoupled from any single bank program.</t>
  </si>
  <si>
    <t>Wade Arnold and Bob Smith</t>
  </si>
  <si>
    <t>https://twitter.com/moov, https://www.linkedin.com/company/moov-io/, https://github.com/moov-io, https://moov.io/</t>
  </si>
  <si>
    <t>morpho.xyz</t>
  </si>
  <si>
    <t>Morpho</t>
  </si>
  <si>
    <t>Morpho is a decentralized protocol enabling the lending and borrowing of digital assets. The protocol serves as a secure, efficient, and flexible base layer for users and applications.</t>
  </si>
  <si>
    <t>https://twitter.com/MorphoLabs, https://morpho.xyz/</t>
  </si>
  <si>
    <t>mosaic.us</t>
  </si>
  <si>
    <t>Mosaic</t>
  </si>
  <si>
    <t>Mosaic is a construction technology company building software to make residential construction more scalable. The company operates as a digital general contractor to provide construction and related services to homebuilders and residential developers, allowing them to offload their construction processes and related needs to Mosaic’s integratedplatform and team. Mosaic’s platform standardizes the construction process, and not the homes, allowing them to deliver places people love and create better communities.</t>
  </si>
  <si>
    <t>https://x.com/mosaicbuilders, https://www.linkedin.com/company/mosaicbuilders/about/, https://www.instagram.com/mosaicbuilders/, https://mosaic.us/</t>
  </si>
  <si>
    <t>motherduck.com</t>
  </si>
  <si>
    <t>Motherduck</t>
  </si>
  <si>
    <t>Data Infrastructure and Analytics for data big and small. Serverless Data Analytics with DuckDB.</t>
  </si>
  <si>
    <t>https://twitter.com/motherduck, https://www.linkedin.com/company/motherduck/, https://github.com/motherduckdb, https://motherduck.com/</t>
  </si>
  <si>
    <t>mountaintop.gg</t>
  </si>
  <si>
    <t>Mountaintop Studios</t>
  </si>
  <si>
    <t>Mountaintop Studios is a game studio creating multiplayer games for players who crave a challenge.</t>
  </si>
  <si>
    <t>Nate Mitchell, Matt Hansen, Rich Lyons, Mark Terrano</t>
  </si>
  <si>
    <t>https://twitter.com/itsmountaintop, https://www.linkedin.com/company/65650911/, https://www.mountaintop.gg/</t>
  </si>
  <si>
    <t>musesessions.co</t>
  </si>
  <si>
    <t>Muse App Inc</t>
  </si>
  <si>
    <t>Luis Caballero, born in Oklahoma City, acquired a diverse set of self-taught skills at an early age, including music production, website development, and social media growth. He leveraged these skills to fund his computer science studies at the University of Oklahoma, where he would eventually meet his cofounder, Sung Choi. Originally from South Korea, Sung moved to the U.S. in second grade and always had a passion for programming and making products, which persisted into his college years and led to the decision to collaborate with Luis. Together, they founded Muse, a collaboration platform for music creators designed to simplify the process of producing, recording, and sharing ideas in real time.</t>
  </si>
  <si>
    <t>https://www.facebook.com/museapp, https://www.instagram.com/musesessions.co/, https://www.musesessions.co/</t>
  </si>
  <si>
    <t>mvmnt.io</t>
  </si>
  <si>
    <t>Mvmnt</t>
  </si>
  <si>
    <t>MVMNT is a freight technology startup that offers a management platform to reduce supply chain disruption. Our mission is to enable the long-tail of supply chain with enterprise-level technology and embedded financial services so that small and mid-sized businesses can compete on a level playing field. MVMNT is freight management software without limits.</t>
  </si>
  <si>
    <t>https://twitter.com/mvmnt_freight, https://www.linkedin.com/company/mvmntgroup, https://mvmnt.io/</t>
  </si>
  <si>
    <t>mystenlabs.com</t>
  </si>
  <si>
    <t>Mysten Labs</t>
  </si>
  <si>
    <t>Mysten Labs develops tools that make web3 secure, reliable, and ready for mass adoption. They create foundational infrastructure to accelerate the adoption of web3.</t>
  </si>
  <si>
    <t>https://twitter.com/Mysten_Labs, https://www.linkedin.com/company/mysten-labs, https://mystenlabs.com/</t>
  </si>
  <si>
    <t>mythicalgames.com</t>
  </si>
  <si>
    <t>Mythical Games</t>
  </si>
  <si>
    <t>Mythical Games is a video game engine for player-owned economies. Mythical is a next-generation game technology studio. Mythical Games believes that true ownership of digital assets, verifiable scarcity, and integrated secondary markets will spawn a new generation of games. These new economies, based on digital ownership, will bring players, developers, and content creators closer to the games they love.</t>
  </si>
  <si>
    <t>John Linden, Jamie Jackson, and Rudy Koch</t>
  </si>
  <si>
    <t>https://www.facebook.com/playmythical, https://twitter.com/playmythical, https://www.linkedin.com/company/mythical, https://mythicalgames.com/</t>
  </si>
  <si>
    <t>nansen.ai</t>
  </si>
  <si>
    <t>Nansen</t>
  </si>
  <si>
    <t>Nansen is a blockchain analytics platform for crypto professionals and investors. Nansen enriches on-chain data with millions of wallets labels. Crypto investors use Nansen to discover opportunities, perform due diligence and defend their portfolios with its real-time dashboards and alerts.</t>
  </si>
  <si>
    <t>Alex Svanevik</t>
  </si>
  <si>
    <t>https://twitter.com/nansen_ai, https://www.linkedin.com/company/nansen/, https://nansen.ai/</t>
  </si>
  <si>
    <t>nationbuilder.com</t>
  </si>
  <si>
    <t>NationBuilder</t>
  </si>
  <si>
    <t>NationBuilder is the WordPress for organizing, targeted primarily at political campaigns and non-profits, and sold as a subscription service</t>
  </si>
  <si>
    <t>Jim Gilliam, Jesse Haff, Lea Endres</t>
  </si>
  <si>
    <t>http://www.facebook.com/NationBuilder, https://twitter.com/NationBuilder, https://www.linkedin.com/company/nationbuilder/, https://nationbuilder.com/</t>
  </si>
  <si>
    <t>navan.com</t>
  </si>
  <si>
    <t>Navan</t>
  </si>
  <si>
    <t>Navan modernizes the corporate travel and expenses experience while providing companies with real-time visibility, savings, and control.</t>
  </si>
  <si>
    <t>Ariel Cohen, Ilan Twig</t>
  </si>
  <si>
    <t>https://www.facebook.com/GetNavan, https://twitter.com/Navan, https://www.linkedin.com/company/navan/, https://github.com/https://github.com/tripactions, https://navan.com/</t>
  </si>
  <si>
    <t>near.org</t>
  </si>
  <si>
    <t>NEAR</t>
  </si>
  <si>
    <t>NEAR Protocol is a community-operated cloud which forms the backbone infrastructure of the Open Web stack and supports an entirely wave of new applications that will be built using open technologies. This is the same scope of impact achieved by early Internet protocols like TCP/IP or cloud-based hosting services like AWS. NEAR will succeed where prior generations of platforms like Ethereum have not because the technology is finally at a place which allows the level of usability necessary to achieve mainstream adoption and the at-scale performance necessary to support it. Let's be clear: NEAR isn't a side chain, an ERC20 token or a highly specialized task-specific blockchain, it is nothing less than a brand new and fundamentally reimagined layer 1 protocol designed to independently power the base of the Open Web stack. Unlike other projects in the space which are glorified research projects or hand-wavy marketing pitches, NEAR is being built by a global collective of world champion competitive programmers and successful entrepreneurs who know how to take technology to market. We're looking for only the very best, world-class engineers and startup veterans to join this journey. Do you have what it takes to change the world?</t>
  </si>
  <si>
    <t>https://twitter.com/NEARProtocol, https://www.linkedin.com/company/near-protocol/, https://github.com/nearprotocol, https://near.org/</t>
  </si>
  <si>
    <t>neighbor.com</t>
  </si>
  <si>
    <t>Neighbor</t>
  </si>
  <si>
    <t>Neighbor is a peer-to-peer storage company that connects hosts with unused space to renters in need of affordable storage.</t>
  </si>
  <si>
    <t>https://www.facebook.com/storewithneighbor/, https://twitter.com/neighborstorage, https://www.linkedin.com/company/18164617/, https://www.neighbor.com/</t>
  </si>
  <si>
    <t>neonpay.com</t>
  </si>
  <si>
    <t>Neon Commerce</t>
  </si>
  <si>
    <t>Neon builds fintech and e-commerce tools for game developers to sell in-game items directly to consumers to save on platform fees and develop direct relationships with their players.</t>
  </si>
  <si>
    <t>https://twitter.com/neoncommerce, https://www.linkedin.com/company/neonpay/, https://neonpay.com/</t>
  </si>
  <si>
    <t>neonwild.com</t>
  </si>
  <si>
    <t>Neon Wild</t>
  </si>
  <si>
    <t>Neon Wild is re-imagining family entertainment by defining a new content space with personalized, interactive animated story worlds and partnering with beloved kids IPs to kickstart the platform.</t>
  </si>
  <si>
    <t>https://www.facebook.com/TheNeonWild, https://www.linkedin.com/company/neon-wild, https://www.neonwild.com/</t>
  </si>
  <si>
    <t>netlify.com</t>
  </si>
  <si>
    <t>Netlify</t>
  </si>
  <si>
    <t>Netlify is enabling a new de-coupled web architecture via unique infrastructure that provides consolidated workflows for developers and business a like. All the different services needed to create global high-performant web projects, are integrated into a single automated platform.</t>
  </si>
  <si>
    <t>Chris Bach, Matt Billmann</t>
  </si>
  <si>
    <t>https://twitter.com/netlify, https://www.linkedin.com/company/netlify/, https://github.com/netlify, https://netlify.com/</t>
  </si>
  <si>
    <t>netography.com</t>
  </si>
  <si>
    <t>Netography</t>
  </si>
  <si>
    <t>Turn any device in your network into a security asset. Netography, through remote monitoring and analysis, allows your network secures itself with or without your direction.</t>
  </si>
  <si>
    <t>Dan Murphy, Barrett Lyon</t>
  </si>
  <si>
    <t>https://twitter.com/netography, https://www.linkedin.com/company/35557404, https://netography.com/</t>
  </si>
  <si>
    <t>neuralmagic.com</t>
  </si>
  <si>
    <t>Neural Magic</t>
  </si>
  <si>
    <t>Neural Magic's 'No-Hardware AI' uses software to execute deep learning workloads at scale. Founded by a team from MIT CSAIL, Neural Magic is unlocking the power of CPUs to deliver state-of-the-art ML performance. Neural Magic machine learning engine enables ML applications to be run in new places, on new kinds of workloads.</t>
  </si>
  <si>
    <t>https://www.facebook.com/neuralmagic/, https://twitter.com/neuralmagic, https://www.linkedin.com/company/neural-magic/, https://neuralmagic.com/</t>
  </si>
  <si>
    <t>ng.cash</t>
  </si>
  <si>
    <t>NG.CASH</t>
  </si>
  <si>
    <t>NG.CASH is the leading finance app for the Generation Z in Brazil. It allows the New Generation to manage their own money with autonomy and safety. With access to wire transactions such as Pix, prepaid credit card, allowance management and virtual card, in addition to differentials such as skin customization and discount marketplace. We empower generation Z to be smarter with their money and help them achieve their financial independence. #genzbanking</t>
  </si>
  <si>
    <t>https://www.linkedin.com/company/ngcash, https://ng.cash/</t>
  </si>
  <si>
    <t>tflabs.io</t>
  </si>
  <si>
    <t>Niftmint</t>
  </si>
  <si>
    <t>Jonathan G. Blanco is a first generation American who was born in Seattle but grew up in two cultures simultaneously: Latino culture at home and American culture at school. He always had a strong desire to become an entrepreneur and spent the majority of his adult life pursuing this goal, starting with retail products which eventually led him into the world of eCommerce. As crypto emerged, he saw it as a potential avenue for loyalty and branding. In late 2020, he saw the huge interest in NFTs as an opportunity to launch Niftmint, a platform that allows brands to mint, sell, and custody NFTs to boost customer loyalty and revenue without the need to manage cryptocurrency or a crypto wallet.</t>
  </si>
  <si>
    <t>https://www.facebook.com/pg/TFLabsStudio/, https://twitter.com/tflabs_, https://www.linkedin.com/company/tflabs/, https://tflabs.io/</t>
  </si>
  <si>
    <t>nodgames.com</t>
  </si>
  <si>
    <t>NOD Games</t>
  </si>
  <si>
    <t>Chan Lee, Steve Hwang</t>
  </si>
  <si>
    <t>https://twitter.com/LeagueKingdoms, https://www.linkedin.com/company/19200329/, https://nodgames.com/</t>
  </si>
  <si>
    <t>northwoodspace.io</t>
  </si>
  <si>
    <t>Northwood Space</t>
  </si>
  <si>
    <t>https://twitter.com/NorthwoodSpace, https://www.linkedin.com/company/northwood-space, https://northwoodspace.io/</t>
  </si>
  <si>
    <t>nova.xyz</t>
  </si>
  <si>
    <t>Nova Labs</t>
  </si>
  <si>
    <t>Nova Labs creates technologies and services that shape the future of connectivity.</t>
  </si>
  <si>
    <t>https://twitter.com/helium, https://nova.xyz/</t>
  </si>
  <si>
    <t>nx.dev</t>
  </si>
  <si>
    <t>Nx</t>
  </si>
  <si>
    <t>an open source build system to manage Javascript monorepos.</t>
  </si>
  <si>
    <t>https://twitter.com/NxDevTools, https://www.linkedin.com/company/nxdevtools/, https://github.com/https://github.com/nrwl/nx, http://nx.dev/</t>
  </si>
  <si>
    <t>nymtech.net</t>
  </si>
  <si>
    <t>Nym</t>
  </si>
  <si>
    <t>Nym Technologies is a privacy-centric startup. Existing internet protocols leak sensitive data at both network and application levels – we are developing the infrastructure to prevent this data leakage and provide people with the best possible privacy.</t>
  </si>
  <si>
    <t>https://twitter.com/nymproject, https://www.linkedin.com/company/nymtechnologies/about/, https://nymtech.net/</t>
  </si>
  <si>
    <t>oasislabs.com</t>
  </si>
  <si>
    <t>Oasis Labs</t>
  </si>
  <si>
    <t>Oasis Labs is a privacy-first cloud computing platform on blockchain technology. They are building a new computing platform that enables cloud-scale, real-world applications with decentralized trust and privacy protection; in short, a privacy-first, high-performance cloud computing platform on blockchain.</t>
  </si>
  <si>
    <t>https://www.facebook.com/Oasis-Labs-302868693706880/, https://twitter.com/OasisLabs, https://www.linkedin.com/company/oasis-labs, https://www.oasislabs.com/</t>
  </si>
  <si>
    <t>octant.bio</t>
  </si>
  <si>
    <t>Octant Bio</t>
  </si>
  <si>
    <t>Engineering biology at massive scale to accelerate the development of next-generation small molecules</t>
  </si>
  <si>
    <t>https://twitter.com/OctantBio, https://www.linkedin.com/company/octantbio/, https://github.com/octantbio/, https://www.octant.bio/</t>
  </si>
  <si>
    <t>withodyssey.com</t>
  </si>
  <si>
    <t>Odyssey</t>
  </si>
  <si>
    <t>Odyssey is a mission-driven technology company that partners with state agencies to help families access high-quality K-12 education. Odyssey equips states with the tools to manage all aspects of school choice administration in a single, easy-to-use platform. To date, we have partnered with seven state agencies to administer ESAs, microgrant, and voucher Programs. For the 2025-2026 school year, Odyssey is projected to support 100,000+ students in accessing more than $800 million of state funding.</t>
  </si>
  <si>
    <t>https://www.facebook.com/withodysseyteam, https://twitter.com/WithOdyssey_, https://www.linkedin.com/company/withodyssey, https://withodyssey.com/</t>
  </si>
  <si>
    <t>odysseyinteractive.gg</t>
  </si>
  <si>
    <t>Odyssey Interactive</t>
  </si>
  <si>
    <t>Odyssey Interactive is a Canadian Game Development studio formed around the mantra of building "Games you Live". Odyssey believes that the best games are the ones you think about long after you put them down, that help you feel like you're a part of something bigger than yourself, and that you believe you can invest in for years to come.</t>
  </si>
  <si>
    <t>https://www.youtube.com/c/omegastrikers, https://twitter.com/PlayOmega, https://www.linkedin.com/company/odysseyinteractive/, http://odysseyinteractive.gg/</t>
  </si>
  <si>
    <t>offerup.com</t>
  </si>
  <si>
    <t>OfferUp</t>
  </si>
  <si>
    <t>OfferUp provides an online and mobile C2C marketplace app for people to buy and sell electronics, furniture, and cars.</t>
  </si>
  <si>
    <t>Nick Huzar, Arean van Veelen</t>
  </si>
  <si>
    <t>https://www.facebook.com/offerup/, http://www.twitter.com/offerup, https://www.linkedin.com/company/offerup/, https://www.instagram.com/offerup/, https://offerup.com/</t>
  </si>
  <si>
    <t>omadahealth.com</t>
  </si>
  <si>
    <t>Omada Health</t>
  </si>
  <si>
    <t>Virtual clinic that empowers people to achieve their health goals through sustainable behavioral change</t>
  </si>
  <si>
    <t>https://twitter.com/omadahealth, https://www.linkedin.com/company/2227727, https://www.omadahealth.com/</t>
  </si>
  <si>
    <t>onemoregame.com</t>
  </si>
  <si>
    <t>One More Game</t>
  </si>
  <si>
    <t>One More Game is a Seattle-area game studio developing online games for mobile, tablet and PC (Windows/Mac/Linux). Our team has made games with billions of hours played. Our mission is to help the world have just a little more fun.</t>
  </si>
  <si>
    <t>https://a16z.com/portfolio/PlayOneMoreGame, https://www.linkedin.com/company/onemoregame/about/, https://github.com/PlayOneMoreGame, https://www.onemoregame.com/</t>
  </si>
  <si>
    <t>opensouls.org</t>
  </si>
  <si>
    <t>Open Souls</t>
  </si>
  <si>
    <t>Open Souls is creating AI Souls.</t>
  </si>
  <si>
    <t>https://twitter.com/opensoulspbc, https://www.linkedin.com/company/opensouls, https://github.com/opensouls, https://opensouls.org/</t>
  </si>
  <si>
    <t>openai.com</t>
  </si>
  <si>
    <t>OpenAI</t>
  </si>
  <si>
    <t>OpenAI is an AI research and deployment company dedicated to ensuring that general-purpose artificial intelligence benefits all of humanity.</t>
  </si>
  <si>
    <t>https://www.facebook.com/openai, https://www.twitter.com/OpenAI, https://www.linkedin.com/company/openai, https://openai.com/</t>
  </si>
  <si>
    <t>openbazaar.org</t>
  </si>
  <si>
    <t>OpenBazaar</t>
  </si>
  <si>
    <t>OpenBazaar is a new way to buy and sell goods and services online. By running a program on your computer, you can connect directly to other users in the OpenBazaar network and trade with them. The network isn't controlled by a company or organisation. OpenBazaar is a BitTorrent-style peer-to-peer network. This means there are no mandatory fees to pay and the network is censorship-resistant.</t>
  </si>
  <si>
    <t>https://a16z.com/portfolio/@ob1company, https://github.com/OB1Company, https://openbazaar.org/</t>
  </si>
  <si>
    <t>opengov.com</t>
  </si>
  <si>
    <t>OpenGov</t>
  </si>
  <si>
    <t>OpenGov is the leader in providing our nation’s state agencies and local governments with modern cloud software to help power more effective and accountable government. Built exclusively for the unique budgeting, financial, and community development needs of the public sector, OpenGov solutions help our more than 1,000 customers plan effectively,increase efficiency, and improve engagement through better collaboration and transparency.</t>
  </si>
  <si>
    <t>Zac Bookman, Joe Lonsdale, Michael Rosengarten, Nate Levine</t>
  </si>
  <si>
    <t>https://www.facebook.com/opengovinc, https://twitter.com/OpenGovInc, http://www.linkedin.com/company/3214432, https://www.opengov.com/</t>
  </si>
  <si>
    <t>opensea.io</t>
  </si>
  <si>
    <t>OpenSea</t>
  </si>
  <si>
    <t>By providing the link between the consumer layer and the infrastructure layer of the digital goods economy, OpenSea provides a one-stop shop for discovering, buying, and selling any non-fungible digital assets.</t>
  </si>
  <si>
    <t>Devin Finzer and Alex Atallah</t>
  </si>
  <si>
    <t>https://twitter.com/opensea, https://www.linkedin.com/company/opensea-io, https://github.com/ProjectOpenSea/, https://opensea.io/</t>
  </si>
  <si>
    <t>optimism.io</t>
  </si>
  <si>
    <t>Optimism</t>
  </si>
  <si>
    <t>Optimism is an Ethereum-based decentralized infrastructure platform that allows for instant transactions and scalable smart contracts.</t>
  </si>
  <si>
    <t>https://twitter.com/optimismPBC, https://www.linkedin.com/company/optimism-pbc, https://github.com/ethereum-optimism, https://optimism.io/</t>
  </si>
  <si>
    <t>optimizerai.xyz</t>
  </si>
  <si>
    <t>OptimizerAI</t>
  </si>
  <si>
    <t>OptimizerAI is building a state-of-the-art AI sound effects generator.</t>
  </si>
  <si>
    <t>https://twitter.com/OptimizerAI, https://www.linkedin.com/company/optimizerai/?viewAsMember=true, https://www.optimizerai.xyz/</t>
  </si>
  <si>
    <t>orbit.love</t>
  </si>
  <si>
    <t>Orbit</t>
  </si>
  <si>
    <t>Community experience platform that helps open-source and developer-focused companies grow and manage their developer communities.</t>
  </si>
  <si>
    <t>https://www.facebook.com/orbithq, https://twitter.com/OrbitModel, https://www.linkedin.com/company/orbitco, https://github.com/orbit-love, https://orbit.love/</t>
  </si>
  <si>
    <t>orbitaltx.com</t>
  </si>
  <si>
    <t>Orbital Therapeutics</t>
  </si>
  <si>
    <t>Multi-component optimization for next-generation RNA therapeutics</t>
  </si>
  <si>
    <t>https://www.linkedin.com/company/orbital-therapeutics/, https://orbitaltx.com/</t>
  </si>
  <si>
    <t>orchestra.bio</t>
  </si>
  <si>
    <t>Orchestra Bio</t>
  </si>
  <si>
    <t>External collaboration SaaS platform for biotechnology companies and their partners</t>
  </si>
  <si>
    <t>https://www.linkedin.com/company/orchestrabio/, https://orchestra.bio/</t>
  </si>
  <si>
    <t>orchid.com</t>
  </si>
  <si>
    <t>Orchid Labs</t>
  </si>
  <si>
    <t>Orchid Labs is an open-source project committed to ending surveillance and censorship on the internet. Orchid uses an overlay network built upon the existing internet, which is driven by a peer-to-peer tokenized bandwidth exchange, creating a more inclusive, liberated internet.</t>
  </si>
  <si>
    <t>http://www.facebook.com/OrchidProtocol, https://twitter.com/OrchidProtocol, https://www.linkedin.com/company/orchidprotocol/, https://www.orchid.com/</t>
  </si>
  <si>
    <t>orderful.com</t>
  </si>
  <si>
    <t>Orderful</t>
  </si>
  <si>
    <t>Orderful is a network connecting the world's supply chain. Our SaaS platform enables buyers and sellers to immediately trade supply chain data. Enterprises connect once to our API and immediately trade EDI data with any trading partner in their supply chain.</t>
  </si>
  <si>
    <t>https://www.twitter.com/https://twitter.com/orderful, https://www.linkedin.com/company/orderful, https://www.orderful.com/</t>
  </si>
  <si>
    <t>originalgames.io</t>
  </si>
  <si>
    <t>Original Games</t>
  </si>
  <si>
    <t>https://originalgames.io/</t>
  </si>
  <si>
    <t>joinouting.com</t>
  </si>
  <si>
    <t>Outing</t>
  </si>
  <si>
    <t>Andrew Florial was born in Haiti and grew up in Florida. An award-winning science project sparked his entrepreneurial spirit in his early teens, leading him to study Computer Science and Applied Mathematics in college. Jeechieu Ta, a first-generation Asian-American, and Cameron Farzaneh, a fellow first-generation American of Iranian descent, also pursued Computer Science at university. Like Andrew, they took engineering stints at large organizations but ultimately aspired to launch their own products. The trio eventually joined forces to found Outing, a social marketplace where users can discover, book, and plan group outings.</t>
  </si>
  <si>
    <t>https://twitter.com/joinouting, https://www.instagram.com/outing_sf/, https://www.joinouting.com/</t>
  </si>
  <si>
    <t>overtime.tv</t>
  </si>
  <si>
    <t>Overtime</t>
  </si>
  <si>
    <t>Overtime is a sports network for the next generation of fans. We use tech, new platforms, and new formats to drive 75 million minutes of watch time each month. Based in NYC, Overtime is funded by top VC firms like Andreessen Horowitz and Greycroft Ventures as well as industry leaders like Kevin Durant and former NBA Commissioner David Stern.</t>
  </si>
  <si>
    <t>https://www.facebook.com/getovertime, https://twitter.com/overtime, https://www.linkedin.com/company/overtimesports/?viewAsMember=true, https://overtime.tv/</t>
  </si>
  <si>
    <t>overwolf.com</t>
  </si>
  <si>
    <t>Overwolf</t>
  </si>
  <si>
    <t>Overwolf is the guild of in-game creators, empowering players, creators, and game developers to make the best games even better through UGC. The platform offers a robust development engine, an app store for distribution to over 20M users, and built-in monetization tools including ads and subscriptions.</t>
  </si>
  <si>
    <t>Uri Marchand, Alon Rabonovitz, Gil Or</t>
  </si>
  <si>
    <t>https://www.facebook.com/Overwolf/, https://twitter.com/TheOverwolf, https://il.linkedin.com/company/overwolf.com, https://overwolf.github.io/start/getting-started, https://www.overwolf.com/</t>
  </si>
  <si>
    <t>pahdolabs.com</t>
  </si>
  <si>
    <t>Pahdo Labs</t>
  </si>
  <si>
    <t>Pahdo Labs is building an Anime-style action MMORPG and game creation platform. The company's mission is to cultivate a virtual world built by players, an online place where people can have a meaningful role in something bigger than themselves, own and share the products of their ingenuity, and foster a sense of belonging for others.</t>
  </si>
  <si>
    <t>https://twitter.com/PahdoLabs, https://www.linkedin.com/company/pahdo/about/, https://pahdolabs.com/</t>
  </si>
  <si>
    <t>paloma.club</t>
  </si>
  <si>
    <t>Paloma</t>
  </si>
  <si>
    <t>Luba Yudasina</t>
  </si>
  <si>
    <t>https://www.linkedin.com/company/palomaclub/, https://instagram.com/paloma_stories, https://www.paloma.club/</t>
  </si>
  <si>
    <t>withpantheon.ai</t>
  </si>
  <si>
    <t>Pantheon AI</t>
  </si>
  <si>
    <t>https://www.linkedin.com/company/pantheon-artificial-intelligence/, https://www.withpantheon.ai/</t>
  </si>
  <si>
    <t>gaudiumstudio.com</t>
  </si>
  <si>
    <t>Parhelion Studio Co.</t>
  </si>
  <si>
    <t>Parhelion is making anime games for a global audience.</t>
  </si>
  <si>
    <t>https://www.linkedin.com/company/parhelion-studio-co/, https://www.gaudiumstudio.com/</t>
  </si>
  <si>
    <t>partybid.app</t>
  </si>
  <si>
    <t>PartyDAO</t>
  </si>
  <si>
    <t>PartyDAO is a decentralized platform that builds multiplayer crypto software and products. It was formed in May 2021 and is based in Brooklyn, New York.</t>
  </si>
  <si>
    <t>https://twitter.com/prtyDAO, https://partybid.app/</t>
  </si>
  <si>
    <t>patch.io</t>
  </si>
  <si>
    <t>Patch</t>
  </si>
  <si>
    <t>Patch is the infrastructure powering the carbon market of the future. Patch software brings together corporate buyers, project developers, financiers, and policymakers to increase transparency and modernize climate action. We provide companies like Bain &amp; Company, Credit Suisse, Aviva, and Route access to the broadest network of vetted carbon credits available through direct purchases, multi-year offtake agreements, or in any digital transaction using our API. We also provide software that enables project developers and financiers like Carbon Streaming Corp., Anew, Eion, and Brilliant Planet to manage their operations and grow their sales, so they can scale their impact.</t>
  </si>
  <si>
    <t>https://www.twitter.com/usepatch, https://www.linkedin.com/company/usepatch, https://github.com/patch-technology, https://www.patch.io/</t>
  </si>
  <si>
    <t>patinahealth.com</t>
  </si>
  <si>
    <t>Patina</t>
  </si>
  <si>
    <t>Purpose-built primary care designed to help older adults thrive through a virtual and home-first care model</t>
  </si>
  <si>
    <t>https://twitter.com/patinahealth, https://www.linkedin.com/company/patinahealth/, https://patinahealth.com/</t>
  </si>
  <si>
    <t>payall.com</t>
  </si>
  <si>
    <t>Payall</t>
  </si>
  <si>
    <t>PayAll Payment Systems is a provider of a payment systems platform that offers easier ways to make payments. It also offers features such as wallets, pay in flexibility, pay-out, managed acceptance, virtual mastercard, card acceptance, and communications platform.</t>
  </si>
  <si>
    <t>https://www.facebook.com/payallps/, https://x.com/payallps, https://www.linkedin.com/company/payall-payment-systems/, https://payall.com/</t>
  </si>
  <si>
    <t>payrails.com</t>
  </si>
  <si>
    <t>Payrails</t>
  </si>
  <si>
    <t>Headquartered in Berlin, Payrails is a payment OS for global platforms and marketplaces to accept, store, and payout funds anywhere in the world. By abstracting the technical complexity of the payment world, Payrails enables merchants with a dynamic payment page, routing, and workflow automation to reduce costs and increase authorization rates.</t>
  </si>
  <si>
    <t>https://twitter.com/Payrails_com, https://www.linkedin.com/company/payrails, https://payrails.com/</t>
  </si>
  <si>
    <t>pearlhealth.com</t>
  </si>
  <si>
    <t>Pearl Health</t>
  </si>
  <si>
    <t>Value-based care enablement platform for independent primary care providers</t>
  </si>
  <si>
    <t>https://twitter.com/PearlHealth_, https://www.linkedin.com/company/pearl-health/, https://pearlhealth.com/</t>
  </si>
  <si>
    <t>coinswitch.co</t>
  </si>
  <si>
    <t>Peepal.co</t>
  </si>
  <si>
    <t>India's largest crypto investing app, CoinSwitch is creating an ecosystem that simplifies and makes crypto more accessible to users.</t>
  </si>
  <si>
    <t>https://www.facebook.com/coinswitch, https://twitter.com/coinswitch, https://www.linkedin.com/company/13437199, https://coinswitch.co/</t>
  </si>
  <si>
    <t>peerstreet.com</t>
  </si>
  <si>
    <t>PeerStreet</t>
  </si>
  <si>
    <t>PeerStreet is a platform for investing in real estate debt. The platform represents a two-sided marketplace that provides hassle-free access to an asset class that was previously inaccessible to individual investors and connects a vetted network of private lenders with diverse sources of capital to help fuel their growth and bring lending back to their local communities.</t>
  </si>
  <si>
    <t>Brew Johnson, Brett Crosby, Alex Perelman</t>
  </si>
  <si>
    <t>https://www.facebook.com/PeerStreetHQ, https://twitter.com/PeerStreet, https://www.linkedin.com/company/3878267, https://github.com/PeerStreet, https://www.peerstreet.com/</t>
  </si>
  <si>
    <t>people.ai</t>
  </si>
  <si>
    <t>People.ai</t>
  </si>
  <si>
    <t>People.ai is an artificial intelligence (AI) platform for enterprise revenue. People.ai helps sales, marketing, and customer success teams uncover every revenue opportunity from every customer, by capturing all customer contacts, activity and engagement to drive actionable insights across all revenue teams.</t>
  </si>
  <si>
    <t>Oleg Rogynskyy</t>
  </si>
  <si>
    <t>https://www.facebook.com/peopleai, https://twitter.com/ppl_ai, https://www.linkedin.com/company/people.ai, https://github.com/people-ai, https://people.ai/</t>
  </si>
  <si>
    <t>phantom.app</t>
  </si>
  <si>
    <t>Phantom</t>
  </si>
  <si>
    <t>Phantom is a digital wallet reimagined for DeFi and NFTs. Phantom makes it safe &amp; easy for you to store, send, receive, stake, and swap tokens on the Solana blockchain. It was founded in 2021 and is based in San Francisco, California.</t>
  </si>
  <si>
    <t>https://twitter.com/phantom, https://www.linkedin.com/company/phantomwallet/, https://phantom.app/</t>
  </si>
  <si>
    <t>pietrastudio.com</t>
  </si>
  <si>
    <t>Pietra</t>
  </si>
  <si>
    <t>Pietra is the operating system for commerce that gives everyone the tools they need to start and scale their own brand. Everything a business needs to turn their passion into a creative business is in one place. Using Pietra's innovative platform to find and manage their suppliers, plug into a global fulfillment network, and use eCommerce to start selling their products online.</t>
  </si>
  <si>
    <t>Ronak, Pan</t>
  </si>
  <si>
    <t>https://twitter.com/shoppietra, https://www.linkedin.com/company/pietra-marketplace, https://www.pietrastudio.com/careers</t>
  </si>
  <si>
    <t>pimlico.io</t>
  </si>
  <si>
    <t>Pimlico</t>
  </si>
  <si>
    <t>Pimlico is an infrastructure platform for building the next generation of Ethereum smart accounts.</t>
  </si>
  <si>
    <t>https://twitter.com/pimlicoHQ, https://www.linkedin.com/company/pimlicolabs/about/, https://github.com/pimlicolabs, https://pimlico.io/</t>
  </si>
  <si>
    <t>pindrop.com</t>
  </si>
  <si>
    <t>Pindrop</t>
  </si>
  <si>
    <t>We have created a breakthrough phone verification solution that detects and reports phone fraud. It is based on our research that shows that every phone call has a fingerprint hidden within the audio. This is based on over 50 artifacts such as noise, codec and line loss. This fingerprint can authenticate legitimate callers and tag fraudulent callers. It can also determine the phone type (landline, cell or VoIP) and location of the caller. Our solution operates completely and independently at one end requiring no modifications to existing telecommunication infrastructure. Our real-world testing has also shown that these fingerprints are resistant against attacks.</t>
  </si>
  <si>
    <t>Vijay Balasubramaniyan, Mustaque Ahamad, Patrick Traynor</t>
  </si>
  <si>
    <t>http://www.facebook.com/PindropSec, https://twitter.com/pindrop, https://www.linkedin.com/company/pindrop/, https://www.pindrop.com/</t>
  </si>
  <si>
    <t>pinecone.io</t>
  </si>
  <si>
    <t>Pinecone</t>
  </si>
  <si>
    <t>Pinecone develops a vector database that makes it easy to connect company data with generative AI models. It combines vector search libraries, features such as filtering, and distribution infrastructure to provide reliability at any scale.</t>
  </si>
  <si>
    <t>Edo Liberty</t>
  </si>
  <si>
    <t>https://twitter.com/pinecone, https://www.linkedin.com/company/pinecone-io, https://github.com/pinecone-io, https://www.pinecone.io/</t>
  </si>
  <si>
    <t>champions.io</t>
  </si>
  <si>
    <t>PLAI Labs</t>
  </si>
  <si>
    <t>PLAI Labs is building the next generation of social platforms. The company is applying its proven track record In Social Media, Game Mechanics, and advanced technology to build products that are used by 100’s of millions of people around the world.</t>
  </si>
  <si>
    <t>https://twitter.com/ChampionsIO, https://www.linkedin.com/company/plai-labs, https://champions.io/</t>
  </si>
  <si>
    <t>planetscale.com</t>
  </si>
  <si>
    <t>PlanetScale</t>
  </si>
  <si>
    <t>PlanetScale was founded in 2018 by the creators of Vitess - an open source project born at Youtube and hosted by CNCF that runs very large OLTP workloads at companies such as GitHub, Slack and Square. PlanetScale provides enterprise support for Vitess and offers a massively scalable multi-cloud transactional database-as-a-service using Vitess and Kubernetes. PlanetScale is backed by a16z (blog by Peter Levine) and SignalFire (blog by Ilya Kernos) and is based in Mountain View, CA.</t>
  </si>
  <si>
    <t>https://www.facebook.com/planetscaledata/, https://www.twitter.com/planetscale, https://www.linkedin.com/company/planetscale, https://github.com/planetscale, https://planetscale.com/</t>
  </si>
  <si>
    <t>plutus.gg</t>
  </si>
  <si>
    <t>Plutus Labs</t>
  </si>
  <si>
    <t>Plutus Labs allows creators to engage their fans in new ways with prediction markets &amp; personalized hyper-casual games. Home to over 1M+ users &amp; 6k+ creators with zero creator churn.</t>
  </si>
  <si>
    <t>https://twitter.com/karataKD, https://www.linkedin.com/company/plutuslabs, https://www.plutus.gg/</t>
  </si>
  <si>
    <t>point.com</t>
  </si>
  <si>
    <t>Point</t>
  </si>
  <si>
    <t>Point is a home equity platform that helps homeowners access equity financing in exchange for a fractional share of the future value of their homes. With a Home Equity Investment, homeowners can eliminate debt, get through periods of financial hardship, and diversify their wealth.</t>
  </si>
  <si>
    <t>Eddie Lim; Eoin Matthews; Alex Rampell</t>
  </si>
  <si>
    <t>https://www.facebook.com/pointhomeequity, https://twitter.com/pointhomeequity, https://www.linkedin.com/company/point/, https://www.instagram.com/pointhomeequity, https://point.com/</t>
  </si>
  <si>
    <t>polychain.capital</t>
  </si>
  <si>
    <t>Polychain</t>
  </si>
  <si>
    <t>Polychain Capital manages the world's premier blockchain asset hedge fund. Polychain Capital is committed to exceptional returns for investors through actively managed portfolios of these blockchain assets.</t>
  </si>
  <si>
    <t>Olaf Carlson-Wee</t>
  </si>
  <si>
    <t>https://www.linkedin.com/company/polychain-capital, https://polychain.capital/</t>
  </si>
  <si>
    <t>polywork.com</t>
  </si>
  <si>
    <t>Polywork</t>
  </si>
  <si>
    <t>Polywork is a social networking platform that allows professionals to collaborate with other professionals. It is a network that doesn’t restrict people from telling their stories through a list of arbitrary job titles. It doesn’t let any random stranger they've never even met endorse them for skills they never knew they had. They want to build a network that empowers people and gives them control over their identity and their future opportunities.</t>
  </si>
  <si>
    <t>Peter Johnston</t>
  </si>
  <si>
    <t>https://twitter.com/Polywork, https://www.linkedin.com/company/polyworkhq/, https://www.polywork.com/</t>
  </si>
  <si>
    <t>pomelocare.com</t>
  </si>
  <si>
    <t>Pomelo Care</t>
  </si>
  <si>
    <t>Value-based maternal and neonatal care management to deliver evidence-based interventions at scale</t>
  </si>
  <si>
    <t>https://www.linkedin.com/company/pomelo-care/, https://pomelocare.com/</t>
  </si>
  <si>
    <t>practice.do</t>
  </si>
  <si>
    <t>Practice</t>
  </si>
  <si>
    <t>Practice's tools will help you fulfill your potential as a coach. With all your clients' details at your fingertips, you'll never lack the right information when you need it.</t>
  </si>
  <si>
    <t>https://twitter.com/trypractice, https://www.linkedin.com/company/trypractice/, https://practice.do/</t>
  </si>
  <si>
    <t>prepared911.com</t>
  </si>
  <si>
    <t>Prepared</t>
  </si>
  <si>
    <t>Prepared is a leading provider of mission-critical multimedia and text to public safety agencies. The company’s flagship product, Prepared Live, enables emergency professionals to access real-time data from the scene, driving more efficient, effective, and safe responses. Since its founding in 2019, the company has grown its reach to partner with hundreds of agencies in 48 states that protect over 75 million people.</t>
  </si>
  <si>
    <t>Michael Lee, Dylan Gleicher, Neal Soni</t>
  </si>
  <si>
    <t>https://twitter.com/Prepared_HQ, https://www.linkedin.com/company/prepared911/, https://prepared911.com/</t>
  </si>
  <si>
    <t>preset.io</t>
  </si>
  <si>
    <t>Preset</t>
  </si>
  <si>
    <t>Preset is an open analytics data platform, built on Apache Superset™, that makes any team productive with data. With an intuitive visual interface, Preset empowers users to explore and analyze their data. Flexible dashboarding capabilities and a deep set of visualization types make communicating and sharing data-driven insights simple and fast. Lightweight and cloud native, Preset supports the workflows of modern teams.</t>
  </si>
  <si>
    <t>Maxime Beauchemin</t>
  </si>
  <si>
    <t>https://www.facebook.com/preset.io/, https://twitter.com/preset_data, https://www.linkedin.com/company/preset-io/, https://github.com/apache/incubator-superset, https://preset.io/</t>
  </si>
  <si>
    <t>primodium.com</t>
  </si>
  <si>
    <t>Primodium Inc.</t>
  </si>
  <si>
    <t>Primodium is an empire-building MMO set in an asteroid belt. The game is run entirely on the blockchain, so no servers are needed.</t>
  </si>
  <si>
    <t>https://www.twitter.com/primodiumgame, https://www.linkedin.com/company/primodium, https://github.com/primodiumxyz/, https://www.primodium.com/</t>
  </si>
  <si>
    <t>prismsvr.com</t>
  </si>
  <si>
    <t>Prisms</t>
  </si>
  <si>
    <t>Prisms is a spatial learning platform that enables learners to grasp abstract math and science concepts through embodied real world problems.</t>
  </si>
  <si>
    <t>Anurupa Ganguly</t>
  </si>
  <si>
    <t>https://twitter.com/PrismsOfReality, https://www.linkedin.com/company/prisms-of-reality/, https://prismsvr.com/</t>
  </si>
  <si>
    <t>promisestudios.com</t>
  </si>
  <si>
    <t>Promise</t>
  </si>
  <si>
    <t>Promise produces original films, series, and new formats with the world's best Gen AI artists and storytellers. Founded by a team of innovators and creatives, Promise is committed to harnessing technology to advance imagination.</t>
  </si>
  <si>
    <t>http://www.x.com/promise_ai, https://www.linkedin.com/company/promiseai/, https://www.promisestudios.com/</t>
  </si>
  <si>
    <t>promptfoo.dev</t>
  </si>
  <si>
    <t>PromptFoo</t>
  </si>
  <si>
    <t>PromptFoo is an open source tool for the evaluation and testing of llm prompts that has started to pivot into the security and compliance use case.</t>
  </si>
  <si>
    <t>https://twitter.com/promptfoo, https://www.linkedin.com/company/promptfoo/, https://www.promptfoo.dev/</t>
  </si>
  <si>
    <t>proof.xyz</t>
  </si>
  <si>
    <t>Proof Holdings</t>
  </si>
  <si>
    <t>At PROOF, we’re focused on creating unique experiences for collectors to connect with artists and to own and champion their art. Art is more than a floor price—it’s humanity’s handprint on the world.</t>
  </si>
  <si>
    <t>https://twitter.com/proof_xyz, https://proof.xyz/</t>
  </si>
  <si>
    <t>proofofplay.com</t>
  </si>
  <si>
    <t>Proof of Play</t>
  </si>
  <si>
    <t>Amitt Mahajan, Mark Skaggs</t>
  </si>
  <si>
    <t>https://twitter.com/proofofplay, https://www.linkedin.com/company/proof-of-play/, https://proofofplay.com/</t>
  </si>
  <si>
    <t>joinpropel.com</t>
  </si>
  <si>
    <t>Propel</t>
  </si>
  <si>
    <t>Propel provides a mobile app designed to help users manage their benefits and money. Propel builds software dedicated to helping low-income Americans improve their financial health.</t>
  </si>
  <si>
    <t>https://www.facebook.com/ProvidersApp, https://twitter.com/joinproviders, https://www.linkedin.com/company/propel-inc, https://joinpropel.com/</t>
  </si>
  <si>
    <t>protocol.ai</t>
  </si>
  <si>
    <t>Protocol Labs</t>
  </si>
  <si>
    <t>Protocol Labs is a research, development, and deployment institution for improving Internet technology. We create software systems that tackle significant challenges. We aim to solve them with new technology breakthroughs, great user experience design, and an open-source approach to creation.</t>
  </si>
  <si>
    <t>Juan Benet</t>
  </si>
  <si>
    <t>https://twitter.com/protocollabs, https://www.linkedin.com/company/protocollabs/, https://github.com/protocol, https://protocol.ai/</t>
  </si>
  <si>
    <t>proven.com</t>
  </si>
  <si>
    <t>Proven</t>
  </si>
  <si>
    <t>Proven operates as a hiring tool intended for small businesses. The platform takes hiring on the go with fully native apps for iOS and Android. Employers can review resumes, respond to candidates, and even post a new job all from a smartphone. The company was founded in 2009 and is based in San Francisco, California.</t>
  </si>
  <si>
    <t>http://www.facebook.com/pages/Provencom/352429835157, https://twitter.com/ProvenJobs, https://www.proven.com/</t>
  </si>
  <si>
    <t>pug.ai</t>
  </si>
  <si>
    <t>Pug.AI</t>
  </si>
  <si>
    <t>Samerial Johns, a Maryland native, is the daughter of refugees who fled war-torn Liberia. Once in the U.S., her parents turned to entrepreneurship out of necessity, fueling Sammie’s desire to forge her own path. During college, she leveraged free online resources to acquire new, in-demand skills, eventually securing full-time positions at large technology companies. This experience inspired her to create Pug.ai, a career management software that utilizes AI tools and digital humans to assist individuals in upskilling and landing career opportunities.</t>
  </si>
  <si>
    <t>https://www.linkedin.com/company/skjbrands/, https://www.pug.ai/</t>
  </si>
  <si>
    <t>usepylon.com</t>
  </si>
  <si>
    <t>Pylon</t>
  </si>
  <si>
    <t>https://twitter.com/usepylon, https://www.linkedin.com/company/usepylon/, https://www.usepylon.com/</t>
  </si>
  <si>
    <t>pynhq.com</t>
  </si>
  <si>
    <t>Pyn</t>
  </si>
  <si>
    <t>Pyn is a human resources company that improves employee communications using marketing techniques, such as personalization, scheduling, and automated triggering. It specializes in the fields of employee engagement, human, employment, and training.</t>
  </si>
  <si>
    <t>https://twitter.com/PynHQ, https://www.linkedin.com/company/pynhq/, https://pynhq.com/</t>
  </si>
  <si>
    <t>q.bio</t>
  </si>
  <si>
    <t>Q Bio, Inc.</t>
  </si>
  <si>
    <t>High-resolution, quantitative imaging and biomarker platform enabling the physical exam of the future</t>
  </si>
  <si>
    <t>https://twitter.com/qbioinc, https://www.linkedin.com/company/q-bio/, https://q.bio/</t>
  </si>
  <si>
    <t>quago.io</t>
  </si>
  <si>
    <t>Quago Technologies LTD</t>
  </si>
  <si>
    <t>Quago is a next-gen AI/ML platform specializing in UA-Fraud Prevention and Anti-Cheating solutions, achieving over $1M ARR in less than a year with AAA customers.</t>
  </si>
  <si>
    <t>https://www.linkedin.com/company/100008275/, https://www.quago.io/</t>
  </si>
  <si>
    <t>quora.com</t>
  </si>
  <si>
    <t>Quora</t>
  </si>
  <si>
    <t>https://quora.com/</t>
  </si>
  <si>
    <t>rabb.it</t>
  </si>
  <si>
    <t>Rabbit</t>
  </si>
  <si>
    <t>Rabbit is about sharing your everyday. Watch your favorite shows with your friends, without being in the same room (or even the same city!). Collaborate with your coworkers when you're all on the road. Shop together for a birthday present for Mom, then sing her "happy birthday" with family far away. The possibilities are endless.</t>
  </si>
  <si>
    <t>Philippe Clavel, Greg Fischbach</t>
  </si>
  <si>
    <t>https://www.facebook.com/letsrabbit/, https://twitter.com/letsrabbit, https://www.linkedin.com/company/rabbit-inc, https://rabb.it/</t>
  </si>
  <si>
    <t>rademploy.com</t>
  </si>
  <si>
    <t>RadEmploy</t>
  </si>
  <si>
    <t>Joel Horsford, a native New Yorker, has over ten years of expertise in radiology. His career began in advertising, but the 2008 recession prompted him to shift to radiology. Dedicated to enhancing communication within the medical imaging field, Joel initiated virtual fireside chats during the pandemic to foster connections among imaging professionals. He also realized there was a recurring staffing challenge within the radiology sector. This insight inspired him to found RadEmploy, a digital platform to bridge the gap between medical imaging professionals and job opportunities.</t>
  </si>
  <si>
    <t>https://www.rademploy.com/</t>
  </si>
  <si>
    <t>radiantnuclear.com</t>
  </si>
  <si>
    <t>Radiant</t>
  </si>
  <si>
    <t>Radiant develops a portable and zero-emissions power source that works anywhere. Its patented portable nuclear microreactor is the brainchild of former SpaceX engineers who have experience quickly bringing real products and innovations to the market. Radiant can offer a low-cost, portable renewable power source that can be an alternative to fossil fuels for both military and commercial applications.</t>
  </si>
  <si>
    <t>https://twitter.com/RadiantNuclear, https://www.linkedin.com/company/r-a-d-i-a-n-t/, https://radiantnuclear.com/</t>
  </si>
  <si>
    <t>raidbase.com</t>
  </si>
  <si>
    <t>Raid Base</t>
  </si>
  <si>
    <t>Raid Base is a video game development company. The team is made of developers who actively play games and we established this studio to begin a more intimate dialogue with our players.</t>
  </si>
  <si>
    <t>https://mobile.twitter.com/raidbaseinc, https://www.linkedin.com/company/raidbaseinc/about/, https://raidbase.com/</t>
  </si>
  <si>
    <t>rapidapi.com</t>
  </si>
  <si>
    <t>Rapid</t>
  </si>
  <si>
    <t>Developers in enterprises and startups building software connect to multiple APIs and systems. Each of these APIs has a different set of standard and a different update process - making the connection to those APIs difficult. RapidAPI is a unified hub that lets developers easily connect and leverage those APIs. Used by over 10,000 companies including eBay, SAP and more, RapidAPI helps developers connect software together.</t>
  </si>
  <si>
    <t>https://www.facebook.com/RapidAPI.Hub/, https://www.twitter.com/rapid_api?lang=en, https://github.com/RapidSoftwareSolutions, https://rapidapi.com/</t>
  </si>
  <si>
    <t>about.rappi.com</t>
  </si>
  <si>
    <t>Rappi</t>
  </si>
  <si>
    <t>Rappi is a marketplace for restaurants and supermarkets. Delivering with impressive logistics in under 15 minutes, in emerging markets.</t>
  </si>
  <si>
    <t>https://www.facebook.com/RappiColombia/, https://twitter.com/rappicolombia, https://www.linkedin.com/company/rappi/, https://about.rappi.com/es/inicio</t>
  </si>
  <si>
    <t>rasa.com</t>
  </si>
  <si>
    <t>Rasa</t>
  </si>
  <si>
    <t>Rasa is the leading Conversational AI Platform for building, improving, and scaling enterprise-grade text and voice-based AI Assistants. With over 25 million downloads since its launch, Rasa is used by the world’s largest brands to transform how people interact with organizations through AI.</t>
  </si>
  <si>
    <t>https://twitter.com/rasa_hq/, https://www.linkedin.com/company/rasa/, https://github.com/RasaHQ/, https://rasa.com/</t>
  </si>
  <si>
    <t>rascalgames.com</t>
  </si>
  <si>
    <t>Rascal Games</t>
  </si>
  <si>
    <t>Rascal Games builds games that help friends make shared stories they’ll reminisce for years to come.</t>
  </si>
  <si>
    <t>https://twitter.com/rascalgamesco, https://www.linkedin.com/company/rascal-games-co/, http://rascalgames.com/</t>
  </si>
  <si>
    <t>raspberry.ai</t>
  </si>
  <si>
    <t>Raspberry AI</t>
  </si>
  <si>
    <t>Raspberry AI is an end-to-end design platform built specifically for retail product design.</t>
  </si>
  <si>
    <t>https://x.com/raspberry__ai, https://www.linkedin.com/company/raspberry-ai/, https://www.raspberry.ai/</t>
  </si>
  <si>
    <t>playonray.com</t>
  </si>
  <si>
    <t>Ray Browser</t>
  </si>
  <si>
    <t>Ray is a radically new web browser designed for gaming.</t>
  </si>
  <si>
    <t>https://playonray.com/</t>
  </si>
  <si>
    <t>readyplayer.me</t>
  </si>
  <si>
    <t>Ready Player Me</t>
  </si>
  <si>
    <t>Ready Player Me develops a cross-game avatar platform for the metaverse. It provides developers with an easy-to-integrate avatar creator and developer tools to give their users highly-personalized characters to help increase retention and engagement.</t>
  </si>
  <si>
    <t>Timmu Tõke, Rainer Selvet, Kaspar Tiri, Haver Järveoja</t>
  </si>
  <si>
    <t>https://twitter.com/readyplayerme, https://www.linkedin.com/company/readyplayerme, https://github.com/readyplayerme, https://readyplayer.me/</t>
  </si>
  <si>
    <t>reface.ai</t>
  </si>
  <si>
    <t>Reface</t>
  </si>
  <si>
    <t>Reface is a mobile app that allows users to replace faces in videos and photos, voice-over content, and generate AI portraits from multiple selfies. Within 2 years after its launch, Reface has been downloaded 250 million times.</t>
  </si>
  <si>
    <t>https://www.facebook.com/refaceapp, https://twitter.com/reface_app, https://www.linkedin.com/company/refaceapp/, https://reface.ai/</t>
  </si>
  <si>
    <t>reforge.com</t>
  </si>
  <si>
    <t>Reforge</t>
  </si>
  <si>
    <t>Reforge helps a company grow through initiatives for product and expansion. They provide programs that enable step-change career progress through pertinent cases, experiences, and a group of peers tackling comparable problems.</t>
  </si>
  <si>
    <t>Brian Balfour</t>
  </si>
  <si>
    <t>https://twitter.com/reforge, https://www.linkedin.com/company/reforge, https://www.reforge.com/</t>
  </si>
  <si>
    <t>regrello.com</t>
  </si>
  <si>
    <t>Regrello</t>
  </si>
  <si>
    <t>Intelligent vertical solutions built for supply chain and manufacturing operations. Powered by a GenAI Platform that allows instant customization by your business users, provides AutoPilot eliminating up to 50% of manual tasks, and reduces cycle times by 25%.</t>
  </si>
  <si>
    <t>Aman Naimat</t>
  </si>
  <si>
    <t>https://www.linkedin.com/company/regrello/, https://regrello.com/</t>
  </si>
  <si>
    <t>regression.gg</t>
  </si>
  <si>
    <t>Regression</t>
  </si>
  <si>
    <t>Regression's mission is to make gaming with AI and code as fun and accessible as possible.</t>
  </si>
  <si>
    <t>https://www.facebook.com/RegressionGG, https://twitter.com/RegressionGG, https://www.linkedin.com/company/regression-games, https://www.regression.gg/</t>
  </si>
  <si>
    <t>relay.app</t>
  </si>
  <si>
    <t>Relay</t>
  </si>
  <si>
    <t>Relay.app lets you automate workflows across apps that need a Human in the Loop through features like manual approvals and decisions.</t>
  </si>
  <si>
    <t>https://twitter.com/relay, https://www.linkedin.com/company/tryrelayapp/, https://relay.app/</t>
  </si>
  <si>
    <t>replay.io</t>
  </si>
  <si>
    <t>Replay</t>
  </si>
  <si>
    <t>Replay is a browser that records all of the contexts needed to fix bugs faster. It enables team members to jump to any point in the execution, add Console logs on the fly, and squash bugs. It was founded in 2021 and is based in San Francisco, California.</t>
  </si>
  <si>
    <t>https://twitter.com/replayio, https://www.linkedin.com/company/replayio/, https://github.com/replayio, https://replay.io/</t>
  </si>
  <si>
    <t>replit.com</t>
  </si>
  <si>
    <t>Replit</t>
  </si>
  <si>
    <t>Replit offers AI-assisted cloud-native software development. With millions of pre-fetched package files and a seamless run-to-live experience, Replit enables developers to spin up any kind of development environment to a full live app in seconds.</t>
  </si>
  <si>
    <t>Amjad Masad, Faris Masad, Haya Odeh</t>
  </si>
  <si>
    <t>https://www.facebook.com/replit/, https://twitter.com/replit, https://www.linkedin.com/company/repl-it, https://github.com/replit, https://replit.com/</t>
  </si>
  <si>
    <t>resend.com</t>
  </si>
  <si>
    <t>Resend</t>
  </si>
  <si>
    <t>Resend is modernizing the email experience for developers. They're focused on building an email platform around React.js and serverless development, helping developers like myself send programmatic emails without hating ourselves.</t>
  </si>
  <si>
    <t>https://twitter.com/resend, https://www.linkedin.com/company/resend/, https://github.com/resend, https://resend.com/</t>
  </si>
  <si>
    <t>resourcely.io</t>
  </si>
  <si>
    <t>Resourcely</t>
  </si>
  <si>
    <t>Resourcely helps developers easily provision and manage cloud infrastructure in a way that is safe, secure, and meets all of your company's policies.</t>
  </si>
  <si>
    <t>https://twitter.com/Resourcely, https://www.linkedin.com/company/resourcely-io, https://resourcely.io/</t>
  </si>
  <si>
    <t>rewatch.com</t>
  </si>
  <si>
    <t>Rewatch</t>
  </si>
  <si>
    <t>Using advanced AI, Rewatch automatically records, transcribes, summarizes, and shares meetings. With an intuitive video hub for ongoing collaboration or asynchronous follow-up videos, Rewatch serves as the central system of record for all knowledge in forward-thinking organizations.</t>
  </si>
  <si>
    <t>Connor Sears, Scott Goldman</t>
  </si>
  <si>
    <t>https://www.twitter.com/https://twitter.com/gorewatch, https://www.linkedin.com/company/rewatch/, https://github.com/rewatchtv, https://rewatch.com/</t>
  </si>
  <si>
    <t>rezotx.com</t>
  </si>
  <si>
    <t>Rezo Therapeutics</t>
  </si>
  <si>
    <t>Systems biology platform to map and drug interaction networks that go awry in disease</t>
  </si>
  <si>
    <t>https://www.linkedin.com/company/rezotx/, https://rezotx.com/</t>
  </si>
  <si>
    <t>rive.app</t>
  </si>
  <si>
    <t>Rive</t>
  </si>
  <si>
    <t>Rive is a real-time interactive design tool that allows you to design, animate, and immediately integrate your assets into any platform thanks to our open source runtimes.</t>
  </si>
  <si>
    <t>https://www.facebook.com/riveinc/, https://twitter.com/rive_app, https://www.linkedin.com/company/rive-app/, https://www.instagram.com/rive.app/, https://rive.app/</t>
  </si>
  <si>
    <t>rivet.gg</t>
  </si>
  <si>
    <t>Rivet</t>
  </si>
  <si>
    <t>Rivet is the AWS for game developers, providing best-in-class simple solutions to deploy and scale multiplayer games. 11 live games and &gt;20k MR.</t>
  </si>
  <si>
    <t>https://twitter.com/rivet_gg, https://www.linkedin.com/company/72072261, https://github.com/rivet-gg, https://rivet.gg/</t>
  </si>
  <si>
    <t>forte.io</t>
  </si>
  <si>
    <t>RLY Network</t>
  </si>
  <si>
    <t>Rally Network Association is a non-profit web3 company that manages the RLY Protocol. The RLY Network is an ecosystem of consumer applications powered by RLY Protocol.</t>
  </si>
  <si>
    <t>Kevin Chou, Mahesh Vellanki, Mike Li</t>
  </si>
  <si>
    <t>https://twitter.com/FortePlatform, https://www.linkedin.com/company/rally-io/, https://github.com/starcard-org/yield-delegation, https://forte.io/</t>
  </si>
  <si>
    <t>robotogames.com</t>
  </si>
  <si>
    <t>Roboto Games</t>
  </si>
  <si>
    <t>Roboto Games is a game developer studio building synchronous multiplayer action games that are designed to be super fun. In 2007 Roboto Gamesfounded ZipZapPlay, a web and Facebook games company, which they sold to PopCap and then became a part of Electronic Arts in 2011.</t>
  </si>
  <si>
    <t>https://twitter.com/robotogames?lang=en, https://www.linkedin.com/company/robotogames/, https://robotogames.com/</t>
  </si>
  <si>
    <t>rollup.ai</t>
  </si>
  <si>
    <t>Rollup AI</t>
  </si>
  <si>
    <t>Rollup is a new collaborative platform for engineering complex hardware.</t>
  </si>
  <si>
    <t>https://rollup.ai/</t>
  </si>
  <si>
    <t>rometx.com</t>
  </si>
  <si>
    <t>ROME Therapeutics</t>
  </si>
  <si>
    <t>Rome Therapeutics is developing novel therapies for cancer and autoimmune diseases by illuminating the role of the dark genome in human health and disease.</t>
  </si>
  <si>
    <t>Rosana Kapeller, David Ting, Benjamin Greenbaum</t>
  </si>
  <si>
    <t>https://twitter.com/rome_tx, https://www.linkedin.com/company/rome-therapeutics/, https://rometx.com/home/</t>
  </si>
  <si>
    <t>rosebud.ai</t>
  </si>
  <si>
    <t>Rosebud AI</t>
  </si>
  <si>
    <t>Rosebud is an AI-native game engine and platform. Creators can make games through iterative description, which we turn step by step into a browser-based game.</t>
  </si>
  <si>
    <t>https://twitter.com/Rosebud_AI, https://www.linkedin.com/company/rosebud-ai, https://github.com/kreativai, https://www.rosebud.ai/</t>
  </si>
  <si>
    <t>royal.io</t>
  </si>
  <si>
    <t>Royal</t>
  </si>
  <si>
    <t>Royal is a developer of an NFT-based music platform used to allow buy ownership in songs. It also allows artists to create their music and convert it to non-fungible tokens (NFT) and sell them by using limited digital assets (LDA) technology that enables fans to invest in artists and earn royalties alongside them.</t>
  </si>
  <si>
    <t>JD Ross &amp; Justin Blau</t>
  </si>
  <si>
    <t>https://twitter.com/join_royal, https://www.linkedin.com/company/joinroyal/, https://royal.io/</t>
  </si>
  <si>
    <t>runtheworld.today</t>
  </si>
  <si>
    <t>Run the World</t>
  </si>
  <si>
    <t>Run The World is a digital platform that enables people to collaborate with and learn from others. Run The World will help people build their event through simple plug and play templates, enabling them to create an engaging online event for their attendees.</t>
  </si>
  <si>
    <t>https://twitter.com/RunTheWorld365/, https://www.linkedin.com/company/runtheworldvideo/, https://www.runtheworld.today/</t>
  </si>
  <si>
    <t>runloop.xyz</t>
  </si>
  <si>
    <t>Runloop</t>
  </si>
  <si>
    <t>Cristian Strat, Denny Britz</t>
  </si>
  <si>
    <t>https://www.linkedin.com/company/74768005/, https://runloop.xyz/</t>
  </si>
  <si>
    <t>picfinder.ai</t>
  </si>
  <si>
    <t>Runware</t>
  </si>
  <si>
    <t>Picfinder is the fastest AI inference platform. The company is building hardware and software that is going to power the majority of AI workloads.</t>
  </si>
  <si>
    <t>https://www.linkedin.com/company/picfinder/, https://picfinder.ai/</t>
  </si>
  <si>
    <t>runway.com</t>
  </si>
  <si>
    <t>Runway</t>
  </si>
  <si>
    <t>Runway provides a strategic planning platform to reinvent how business financials are presented through modern design and engineering. The company's platform helps teams have a clear view of their business by offering an environment for creating financial models, evaluating performance, and aligning teams.</t>
  </si>
  <si>
    <t>Siqi Chen and Arya Asemanfar</t>
  </si>
  <si>
    <t>https://twitter.com/RunwayCo, https://www.linkedin.com/company/runway/, https://www.instagram.com/runwayfinancial/, https://runway.com/</t>
  </si>
  <si>
    <t>rutter.com</t>
  </si>
  <si>
    <t>Rutter</t>
  </si>
  <si>
    <t>Rutter develops a universal API that integrates with every commerce, accounting, and payments platform. It enables users to connect to any platform and get a holistic view of any business.</t>
  </si>
  <si>
    <t>https://twitter.com/RutterAPI, https://www.linkedin.com/company/rutter, https://github.com/Rutter, https://www.rutter.com/</t>
  </si>
  <si>
    <t>rye.store</t>
  </si>
  <si>
    <t>Rye</t>
  </si>
  <si>
    <t>Rye builds developer tools and APIs to build eCommerce experiences.</t>
  </si>
  <si>
    <t>https://twitter.com/rye, https://www.linkedin.com/company/rye/, https://rye.store/</t>
  </si>
  <si>
    <t>ssi.inc</t>
  </si>
  <si>
    <t>Safe Superintelligence</t>
  </si>
  <si>
    <t>https://www.linkedin.com/company/ssi-ai/, https://ssi.inc/</t>
  </si>
  <si>
    <t>sandboxvr.com</t>
  </si>
  <si>
    <t>Sandbox VR</t>
  </si>
  <si>
    <t>Sandbox VR is a socially immersive gaming experience combinining full-body motion capture and high-quality haptics to provide unprecedented realism and completely immersive experiences.</t>
  </si>
  <si>
    <t>Steve Zhao</t>
  </si>
  <si>
    <t>https://www.facebook.com/playsandbox/, https://twitter.com/sandboxvr, https://www.linkedin.com/company/sandboxvr/, https://github.com/sandboxvr, https://sandboxvr.com/</t>
  </si>
  <si>
    <t>santaanabio.com</t>
  </si>
  <si>
    <t>Santa Ana Bio</t>
  </si>
  <si>
    <t>Precision immunology for autoimmune disease</t>
  </si>
  <si>
    <t>https://santaanabio.com/</t>
  </si>
  <si>
    <t>sardine.ai</t>
  </si>
  <si>
    <t>Sardine</t>
  </si>
  <si>
    <t>Sardine provides risk-free, instant settlement for ACH and cards. Their comprehensive KYC, fraud, and compliance platform provides a holistic view of the user, from onboarding through to transaction monitoring.</t>
  </si>
  <si>
    <t>Soups Ranjan, Zahid Shaikh and Aditya Goel</t>
  </si>
  <si>
    <t>https://twitter.com/sardine, https://www.linkedin.com/company/sardineai, https://github.com/sardine-ai, https://www.sardine.ai/</t>
  </si>
  <si>
    <t>saronic.com</t>
  </si>
  <si>
    <t>Saronic</t>
  </si>
  <si>
    <t>Saronic provides naval and maritime forces with intelligent Autonomous Surface Vessels at scale, revolutionizing the future of naval warfare.</t>
  </si>
  <si>
    <t>https://x.com/Saronic, https://www.linkedin.com/company/saronic-technologies/, https://www.saronic.com/</t>
  </si>
  <si>
    <t>sceneinfrastructure.com</t>
  </si>
  <si>
    <t>Scene Infrastructure Co</t>
  </si>
  <si>
    <t>Scene Infrastructure Company is a software business building better instruments for socialization.</t>
  </si>
  <si>
    <t>https://twitter.com/sceneinfra, https://sceneinfrastructure.com/</t>
  </si>
  <si>
    <t>scribetx.com</t>
  </si>
  <si>
    <t>Scribe Therapeutics</t>
  </si>
  <si>
    <t>Rewriting the story of disease by genetic engineering</t>
  </si>
  <si>
    <t>https://twitter.com/scribetx?lang=en, https://www.linkedin.com/company/scribe-therapeutics/, https://scribetx.com/</t>
  </si>
  <si>
    <t>scribenote.com</t>
  </si>
  <si>
    <t>Scribenote</t>
  </si>
  <si>
    <t>As the market-leading AI scribe for veterinarians, Scribenote allows vets to simply press a button at the beginning of an appointment and let AI do the work. Afterwards, Scribenote provides a properly formatted set of SOAP (Subjective, Objective, Assessment, and Plan) notes, plus the transcript and recording.</t>
  </si>
  <si>
    <t>https://twitter.com/ScribenoteInc, https://www.linkedin.com/company/scribenote/, https://scribenote.com/</t>
  </si>
  <si>
    <t>seasonhealth.com</t>
  </si>
  <si>
    <t>Season Health</t>
  </si>
  <si>
    <t>Food-as-medicine platform enabling people to eat well and live well</t>
  </si>
  <si>
    <t>https://twitter.com/seasonhealth, https://www.linkedin.com/company/seasonhealth/, https://seasonhealth.com/</t>
  </si>
  <si>
    <t>sentilink.com</t>
  </si>
  <si>
    <t>SentiLink</t>
  </si>
  <si>
    <t>SentiLink is a technology company that helps in detecting and blocking synthetic identities. Its technology links with fraudulent crime rings to detect and block synthetic identities by searching for statistical anomalies through real-time application programming interfaces and risk analyst tools. This enables business clients to identify fakepeople and other connected fraudulent applications to harm the bottom line of the organizations.</t>
  </si>
  <si>
    <t>Naftali Harris, Maxwell Blumenfeld</t>
  </si>
  <si>
    <t>https://twitter.com/sentilink?lang=en, https://www.linkedin.com/company/sentilink, https://www.sentilink.com/</t>
  </si>
  <si>
    <t>sequencehq.com</t>
  </si>
  <si>
    <t>Sequence</t>
  </si>
  <si>
    <t>Sequence is an integrated billing and pricing solution for B2B scaleups who want to automate their billing, launch usage-based pricing and accelerate finance teams with a source of truth on customer, billing and revenue data. By plugging into your CRM and accounting suite, Sequence streamlines the quote to cash process.</t>
  </si>
  <si>
    <t>Riya Grover &amp; Eamon Jubbawy</t>
  </si>
  <si>
    <t>https://twitter.com/sequencehq_?lang=bg, https://www.linkedin.com/company/sequence-hq/mycompany/, https://www.sequencehq.com/</t>
  </si>
  <si>
    <t>series.inc</t>
  </si>
  <si>
    <t>Series Entertainment</t>
  </si>
  <si>
    <t>At Series Entertainment, we are pioneers in the realm of game development. We harness the power of generative AI to transform imaginative ideas into unforgettable gaming experiences. Our mission is to empower human creativity, blending it with advanced AI to craft immersive franchise games that captivate and inspire players around the globe. At Series Entertainment, we don't just create games; we build worlds where dreams become reality and every player is the hero of their own epic adventure.</t>
  </si>
  <si>
    <t>https://twitter.com/SeriesEntert, https://www.linkedin.com/company/seriesentertainment/, https://www.series.inc/</t>
  </si>
  <si>
    <t>setpoint.io</t>
  </si>
  <si>
    <t>Setpoint.io</t>
  </si>
  <si>
    <t>Setpoint.io develops a platform purpose-built for modern real estate transactions. Its platform automates the funding lifecycle, so operators and lenders easily manage capital requirements.</t>
  </si>
  <si>
    <t>https://www.linkedin.com/company/getsetpoint, https://www.setpoint.io/</t>
  </si>
  <si>
    <t>shef.com</t>
  </si>
  <si>
    <t>Shef</t>
  </si>
  <si>
    <t>Shef is a homemade food marketplace that helps local cooks to make a meaningful income from home by selling authentic, homemade dishes to their neighbors. The company was founded by Alvin Salehi and Joey Grassia in 2019 and operates in seven markets, including San Francisco, New York, Seattle, Chicago, and Los Angeles.</t>
  </si>
  <si>
    <t>Alvin Salehi and Joey Grassia</t>
  </si>
  <si>
    <t>https://www.facebook.com/ordershef/, https://twitter.com/ordershef, https://www.linkedin.com/company/ordershef, https://shef.com/</t>
  </si>
  <si>
    <t>shibuya.xyz</t>
  </si>
  <si>
    <t>Shibuya</t>
  </si>
  <si>
    <t>Shibuya is a web3 content studio and creator platform. Unlike traditional streaming platforms, Shibuya is built with decentralization as a priority and uses blockchain technology to securely distribute and monetize content. We want to build a range of tools and resources to help creators produce high-quality content, and provide them with direct access to their audiences.</t>
  </si>
  <si>
    <t>https://twitter.com/shibuyaxyz, https://www.linkedin.com/company/shibuyaxyz, https://shibuya.xyz/</t>
  </si>
  <si>
    <t>shield.ai</t>
  </si>
  <si>
    <t>Shield AI</t>
  </si>
  <si>
    <t>Shield AI's mission is to protect service members and innocent civilians with artificially intelligent systems. Our initial focus is on the last several miles of the battlefield where we lack capability to collect intelligence. This area is beyond the view of high altitude sensors, too dangerous for people, and too complex for robots to navigate. Consequently, service members are asked to make life altering decisions with limited information. Mistakes are made that cost lives and incur massive collateral damage. Such mistakes cause the United States to lose support of local populations and make conflict unwinnable. This problem is widely recognized throughout the DoD, including the most senior leadership. To address this problem, we are building swarms of small intelligent robots to collect the critical missing information. The systems will scour indoor and outdoor spaces in search of threats and innocent people. They will be deployed by people, trucks, ships, aircraft, and other robots. These robots will become more numerous in combat areas than soldiers. Synthesized information will be presented to service members who will be empowered to make decisions leading to intended outcomes without collateral damage. Conflict becomes less brutal.</t>
  </si>
  <si>
    <t>https://twitter.com/shieldaitech, https://www.linkedin.com/company/shield-ai/, https://shield.ai/</t>
  </si>
  <si>
    <t>singularity6.com</t>
  </si>
  <si>
    <t>Singularity 6</t>
  </si>
  <si>
    <t>We're a game development team based in Los Angeles, dedicated to the idea that online games can deliver deeper, more meaningful experiences. With our first project, we're exploring new styles of game design and tackling difficult technical problems to create a game that's beautiful and intricate, delivering far more than superficial entertainment or basic wish fulfillment, an experience that becomes a meaningful part of your life. Our vision is to create a compelling virtual universe filled with rich and diverse gameplay experiences and social interactions that will keep you playing for years, evolving along with you and the rest of the community. We want our players to feel valued as well as a true sense of belonging. Sounds ambitious? We think so, too. If you're interested in the challenge of building a new genre, in making rewarding interactive &amp; community experiences filled with amazing art and world class technology to support this living world, join us on the journey. We are proud to be an equal opportunity workplace committed to building a team culture that celebrates diversity and inclusion. Please feel free to get in touch with us at careers@singularity6.com. We are excited to hear from you!</t>
  </si>
  <si>
    <t>Anthony Leung, Aidan Karabaich</t>
  </si>
  <si>
    <t>https://a16z.com/portfolio/@singularity_six, https://www.linkedin.com/company/singularity6/, https://www.singularity6.com/</t>
  </si>
  <si>
    <t>skymavis.com</t>
  </si>
  <si>
    <t>Sky Mavis</t>
  </si>
  <si>
    <t>Sky Mavis makes crypto fun, accessible, and empowering for everyday people. Their brainchild, Axie Infinity, is a digital pet universe and player-owned economy.</t>
  </si>
  <si>
    <t>https://twitter.com/SkyMavisHQ, https://skymavis.com/</t>
  </si>
  <si>
    <t>skydio.com</t>
  </si>
  <si>
    <t>Skydio</t>
  </si>
  <si>
    <t>By leveraging breakthrough AI, Skydio creates the world's most intelligent flying machines for user by consumers, enterprises, and government customers.</t>
  </si>
  <si>
    <t>Adam Bry Matt Donahoe Abraham Bachrach</t>
  </si>
  <si>
    <t>https://www.facebook.com/SkydioHQ, https://twitter.com/SkydioHQ, https://www.linkedin.com/company/skydio/, https://github.com/Skydio, https://skydio.com/</t>
  </si>
  <si>
    <t>skypunk.com</t>
  </si>
  <si>
    <t>Skypunk</t>
  </si>
  <si>
    <t>Skypunk is making a sci-fi Zelda-like with 4 player online co-op and unique gravity mechanics.</t>
  </si>
  <si>
    <t>https://www.linkedin.com/company/skypunk, http://skypunk.com/</t>
  </si>
  <si>
    <t>skysafe.io</t>
  </si>
  <si>
    <t>SkySafe</t>
  </si>
  <si>
    <t>SkySafe's technology allows governments, law enforcement, airports, corporations, cities, and more to manage their airspace with real-time drone data and analytics.</t>
  </si>
  <si>
    <t>Grant Jordan, Scott Torborg</t>
  </si>
  <si>
    <t>https://twitter.com/skysafe, https://www.linkedin.com/company/skysafe, https://www.skysafe.io/</t>
  </si>
  <si>
    <t>sleeper.com</t>
  </si>
  <si>
    <t>Sleeper</t>
  </si>
  <si>
    <t>Sleeper is an innovative social platform with best-in-class communication features and designs to strengthen friendships through sports and esports.</t>
  </si>
  <si>
    <t>Nan Wang, Weixi Yen, Ken Wang, Henry Leung</t>
  </si>
  <si>
    <t>https://www.facebook.com/sleeperhq/, https://twitter.com/sleeperhq, https://www.linkedin.com/company/sleeperhq/, https://github.com/blitzstudios, https://sleeper.com/</t>
  </si>
  <si>
    <t>slingshot.xyz</t>
  </si>
  <si>
    <t>Slingshot AI</t>
  </si>
  <si>
    <t>Mental Health AI Research</t>
  </si>
  <si>
    <t>https://www.slingshot.xyz/</t>
  </si>
  <si>
    <t>sloyd.ai</t>
  </si>
  <si>
    <t>Sloyd</t>
  </si>
  <si>
    <t>https://sloyd.ai/</t>
  </si>
  <si>
    <t>smartcar.com</t>
  </si>
  <si>
    <t>Smartcar</t>
  </si>
  <si>
    <t>API for cars</t>
  </si>
  <si>
    <t>Sahas Katta, Sanketh Katta</t>
  </si>
  <si>
    <t>https://www.facebook.com/smartcar, https://www.twitter.com/mysmartcar, https://www.linkedin.com/company/smartcar, https://github.com/smartcar, https://smartcar.com/</t>
  </si>
  <si>
    <t>snackpass.co</t>
  </si>
  <si>
    <t>Snackpass</t>
  </si>
  <si>
    <t>The Snackpass mission is to make restaurant operators successful and guests happy. Their vision is to build the best all-in-one platform for quick-serve restaurants. Snackpass is mobile order meets social. We focus on mobile order pickup, not delivery. Not only is the takeout market 5x greater than delivery, but usage is much greater: our users Snackpass breakfast, lunch, and dinner on a daily basis. On Snackpass, you can also unlock discounts with friends, send gifts, and collect points.</t>
  </si>
  <si>
    <t>Kevin Tan, Jamie Marshall</t>
  </si>
  <si>
    <t>https://www.facebook.com/snackpassco/, https://twitter.com/snackpass_?lang=en, https://www.linkedin.com/company/snackpass/, https://github.com/snackpass, https://snackpass.co/</t>
  </si>
  <si>
    <t>snaplogic.com</t>
  </si>
  <si>
    <t>SnapLogic</t>
  </si>
  <si>
    <t>SnapLogic provides a platform for enterprise cloud and big data integration. The company's Intelligent Integration Platform accelerates data and process flow across applications, databases, data warehouses, big data streams, and IoT deployments. Whether on-premises or in the cloud. It also enables the unification of multiple endpoints, including SaaS, ERP applications, APIs, data warehouses, big data, and “things” – all on a single platform.</t>
  </si>
  <si>
    <t>Gaurav Dhillon</t>
  </si>
  <si>
    <t>http://www.facebook.com/SnapLogic, https://twitter.com/snaplogic, https://www.linkedin.com/company/snaplogic/, https://github.com/snaplogic, https://www.snaplogic.com/</t>
  </si>
  <si>
    <t>snapser.com</t>
  </si>
  <si>
    <t>Snapser</t>
  </si>
  <si>
    <t>Snapser enables game developers to build a fully customizable backend for their games. Developers chose from a marketplace of backend features while having the ability to bring their custom code, data, etc., and spin up a highly scalable server cluster within seconds. With Snapser, all game developers enjoy the same power as the big gaming studios.</t>
  </si>
  <si>
    <t>https://www.facebook.com/SnapserEngine, https://twitter.com/SnapserEngine, https://www.linkedin.com/company/snapser/, https://snapser.com/</t>
  </si>
  <si>
    <t>socket.dev</t>
  </si>
  <si>
    <t>Socket</t>
  </si>
  <si>
    <t>Socket is a new security company that can protect your most critical apps from supply chain attacks. We are taking an entirely new approach to one of the hardest problems in security in a stagnant part of the industry that has historically been obsessed with just reporting on known vulnerabilities.</t>
  </si>
  <si>
    <t>https://twitter.com/SocketSecurity, https://www.linkedin.com/company/socketinc/, https://github.com/SocketDev, https://socket.dev/</t>
  </si>
  <si>
    <t>solana.com</t>
  </si>
  <si>
    <t>Solana</t>
  </si>
  <si>
    <t>Solana is a crypto startup that builds and develops crypto apps for decentralized apps and marketplaces. The startup was founded in 2018 and is based in San Francisco, California.</t>
  </si>
  <si>
    <t>https://www.facebook.com/Solana-Labs-324870088019002, https://twitter.com/solana, https://www.linkedin.com/company/solanalabs, https://solana.com/</t>
  </si>
  <si>
    <t>sound.xyz</t>
  </si>
  <si>
    <t>Sound.xyz</t>
  </si>
  <si>
    <t>Sound connects artists and listeners to take ownership over the culture they create together.</t>
  </si>
  <si>
    <t>https://twitter.com/soundxyz_, https://www.linkedin.com/company/soundxyz/, https://sound.xyz/</t>
  </si>
  <si>
    <t>about.sourcegraph.com</t>
  </si>
  <si>
    <t>Sourcegraph</t>
  </si>
  <si>
    <t>Sourcegraph's code intelligence platform helps companies understand, fix, and automate code changes across their entire codebase.</t>
  </si>
  <si>
    <t>Quinn Slack, Beyang Liu</t>
  </si>
  <si>
    <t>https://twitter.com/sourcegraph, https://www.linkedin.com/company/sourcegraph/, https://github.com/sourcegraph, http://about.sourcegraph.com/</t>
  </si>
  <si>
    <t>spacex.com</t>
  </si>
  <si>
    <t>SpaceX</t>
  </si>
  <si>
    <t>SpaceX designs, builds and launches advanced, reusable rockets and spacecraft with the goal of making human life multiplanetary.</t>
  </si>
  <si>
    <t>Elon Musk</t>
  </si>
  <si>
    <t>https://twitter.com/spacex, https://www.linkedin.com/company/spacex/, https://spacex.com/</t>
  </si>
  <si>
    <t>spade.com</t>
  </si>
  <si>
    <t>Spade</t>
  </si>
  <si>
    <t>Spade is building the next generation of card transaction infrastructure. Their API provides granular merchant, category, and location details for card transactions in real-time. Their customers, including leading card issuers, anti-fraud providers, and fintech companies, use this enriched data to stop fraud, increase authorization rates, improve banking experiences, and more.</t>
  </si>
  <si>
    <t>https://twitter.com/spadedata, https://www.linkedin.com/company/spadedata, https://spade.com/</t>
  </si>
  <si>
    <t>spoton.com</t>
  </si>
  <si>
    <t>SpotOn</t>
  </si>
  <si>
    <t>SpotOn offers an end-to-end cloud-based tech stack for small business owners, including software to help process payments, market the business, pull reports, manage customer loyalty programs, manage customer reviews, and much more.</t>
  </si>
  <si>
    <t>Zach Hyman, Matt Hyman, Doron Friedman</t>
  </si>
  <si>
    <t>https://www.facebook.com/SpotOn/, https://twitter.com/SpotOn, https://www.linkedin.com/company/spoton/, https://github.com/SpotOnInc, https://spoton.com/</t>
  </si>
  <si>
    <t>sprig.com</t>
  </si>
  <si>
    <t>Sprig</t>
  </si>
  <si>
    <t>Sprig is the product development lifecycle research platform and is on a mission to make experiences that matter. Companies use Sprig’s Concept and Usability Testing and In-Product Surveys to get research insights from users about new ideas, designs and prototypes, as well as currently available product experiences.</t>
  </si>
  <si>
    <t>https://twitter.com/Sprig, https://www.linkedin.com/company/sprig-official/, https://sprig.com/</t>
  </si>
  <si>
    <t>sprinterhealth.com</t>
  </si>
  <si>
    <t>Sprinter Health</t>
  </si>
  <si>
    <t>On-demand, last-mile home health services to enable high-value care</t>
  </si>
  <si>
    <t>https://twitter.com/SprinterHealth, https://www.linkedin.com/company/sprinter-health, https://sprinterhealth.com/</t>
  </si>
  <si>
    <t>spruceid.com</t>
  </si>
  <si>
    <t>Spruce Systems</t>
  </si>
  <si>
    <t>Spruce is building a future where users control their identity and data across all digital interactions.</t>
  </si>
  <si>
    <t>https://twitter.com/SpruceID, https://www.linkedin.com/company/sprucesystemsinc/, https://github.com/spruceid, https://spruceid.com/</t>
  </si>
  <si>
    <t>stackerhq.com</t>
  </si>
  <si>
    <t>Stacker</t>
  </si>
  <si>
    <t>Stacker is a no-code software creation platform that develops an application to help developers build software. It also offers application development through clever spreadsheets, animated slide decks, and email filters that enable developers to build their own software from scratch.</t>
  </si>
  <si>
    <t>https://www.twitter.com/StackerHQ, https://www.linkedin.com/company/stackerhq, https://www.stackerhq.com/</t>
  </si>
  <si>
    <t>starburst.io</t>
  </si>
  <si>
    <t>Starburst Data</t>
  </si>
  <si>
    <t>Starburst offers a full-featured data lake analytics platform, built on open source Trino. The platform includes all the capabilities needed to discover, organize, and consume data without the need for time-consuming and costly migration projects.</t>
  </si>
  <si>
    <t>Justin Borgman, Kamil Bajda-Pawlikowski, Matt Fuller, Martin Traverso, Dain Sundstrom, David Phillips, Anu Sudarsan, Wojciech Biela, Piotr Findeisen, Grzegorz Kokosiński, Lukasz Osipiuk, and Karol Sobczak</t>
  </si>
  <si>
    <t>https://www.facebook.com/starburstdata, https://twitter.com/starburstdata, https://www.linkedin.com/company/starburstdata, https://github.com/starburstdata, https://www.starburst.io/</t>
  </si>
  <si>
    <t>starstock.com</t>
  </si>
  <si>
    <t>StarStock!</t>
  </si>
  <si>
    <t>StarStock is a marketplace for sports fans and card hobbyists to buy, sell, and invest in their favorite athletes. StarStock authenticates and stores cards in a centralized vault, allowing fans to conduct large-scale trades while gaining instant ownership at the point of trade.</t>
  </si>
  <si>
    <t>https://www.facebook.com/StarStock-111076163717031/, https://twitter.com/StarStockUK, https://www.linkedin.com/company/starstock-inc/, https://starstock.com/</t>
  </si>
  <si>
    <t>startplaying.games</t>
  </si>
  <si>
    <t>StartPlaying.Games</t>
  </si>
  <si>
    <t>StartPlaying is building communities through play. A marketplace with a very unique focus - helping tabletop games players (mostly Dungeons &amp; Dragons) find groups and professional game masters to play with.</t>
  </si>
  <si>
    <t>https://www.facebook.com/dmsandgames/, https://twitter.com/startplaying, https://www.linkedin.com/company/startplaying/, https://startplaying.games/</t>
  </si>
  <si>
    <t>stelolabs.com</t>
  </si>
  <si>
    <t>Stelo Labs, Inc.</t>
  </si>
  <si>
    <t>Imagine a world where every time you went to buy a cup of coffee, there was a small chance that all of your money was stolen, says Stelo Labs, a web3 security company. So you have three wallets: one for coffee, one for shopping, and one for your parents' basement.</t>
  </si>
  <si>
    <t>https://twitter.com/stelolabs, https://www.linkedin.com/company/stelo-labs, https://stelolabs.com/</t>
  </si>
  <si>
    <t>stoik.io</t>
  </si>
  <si>
    <t>Stoik</t>
  </si>
  <si>
    <t>Stoïk is a developer of a cyber security platform that offers residual risk insurance, and ongoing monitoring. Stoïk provides insurance and security to free your business from cyber-risk.</t>
  </si>
  <si>
    <t>https://mobile.twitter.com/stoik_app, https://www.linkedin.com/company/stoikio, https://github.com/stoikio, https://stoik.io/</t>
  </si>
  <si>
    <t>stonks.com</t>
  </si>
  <si>
    <t>Stonks</t>
  </si>
  <si>
    <t>Ali Moiz</t>
  </si>
  <si>
    <t>https://twitter.com/stonks_daily, https://www.linkedin.com/company/stonks-live/, https://www.stonks.com/</t>
  </si>
  <si>
    <t>storyprotocol.xyz</t>
  </si>
  <si>
    <t>Story Protocol</t>
  </si>
  <si>
    <t>Story tokenizes the world's creativity, creating Programmable IP legos that unleash global creativity and liquidity.</t>
  </si>
  <si>
    <t>https://twitter.com/StoryProtocol, https://github.com/storyprotocol, https://storyprotocol.xyz/</t>
  </si>
  <si>
    <t>stripe.com</t>
  </si>
  <si>
    <t>Stripe</t>
  </si>
  <si>
    <t>Stripe is a suite of APIs powering online payment processing and commerce solutions for internet businesses of all sizes.</t>
  </si>
  <si>
    <t>Patrick and John Collison</t>
  </si>
  <si>
    <t>https://www.facebook.com/StripeHQ/, https://twitter.com/stripe, https://www.linkedin.com/company/stripe, https://github.com/stripe, https://stripe.com/</t>
  </si>
  <si>
    <t>substack.com</t>
  </si>
  <si>
    <t>Substack</t>
  </si>
  <si>
    <t>Substack is a subscription network based on writing, podcasting, community, and other forms of culture-making. Writers and creators can publish their work and make money from paid subscriptions while readers and consumers can directly support the work that they deeply value.</t>
  </si>
  <si>
    <t>Chris Best, Hamish McKenzie, Jairaj Sethi</t>
  </si>
  <si>
    <t>https://www.facebook.com/substackinc/, https://twitter.com/substackinc, https://www.linkedin.com/company/substack/, https://github.com/substackinc, https://substack.com/</t>
  </si>
  <si>
    <t>supergaming.com</t>
  </si>
  <si>
    <t>SuperGaming</t>
  </si>
  <si>
    <t>SuperGaming is Building India’s Gaming Revolution with games like MaskGun, Battle Stars, and its new Indo-Futuristic Battle Royale, Indus. These games are all built on its own platform called the SuperPlatform. The SuperPlatform is also used by other game publishers like Bandai Namco for the iconic PAC-MAN game on mobile.</t>
  </si>
  <si>
    <t>https://twitter.com/IndusGame, https://www.linkedin.com/company/supg/, https://www.supergaming.com/</t>
  </si>
  <si>
    <t>superhuman.com</t>
  </si>
  <si>
    <t>Superhuman</t>
  </si>
  <si>
    <t>Superhuman is a software platform that weaves social insights into a workflow. The platform supports Gmail shortcuts and more allowing its users to snooze a conversation at any time so they focus on what matters, and enjoy a more productive inbox.</t>
  </si>
  <si>
    <t>Rahul Vohra - https://www.linkedin.com/in/rahulvohra/</t>
  </si>
  <si>
    <t>https://www.facebook.com/superhumanco, https://twitter.com/superhuman, https://www.linkedin.com/company/superhuman-co/, https://superhuman.com/</t>
  </si>
  <si>
    <t>supermove.com</t>
  </si>
  <si>
    <t>Supermove</t>
  </si>
  <si>
    <t>Supermove is a moving company software that modernizes moving businesses. They allow users to sell more moves, manage jobs and people, and stop wasting time on paperwork, spending less time in pushing paper and more time in moving customers. Their cloud-based software provides access to all information at all times, eliminates paperwork in the field.</t>
  </si>
  <si>
    <t>Wonjun Jeong, Mark Miyashita</t>
  </si>
  <si>
    <t>https://www.facebook.com/supermoveco, https://twitter.com/Supermoveco, https://www.linkedin.com/company/supermoveco/, https://supermove.com/</t>
  </si>
  <si>
    <t>svix.com</t>
  </si>
  <si>
    <t>Svix</t>
  </si>
  <si>
    <t>Svix is the enterprise ready webhook service. Their simple API lets you build a state-of-the-art webhooks sending solution in minutes so you can focus on your business.</t>
  </si>
  <si>
    <t>https://twitter.com/SvixHQ, https://www.linkedin.com/company/svix/, https://github.com/svix/, https://svix.com/</t>
  </si>
  <si>
    <t>swan.tech</t>
  </si>
  <si>
    <t>Swan Tech</t>
  </si>
  <si>
    <t>https://www.swan.tech/</t>
  </si>
  <si>
    <t>swaybrand.com</t>
  </si>
  <si>
    <t>SwayBrand, Inc.</t>
  </si>
  <si>
    <t>https://www.swaybrand.com/</t>
  </si>
  <si>
    <t>synapsefi.com</t>
  </si>
  <si>
    <t>Synapse</t>
  </si>
  <si>
    <t>SynapseFI is a banking platform that enables companies to provide financial products to their customers for a fraction of the cost of traditional banks. The company provides payment, deposit, lending. and investment products as APIs to FinTech companies who build and launch their financial innovations on top of their banking infrastructure.</t>
  </si>
  <si>
    <t>Sankaet Pathak</t>
  </si>
  <si>
    <t>https://twitter.com/synapsefi, https://www.linkedin.com/company/synapsepay/, https://synapsefi.com/</t>
  </si>
  <si>
    <t>syndicate.io</t>
  </si>
  <si>
    <t>Syndicate</t>
  </si>
  <si>
    <t>Syndicate is a decentralized asset management platform and social network. It creates an investing syndicate for 1000x less time and money. Syndicate is a decentralized investing protocol and social network that's transforming how the world creates value.</t>
  </si>
  <si>
    <t>Ian Lee and Will Papper</t>
  </si>
  <si>
    <t>https://twitter.com/SyndicateDAO, https://www.linkedin.com/company/syndicate-protocol/, https://syndicate.io/</t>
  </si>
  <si>
    <t>synonym.bio</t>
  </si>
  <si>
    <t>Synonym</t>
  </si>
  <si>
    <t>Synonym is a financing and development platform for essential biomanufacturing infrastructure. It builds production capacity for synthetic biology companies and creates a new asset class for investors. The company was founded in 2021 and is based in New York, New York.</t>
  </si>
  <si>
    <t>https://twitter.com/SynonymBio, https://www.linkedin.com/company/synonymbio, https://synonym.bio/</t>
  </si>
  <si>
    <t>tackle.io</t>
  </si>
  <si>
    <t>Tackle.io</t>
  </si>
  <si>
    <t>Tackle.io helps software companies generate revenue through a data-driven cloud go-to-market. The platform helps customers identify the right buyers, grow cloud co-sell relationships, and transact efficiently at scale through the cloud marketplaces.</t>
  </si>
  <si>
    <t>Dillon Woods and Brian Denker</t>
  </si>
  <si>
    <t>https://twitter.com/tackleio, hhttps://www.linkedin.com/company/tackle-io/, https://tackle.io/</t>
  </si>
  <si>
    <t>usetako.com</t>
  </si>
  <si>
    <t>Tako</t>
  </si>
  <si>
    <t>Tako is a modern workforce management platform designed to simplify payroll and employee data management for mid-sized companies in Brazil. By automating payroll and integrating HR workflows, it delivers real-time, transparent, and compliant solutions that streamline the entire employee lifecycle—from onboarding to offboarding.</t>
  </si>
  <si>
    <t>https://www.linkedin.com/company/usetako/, https://www.usetako.com/</t>
  </si>
  <si>
    <t>talkiatry.com</t>
  </si>
  <si>
    <t>Talkiatry</t>
  </si>
  <si>
    <t>Talkiatry is a national technology enabled mental health practice that provides in-network psychiatry and therapy.</t>
  </si>
  <si>
    <t>https://www.facebook.com/Talkiatry/, https://www.linkedin.com/company/talkiatry/mycompany/, https://instagram.com/talkiatry?igshid=YmMyMTA2M2Y=, https://www.talkiatry.com/</t>
  </si>
  <si>
    <t>meettally.com</t>
  </si>
  <si>
    <t>Tally</t>
  </si>
  <si>
    <t>Tally is pioneering full-service financial automation to reduce the time and stress it takes for people to achieve their financial goals. We built the first and only fully automated debt manager to put billions of dollars back into people's pockets, and we offer the only completely free automated savings service. Currently backed by some of the world's top investors ($92MM in funding), Tally's vision is to automate people's entire financial lives so they can be less stressed and better off financially.</t>
  </si>
  <si>
    <t>https://www.facebook.com/meettally/, https://twitter.com/meettally, https://www.linkedin.com/company/meettally, https://www.meettally.com/</t>
  </si>
  <si>
    <t>tallylabs.xyz</t>
  </si>
  <si>
    <t>Tally Labs, Inc.</t>
  </si>
  <si>
    <t>Tally Labs is a software-enabled web3 media business blurring the lines between community and creators. They build characters, tools, and worlds to make the metaverse a better place.</t>
  </si>
  <si>
    <t>https://twitter.com/tallylabsnft, https://www.linkedin.com/company/tally-labs, https://tallylabs.xyz/</t>
  </si>
  <si>
    <t>talofagames.com</t>
  </si>
  <si>
    <t>Talofa Games</t>
  </si>
  <si>
    <t>Talofa is building Roblox for Fitness. Our platform makes it simple for creators to develop fitness games for Gen Z.</t>
  </si>
  <si>
    <t>https://www.facebook.com/RunLegends/, https://twitter.com/PlayRunLegends, https://www.linkedin.com/company/talofagames/, https://www.talofagames.com/</t>
  </si>
  <si>
    <t>talos.com</t>
  </si>
  <si>
    <t>Talos</t>
  </si>
  <si>
    <t>Talos Trading is an institutional technology infrastructure provider that connects all crypto ecosystem participants to support a full trading lifecycle. Based in New York, NY.</t>
  </si>
  <si>
    <t>Anton Katz, Ethan Feldman</t>
  </si>
  <si>
    <t>https://twitter.com/talostrading, https://www.linkedin.com/company/talos-trading/, https://talos.com/</t>
  </si>
  <si>
    <t>tanium.com</t>
  </si>
  <si>
    <t>Tanium</t>
  </si>
  <si>
    <t>Tanium Inc. provides systems management solutions to Fortune 500 customers. The company's product capabilities include Instant Querying that enables enterprises to identify and diagnose problems as they occur, and to ask questions to every endpoint in their environment; Instant Actions that makes changes across a client's entire network; and Plain English, which allows clients to ask questions in plain English. It offers incident response, information protection, unmanaged asset detection, software license management, audit and compliance, and patch management and software distribution solutions.</t>
  </si>
  <si>
    <t>Orion Hindawi, David Hindawi</t>
  </si>
  <si>
    <t>https://twitter.com/tanium, https://www.linkedin.com/company/Tanium, https://www.instagram.com/taniuminc/, https://tanium.com/</t>
  </si>
  <si>
    <t>tapi.la</t>
  </si>
  <si>
    <t>Tapi</t>
  </si>
  <si>
    <t>Based in Argentina, Tapi is a B2B digital recurring payments enabler for fintech companies and its end users in the LatAm region.</t>
  </si>
  <si>
    <t>https://twitter.com/tapi_latam, https://www.linkedin.com/company/tapi-latam/, https://tapi.la/</t>
  </si>
  <si>
    <t>tecton.ai</t>
  </si>
  <si>
    <t>Tecton</t>
  </si>
  <si>
    <t>Tecton democratizes machine learning and AI by providing the data management tooling in ML pipelines—making it as easy to build an ML system as it is to code a simple app.</t>
  </si>
  <si>
    <t>Michael Del Balso, Kevin Stumpf, Jeremy Hermann</t>
  </si>
  <si>
    <t>https://www.facebook.com/Tectonai/, https://www.twitter.com/tectonai, https://www.linkedin.com/company/tectonai, https://tecton.ai/</t>
  </si>
  <si>
    <t>teespring.com</t>
  </si>
  <si>
    <t>Teespring</t>
  </si>
  <si>
    <t>Teespring is a method for developing and marketing products that appeal to customers and help monetize content. For clubs, organizations, and businesses placing bulk orders, they provide design assistance and competitive prices.</t>
  </si>
  <si>
    <t>Walker Williams, Evan Stites-Clayton</t>
  </si>
  <si>
    <t>https://www.facebook.com/teespring, https://twitter.com/teespring, http://blog.teespring.com/, https://teespring.com/</t>
  </si>
  <si>
    <t>tellusapp.com</t>
  </si>
  <si>
    <t>Tellus</t>
  </si>
  <si>
    <t>Tellus is a financial technology platform on a mission to help users build wealth through our line of passive income products. They offer a variety of high-yield cash accounts that pay up to 13x* more interest than a traditional savings account all while keeping you completely out of the stock or crypto markets.</t>
  </si>
  <si>
    <t>Rocky Lee and T Zhu</t>
  </si>
  <si>
    <t>https://www.facebook.com/tellusapp, https://twitter.com/tellushome, https://www.linkedin.com/company/tellus, https://www.instagram.com/tellusapp/, https://tellusapp.com/</t>
  </si>
  <si>
    <t>tenex.ai</t>
  </si>
  <si>
    <t>Tenex AI</t>
  </si>
  <si>
    <t>https://x.com/Tenex_Ai, https://www.linkedin.com/company/tenex-ai/, https://tenex.ai/</t>
  </si>
  <si>
    <t>tennr.com</t>
  </si>
  <si>
    <t>Tennr</t>
  </si>
  <si>
    <t>Tennr reads documents from incoming faxes passing through healthcare practices and automates essential tasks like scheduling and qualifying patient visits. By automating that paperwork with Tennr, practices receive more patient referrals and reduce billing errors by 98%, significantly growing revenue.</t>
  </si>
  <si>
    <t>https://www.linkedin.com/company/tennrai/, https://www.tennr.com/</t>
  </si>
  <si>
    <t>testco.de</t>
  </si>
  <si>
    <t>Testcode</t>
  </si>
  <si>
    <t>Testcode builds social audio experiences. Our initial product is deepcut.fm (formally turntable.fm) and we have some fun new things coming soon.</t>
  </si>
  <si>
    <t>Billy Chasen</t>
  </si>
  <si>
    <t>https://x.com/deepcut_fm, https://www.linkedin.com/company/testcodeinc/, https://testco.de/</t>
  </si>
  <si>
    <t>thecoterie.co</t>
  </si>
  <si>
    <t>The Coterie</t>
  </si>
  <si>
    <t>Our mission is to use technology to build innovative financial products and revolutionize access for a new generation of builders and investors. Our first set of products include unlocking illiquid equity through lending, tax planning through trusts, and asset diversification through investments in SPVs. All our products are delivered digitally, which allows for a better user experience, better margins, and better scale.</t>
  </si>
  <si>
    <t>Ethan Agarwal, Jeson Patel, Christopher Boies</t>
  </si>
  <si>
    <t>https://mobile.twitter.com/inthecoterie, https://www.linkedin.com/company/the-coterie-me/, https://www.thecoterie.co/</t>
  </si>
  <si>
    <t>thepossible.io</t>
  </si>
  <si>
    <t>The Possible Company</t>
  </si>
  <si>
    <t>The Possible Studio makes moviemaking as simple as writing a story in your favorite text editor. Simple enough that a high school kid can open up a browser tab, imagine a new story, and produce a blockbuster starring their friends.</t>
  </si>
  <si>
    <t>https://www.linkedin.com/company/the-possible-company/, https://www.thepossible.io/</t>
  </si>
  <si>
    <t>thepromenade.ai</t>
  </si>
  <si>
    <t>The Promenade</t>
  </si>
  <si>
    <t>The Promenade Studios is building games that weren't possible before AI.</t>
  </si>
  <si>
    <t>https://twitter.com/npceo_, https://www.linkedin.com/company/96142652/admin/feed/posts/, https://www.thepromenade.ai/</t>
  </si>
  <si>
    <t>theorycraftgames.com</t>
  </si>
  <si>
    <t>Theorycraft Games</t>
  </si>
  <si>
    <t>https://twitter.com/theorycraft_inc, https://www.linkedin.com/company/theorycraft-games/, https://www.instagram.com/theorycraftgames/, https://www.theorycraftgames.com/</t>
  </si>
  <si>
    <t>thymecare.com</t>
  </si>
  <si>
    <t>Thyme Care</t>
  </si>
  <si>
    <t>Value-based care navigation and management for cancer patients to improve both outcomes and cost of care</t>
  </si>
  <si>
    <t>https://twitter.com/thymecares, https://www.linkedin.com/company/thymecare, https://www.thymecare.com/</t>
  </si>
  <si>
    <t>tigrisdata.com</t>
  </si>
  <si>
    <t>Tigris Data</t>
  </si>
  <si>
    <t>https://twitter.com/TigrisData, https://www.linkedin.com/company/tigrisdata/, https://tigrisdata.com/</t>
  </si>
  <si>
    <t>thetimbucktoo.com</t>
  </si>
  <si>
    <t>Timbucktoo</t>
  </si>
  <si>
    <t>Timbucktoo is a marketplace that is the gateway to the digital experience for physical art and high-end collectibles. Using Digital Certificate of Authenticity (DCA) technology, the platform authenticates physical collectibles, automates royalties, and tracks provenance.</t>
  </si>
  <si>
    <t>https://www.instagram.com/thetimbucktoo/, https://www.thetimbucktoo.com/</t>
  </si>
  <si>
    <t>tinycometstudios.com</t>
  </si>
  <si>
    <t>Tiny Comet</t>
  </si>
  <si>
    <t>Tiny Comet is an innovative game studio that creates history-based games specifically designed for school-aged players. At the heart of our games lies the perfect blend of entertainment and learning, ensuring an engaging and enriching experience for young learners.</t>
  </si>
  <si>
    <t>https://twitter.com/TinyCometInc, https://www.linkedin.com/company/tiny-comet/, https://www.tinycometstudios.com/</t>
  </si>
  <si>
    <t>tiptop.com</t>
  </si>
  <si>
    <t>TipTop</t>
  </si>
  <si>
    <t>Bastian Lehmann</t>
  </si>
  <si>
    <t>https://x.com/tiptopxyz, https://www.linkedin.com/company/tiptopxyz/, https://tiptop.com/</t>
  </si>
  <si>
    <t>titan.com</t>
  </si>
  <si>
    <t>Titan</t>
  </si>
  <si>
    <t>Titan is a new-guard investment platform that brings premier investment management to the everyday investor.</t>
  </si>
  <si>
    <t>Joe Percoco, Clay Gardner, Max Bernardy</t>
  </si>
  <si>
    <t>https://www.facebook.com/titanvest/, https://twitter.com/titanvest, https://www.linkedin.com/company/titan-invest, https://github.com/TitanInvest, https://titan.com/</t>
  </si>
  <si>
    <t>urbit.org</t>
  </si>
  <si>
    <t>Tlon</t>
  </si>
  <si>
    <t>Urbit is a clean-slate reimplementation of the whole system software stack. On the bottom it's a replacement of the lambda calculus, in the middle it's a new functional programming language, on top it's a purely functional network operating system inwhich address space is property.</t>
  </si>
  <si>
    <t>https://twitter.com/urbit_, https://github.com/urbit/urbit, https://urbit.org/</t>
  </si>
  <si>
    <t>tokagroup.com</t>
  </si>
  <si>
    <t>Toka</t>
  </si>
  <si>
    <t>Toka is a cyber capacity-building company that helps design, build, and manage a tailored ecosystem of cyber capabilities and software products for governmental, law enforcement, and security agencies. Founded by leaders with unparalleled experience in the political, military, and corporate worlds, Toka enables agencies tasked with keeping the digital landscape, their citizens and government institutions secure. Working across the strategic, operational and tactical levels, with a deep hands-on technical experience, Toka can address the full breadth of its clients' cybersecurity needs, including the development of new technologies to meet customers' requirements.</t>
  </si>
  <si>
    <t>Yaron Rosen, Alon Kantor, Kfir Waldma, Ehud Barak</t>
  </si>
  <si>
    <t>https://www.linkedin.com/company/tokacyber, https://tokagroup.com/</t>
  </si>
  <si>
    <t>home.tomorrowhealth.com</t>
  </si>
  <si>
    <t>Tomorrow Health</t>
  </si>
  <si>
    <t>Tech-enabled home health services marketplace, starting with medical equipment</t>
  </si>
  <si>
    <t>https://twitter.com/tomorrowhealth1, https://www.linkedin.com/company/tomorrowhealth/, https://home.tomorrowhealth.com/</t>
  </si>
  <si>
    <t>topkey.io</t>
  </si>
  <si>
    <t>TopKey</t>
  </si>
  <si>
    <t>Topkey saves vacation rental property managers time and money with a financial operating system that eliminates the hassle of monthly reporting. Automate and account for everything with a single source for bookkeeping, banking and business intelligence.</t>
  </si>
  <si>
    <t>https://www.facebook.com/topkey, https://twitter.com/Topkey_io, https://www.linkedin.com/company/topkey, https://www.topkey.io/</t>
  </si>
  <si>
    <t>jointopo.com</t>
  </si>
  <si>
    <t>Topography Health</t>
  </si>
  <si>
    <t>Accelerating drug development by activating clinical research sites at scale</t>
  </si>
  <si>
    <t>https://www.linkedin.com/company/topographyhealth/, https://jointopo.com/</t>
  </si>
  <si>
    <t>torbiegames.com</t>
  </si>
  <si>
    <t>Torbie</t>
  </si>
  <si>
    <t>Torbie Inc. makes multiplayer co-op games where friends craft memories that will last a lifetime, leveraging experiences from AAA and Indie.</t>
  </si>
  <si>
    <t>https://x.com/TorbieGames, https://www.linkedin.com/company/torbie/, https://torbiegames.com/</t>
  </si>
  <si>
    <t>tradeblock.com</t>
  </si>
  <si>
    <t>Tradeblock</t>
  </si>
  <si>
    <t>TradeBlock is a digital currency (i.e. bitcoin) data company that serves institutional clients. They conduct proprietary research on topics ranging from market trends to block chain analysis.</t>
  </si>
  <si>
    <t>https://twitter.com/TradeBlock, https://www.linkedin.com/company/5180751, https://tradeblock.com/</t>
  </si>
  <si>
    <t>trassgames.com</t>
  </si>
  <si>
    <t>Trass Games</t>
  </si>
  <si>
    <t>Trass Games is an indie VR game studio committed to creating the best free social games for Meta Quest and beyond.</t>
  </si>
  <si>
    <t>https://twitter.com/godsofgravityvr, https://www.linkedin.com/company/trass-games, https://trassgames.com/</t>
  </si>
  <si>
    <t>trucksmarter.com</t>
  </si>
  <si>
    <t>TruckSmarter</t>
  </si>
  <si>
    <t>Daniel Kao, Paolo Bernasconi</t>
  </si>
  <si>
    <t>https://www.facebook.com/trucksmarterinc, https://twitter.com/trucksmarterinc, http://www.linkedin.com/company/trucksmarter, https://www.instagram.com/trucksmarterinc/, https://www.trucksmarter.com/</t>
  </si>
  <si>
    <t>trufflesecurity.com</t>
  </si>
  <si>
    <t>Truffle Security</t>
  </si>
  <si>
    <t>Truffle Security is a cybersecurity company that offers network management software solutions for private keys and credentials. The company's software scans the system environment for secrets like private keys and credentials, tracks and manages code within the intuitive management interface as well as authenticates with secure workflows toavoid username and password breaches, helping clients to protect information and reports before an infringement occurs.</t>
  </si>
  <si>
    <t>https://www.twitter.com/@trufflesec, https://www.linkedin.com/company/trufflesecurity/, https://github.com/trufflesecurity/trufflehog, https://trufflesecurity.com/</t>
  </si>
  <si>
    <t>trunk.io</t>
  </si>
  <si>
    <t>Trunk</t>
  </si>
  <si>
    <t>Trunk is a DevEx toolkit that enables you to ship code quickly while maintaining the guardrails necessary for a large team. Founded in 2021 and is based in San Francisco, California, United States.</t>
  </si>
  <si>
    <t>https://twitter.com/trunkio, https://www.linkedin.com/company/trunkio/, https://github.com/trunk-io/, https://trunk.io/</t>
  </si>
  <si>
    <t>trusttoken.com</t>
  </si>
  <si>
    <t>TrustToken</t>
  </si>
  <si>
    <t>TrustToken is a financial company that provides reinventing financial infrastructure services.</t>
  </si>
  <si>
    <t>https://twitter.com/TrustToken, https://trusttoken.com/</t>
  </si>
  <si>
    <t>turquoise.health</t>
  </si>
  <si>
    <t>Turquoise Health</t>
  </si>
  <si>
    <t>System of record for provider and payor pricing data and contracts</t>
  </si>
  <si>
    <t>https://twitter.com/TurquoiseHC, https://www.linkedin.com/company/turquoise-health/, https://turquoise.health/</t>
  </si>
  <si>
    <t>udio.com</t>
  </si>
  <si>
    <t>Udio</t>
  </si>
  <si>
    <t>https://twitter.com/udiomusic, https://www.linkedin.com/company/udiomusic/, https://instagram.com/udiomusic, https://www.udio.com/</t>
  </si>
  <si>
    <t>ultimagenomics.com</t>
  </si>
  <si>
    <t>Ultima Genomics</t>
  </si>
  <si>
    <t>Ultima Genomics is unleashing the power of genomics at scale. Their revolutionary new sequencing architecture drives down the costs of sequencing to help overcome the tradeoffs that scientists and clinicians are forced to make between the breadth, depth, and frequency with which they use genomic information.</t>
  </si>
  <si>
    <t>Gilad Almogy</t>
  </si>
  <si>
    <t>https://twitter.com/ultimagenomics, https://www.linkedin.com/company/ultimagenomics/, https://ultimagenomics.com/</t>
  </si>
  <si>
    <t>unify.id</t>
  </si>
  <si>
    <t>UnifyID</t>
  </si>
  <si>
    <t>Hate passwords? So do we. We believe that within five years, passwords will no longer be the predominant method of authentication. We are UnifyID, a Stanford StartX S15 company that is building a revolutionary identity platform based on implicit authentication. Our solution allows people to identify themselves in a unique way that is extremely difficult to forge or crack. Best of all, we are doing it in a way that respects user privacy.</t>
  </si>
  <si>
    <t>http://facebook.com/unifyid, http://twitter.com/unifyid, https://www.linkedin.com/company/6452735, https://github.com/UnifyID, https://unify.id/</t>
  </si>
  <si>
    <t>uniswap.org</t>
  </si>
  <si>
    <t>Uniswap</t>
  </si>
  <si>
    <t>The Uniswap Protocol is a decentralized trading and automated market-making protocol on Ethereum.</t>
  </si>
  <si>
    <t>https://twitter.com/Uniswap, http://github.com/Uniswap, https://uniswap.org/</t>
  </si>
  <si>
    <t>unitedmasters.com</t>
  </si>
  <si>
    <t>UnitedMasters</t>
  </si>
  <si>
    <t>UnitedMasters provides a new industry alternative for independent artists and gives artists access to premium distribution services, a suite of tools to help them connect directly with fans, and unlock opportunities for unique partnerships with some of the world's biggest brands.</t>
  </si>
  <si>
    <t>Steve Stoute</t>
  </si>
  <si>
    <t>https://www.facebook.com/unitedmasters/, https://twitter.com/unitedmasters, https://www.linkedin.com/company/united-masters, https://github.com/tommyboytech, https://unitedmasters.com/</t>
  </si>
  <si>
    <t>unleashedgames.com</t>
  </si>
  <si>
    <t>Unleashed Games</t>
  </si>
  <si>
    <t>Unleashed Games is making games that bring people together. This team of industry veterans is building next-generation experiences playable on every platform fueled by generative AI where cooperation is the win condition.</t>
  </si>
  <si>
    <t>https://www.facebook.com/UnleashedGames/, https://twitter.com/unleashinggames, https://www.linkedin.com/company/unleashedgames/, https://github.com/Unleashed-Games-Inc, http://www.unleashedgames.com/</t>
  </si>
  <si>
    <t>upsmith.com</t>
  </si>
  <si>
    <t>UpSmith</t>
  </si>
  <si>
    <t>UpSmith is a technology venture on a mission to solve the skilled worker crisis. They identify workforce needs among employers, then deploy technology to source, screen, train, and deploy technicians to fill gaps in these high purpose career opportunities.</t>
  </si>
  <si>
    <t>https://www.facebook.com/UpSmith.USA, https://twitter.com/upsmith, https://www.linkedin.com/company/upsmith/, https://upsmith.com/</t>
  </si>
  <si>
    <t>upstash.com</t>
  </si>
  <si>
    <t>Upstash</t>
  </si>
  <si>
    <t>https://twitter.com/upstash, https://www.linkedin.com/company/upstash, https://upstash.com/</t>
  </si>
  <si>
    <t>uthana.com</t>
  </si>
  <si>
    <t>Uthana</t>
  </si>
  <si>
    <t>Uthana builds generative AI for human motion to help game and content creators create 3D animation without cameras or keyframes.</t>
  </si>
  <si>
    <t>https://www.linkedin.com/company/uthanainc/, https://uthana.com/</t>
  </si>
  <si>
    <t>getvaas.com</t>
  </si>
  <si>
    <t>Vaas</t>
  </si>
  <si>
    <t>Vaas is changing the way companies in Latin America access and manage credit to accelerate their growth by building an infrastructure that also connects lenders and trustees in one place, making debt management frictionless and efficient.</t>
  </si>
  <si>
    <t>https://twitter.com/getvaas, https://www.linkedin.com/company/get-vaas/, https://getvaas.com/</t>
  </si>
  <si>
    <t>valarlabs.com</t>
  </si>
  <si>
    <t>Valar Labs</t>
  </si>
  <si>
    <t>AI software for pathology-based "digital dx" to support oncology treatment selection</t>
  </si>
  <si>
    <t>https://twitter.com/valarlabs?lang=en, https://www.linkedin.com/company/valarlabs/, https://valarlabs.com/</t>
  </si>
  <si>
    <t>valon.com</t>
  </si>
  <si>
    <t>Valon</t>
  </si>
  <si>
    <t>Valon Mortgage is a Fannie Mae and Freddie Mac approved, tech-enabled residential mortgage servicer. The company’s mission is to champion homeowners on their financial journey as the partner they trust with their home and their future.</t>
  </si>
  <si>
    <t>Andrew Wang, Eric Chiang, Jonathan Hsu</t>
  </si>
  <si>
    <t>https://www.linkedin.com/company/valon-technologies, https://www.valon.com/</t>
  </si>
  <si>
    <t>valoraapp.com</t>
  </si>
  <si>
    <t>Valora</t>
  </si>
  <si>
    <t>Valora is a mobile-first crypto wallet native to the Celo Platform, available on both iOS and Android devices. Valora makes blockchain useful and accessible even on the most basic smartphones, enabling 6 billion smartphone users worldwide to reliably save, send, and spend crypto as easily as sending a text message.</t>
  </si>
  <si>
    <t>Jackie Bona, Marek Olszewski</t>
  </si>
  <si>
    <t>https://twitter.com/ValoraApp, https://www.linkedin.com/company/valoraapp/mycompany/, https://valoraapp.com/</t>
  </si>
  <si>
    <t>vantage.sh</t>
  </si>
  <si>
    <t>Vantage</t>
  </si>
  <si>
    <t>Vantage is a service that helps businesses manage and optimize their cloud infrastructure costs. Vantage's mission is to build a suite of tools that make it easy for engineering, leadership, and finance to analyze, collaborate on and optimize their cloud infrastructure costs. The platform currently supports AWS, Azure, Google Cloud, Databricks, Snowflake, New Relic, Datadog, Fastly, MongoDB, and Kubernetes.</t>
  </si>
  <si>
    <t>https://twitter.com/joinvantage, https://www.linkedin.com/company/vantage-sh/, https://github.com/vantage-sh/, https://www.vantage.sh/</t>
  </si>
  <si>
    <t>veefriends.com</t>
  </si>
  <si>
    <t>VeeFriends</t>
  </si>
  <si>
    <t>VeeFriends is an NFT project around meaningful intellectual property and an extraordinary community. The VeeFriends characters were created to help inspire happiness in others, and were first launched as NFTs on the Ethereum blockchain to create unprecedented opportunities for utility, collectibility, and community building.</t>
  </si>
  <si>
    <t>https://twitter.com/veefriends, https://www.linkedin.com/company/veefriends, https://veefriends.com/</t>
  </si>
  <si>
    <t>ventrilo.ai</t>
  </si>
  <si>
    <t>Ventrilo</t>
  </si>
  <si>
    <t>Any company that has a relatively complex software application that they've built ultimately gets to a point where releasing new features or capabilities becomes harder as ensuring quality becomes more complex. Ventrilo helps customers understand what workflows exist in their applications so they can test them and improve them more quickly.</t>
  </si>
  <si>
    <t>https://twitter.com/ventriloai, https://www.linkedin.com/company/ventrilo-ai/about/, https://ventrilo.ai/</t>
  </si>
  <si>
    <t>ventustx.com</t>
  </si>
  <si>
    <t>Ventus Therapeutics</t>
  </si>
  <si>
    <t>Ventus Therapeutics deploys leading-edge structural biology and computational chemistry tools to create novel small molecule medicines for challenging targets, with an initial focus on immunology, inflammation, and neurology. Ventus’ drug discovery platform, ReSOLVETM, discovers and develops medicines through unique insights into protein targets and creates dynamic blueprints that can guide the development of differentiated therapies at a fast pace.</t>
  </si>
  <si>
    <t>Hao Wu, PhD; Richard Flavell, PhD, FRS; Judy Lieberman, MD, PhD; Thomas Tuschl, PhD</t>
  </si>
  <si>
    <t>https://www.linkedin.com/company/ventus-therapeutics/, https://www.ventustx.com/</t>
  </si>
  <si>
    <t>verygoodsecurity.com</t>
  </si>
  <si>
    <t>Very Good Security</t>
  </si>
  <si>
    <t>Very Good Security provides a secure payment environment, tracks PCI, and optimizes payment services. They decouple and insulate customer systems and applications from sensitive data. Their security protects data in formats including pdfs, images, emails, and voice calls. They also provide card payment data security solutions in the markets. They design a solution that helps card payment issuers protect payment card industry data.</t>
  </si>
  <si>
    <t>Mahmoud Abdelkader, Marshall Jones</t>
  </si>
  <si>
    <t>https://twitter.com/becomeverygood, https://www.linkedin.com/company/very-good-security, https://github.com/verygoodsecurity, https://www.verygoodsecurity.com/</t>
  </si>
  <si>
    <t>usevesta.com</t>
  </si>
  <si>
    <t>Vesta</t>
  </si>
  <si>
    <t>Vesta provides next-generation LOS that enables lenders across the board to build customized workflows that enable a more efficient, easy-to-use, and expedient lending process.</t>
  </si>
  <si>
    <t>Mike Yu &amp; Devon Yang</t>
  </si>
  <si>
    <t>https://twitter.com/usevesta, https://www.linkedin.com/company/usevesta/, https://usevesta.com/</t>
  </si>
  <si>
    <t>vicinitas.com</t>
  </si>
  <si>
    <t>Vicinitas Therapeutics</t>
  </si>
  <si>
    <t>Programmable small molecule drugs restoring protein function through stabilization</t>
  </si>
  <si>
    <t>https://www.linkedin.com/company/vicinitas-therapeutics/, https://vicinitas.com/</t>
  </si>
  <si>
    <t>videogame.ai</t>
  </si>
  <si>
    <t>Videogame.AI is a 100x game developer. They're replacing 99% of their dev work with custom AI tooling so they can ship 80+ commercial-quality games a year.</t>
  </si>
  <si>
    <t>https://www.videogame.ai/</t>
  </si>
  <si>
    <t>viggle.ai</t>
  </si>
  <si>
    <t>Viggle</t>
  </si>
  <si>
    <t>Controllable Video Generation — powered by JST-1, the first video-3d foundation model with actual physics understanding, starting from making any character move as you want.</t>
  </si>
  <si>
    <t>https://twitter.com/ViggleAI, https://www.linkedin.com/company/viggle/, https://www.instagram.com/viggle_ai/?hl=en, https://viggle.ai/</t>
  </si>
  <si>
    <t>virchmerchshop.com</t>
  </si>
  <si>
    <t>Virch Merch</t>
  </si>
  <si>
    <t>Virch Merch is a technology-driven platform that leverages e-commerce and logistics to offer a seamless merchandise ordering experience for concert attendees. By partnering with concert organizers/artist labels and logistics services, we aim to revolutionize the way fans interact with and purchase concert merchandise.</t>
  </si>
  <si>
    <t>http://www.facebook.com/virchmerch, https://twitter.com/virchmerch, https://www.linkedin.com/company/virch-merch/, https://instagram.com/virchmerch, https://www.virchmerchshop.com/</t>
  </si>
  <si>
    <t>vitally.io</t>
  </si>
  <si>
    <t>Vitally</t>
  </si>
  <si>
    <t>Vitally is a customer engagement platform for B2B SaaS companies to drive a world-class customer experience and eliminate churn. Vitally's easy-to-use platform integrates all customer data and provides a 360-degree view into the metrics that matter most to you, allowing clients to set up health scores and notifications, and create automation playbooks.</t>
  </si>
  <si>
    <t>https://www.twitter.com/vitally_io, https://www.linkedin.com/company/https://www.linkedin.com/company/vitally.io, https://vitally.io/</t>
  </si>
  <si>
    <t>voidpet.com</t>
  </si>
  <si>
    <t>Voidpet</t>
  </si>
  <si>
    <t>Voidpet is a next-gen monster collection game about mental health.</t>
  </si>
  <si>
    <t>https://twitter.com/VoidpetGame, https://www.linkedin.com/company/89762984, https://github.com/benawad, https://voidpet.com/</t>
  </si>
  <si>
    <t>voldex.com</t>
  </si>
  <si>
    <t>Voldex</t>
  </si>
  <si>
    <t>Voldex is an innovative video game studio focused on UGC (user-generated-content). It owns and operates several top-rated Minecraft and Roblox games. Founded in 2015.</t>
  </si>
  <si>
    <t>https://twitter.com/VoldexGames, https://www.linkedin.com/company/voldex/, https://voldex.com/</t>
  </si>
  <si>
    <t>goldfinch.finance</t>
  </si>
  <si>
    <t>Warbler Labs, Incorporated</t>
  </si>
  <si>
    <t>Goldfinch is a credit platform that offers crypto loans without collateral. It also offers capital in a digital currency by expanding access to capital in emerging markets and offers a stable yield to the lenders, enabling the empowerment of financial inclusion in emerging markets. The company was founded in 2020 by Mike Sall and Blake West.</t>
  </si>
  <si>
    <t>https://twitter.com/goldfinch_fi, https://www.linkedin.com/company/goldfinchfinance/, https://github.com/goldfinch-eng, https://goldfinch.finance/</t>
  </si>
  <si>
    <t>waveforms.ai</t>
  </si>
  <si>
    <t>WaveForms AI</t>
  </si>
  <si>
    <t>https://x.com/WaveFormsAI, https://www.linkedin.com/company/waveforms-ai/, https://www.waveforms.ai/</t>
  </si>
  <si>
    <t>waymarkcare.com</t>
  </si>
  <si>
    <t>Waymark</t>
  </si>
  <si>
    <t>Community-based, technology-enabled value based care for Medicaid providers and beneficiaries</t>
  </si>
  <si>
    <t>https://twitter.com/waymark_care, https://www.linkedin.com/company/station-health/https://www.linkedin.com/company/waymark-care/, https://www.waymarkcare.com/</t>
  </si>
  <si>
    <t>waymo.com</t>
  </si>
  <si>
    <t>Waymo</t>
  </si>
  <si>
    <t>Waymo is an autonomous driving technology company with a mission to make it safe and easy for people and things to get where they’re going.</t>
  </si>
  <si>
    <t>https://www.facebook.com/Waymo/, https://twitter.com/Waymo, https://www.linkedin.com/company/waymo/, https://github.com/waymo-research, https://waymo.com/</t>
  </si>
  <si>
    <t>wealthmore.net</t>
  </si>
  <si>
    <t>Wealthmore</t>
  </si>
  <si>
    <t>Mical Jeanlys-White, a first-generation American from Brooklyn, was inspired early by her grandmother—a diligent saver whom traditional financial institutions overlooked because of her background as a non-English speaking Haitian immigrant widow. This experience sparked Mical’s understanding of the importance of financial planning and saving, leading to her over two-decade career in financial services at institutions like JPMorgan Chase, American Express, and Accenture. Driven to bridge the wealth divide, she founded WealthMore to make expert financial advisors affordable for all.</t>
  </si>
  <si>
    <t>https://www.facebook.com/wealthmoreforall, https://www.linkedin.com/company/wealthmore/, https://www.instagram.com/wealthmoreforall/, https://www.wealthmore.net/</t>
  </si>
  <si>
    <t>whatnot.com</t>
  </si>
  <si>
    <t>Whatnot</t>
  </si>
  <si>
    <t>Whatnot is a livestream shopping platform and marketplace where users buy and sell collectibles like Pokémon cards, sports cards, Funko Pops, and more.</t>
  </si>
  <si>
    <t>Logan Head, Grant LaFontaine</t>
  </si>
  <si>
    <t>https://www.facebook.com/RealWhatnot/, https://twitter.com/whatnot, https://www.linkedin.com/company/whatnot-inc, https://github.com/Whatnot-Inc, https://www.whatnot.com/</t>
  </si>
  <si>
    <t>windwalk.com</t>
  </si>
  <si>
    <t>Windwalk Games</t>
  </si>
  <si>
    <t>Windwalk is the leading expert in designing, growing, and activating digital communities. They are the creators of Harbor, the foundational SaaS tooling for the Community Revolution.</t>
  </si>
  <si>
    <t>https://www.linkedin.com/company/18834133/, https://www.windwalk.com/</t>
  </si>
  <si>
    <t>wingspan.app</t>
  </si>
  <si>
    <t>Wingspan</t>
  </si>
  <si>
    <t>Wingspan is a platform for freelancers to manage income, benefits, and taxes. Its platform sends invoices with tools that make receiving payments easier, automatically handles bookkeeping and expenses, and finds tax deductions.</t>
  </si>
  <si>
    <t>https://twitter.com/Wingspanapp, https://www.linkedin.com/company/wingspanhq/, https://www.wingspan.app/</t>
  </si>
  <si>
    <t>wonderschool.com</t>
  </si>
  <si>
    <t>Wonderschool</t>
  </si>
  <si>
    <t>At Wonderschool, our mission is to provide quality child care to every child in the world. There is a major shortage of affordable childcare and preschools in the United States; and at the same time, many early childhood educators and young parents struggle to make ends meet. Wonderschool empowers current and aspiring in-home care providers with all the tools and support they need to start, run, and grow a childcare business in their home. By lowering the barriers to entry, we believe we can dramatically increase the supply of quality, affordable care. Wonderschool's platform connects families searching for care with our network of care providers.</t>
  </si>
  <si>
    <t>Chris Bennett</t>
  </si>
  <si>
    <t>https://www.facebook.com/joinwonderschool/, https://twitter.com/wonderschools, https://www.linkedin.com/company/wonderschool, https://www.wonderschool.com/</t>
  </si>
  <si>
    <t>workboard.com</t>
  </si>
  <si>
    <t>WorkBoard</t>
  </si>
  <si>
    <t>WorkBoard powers the digital operating rhythm for companies around the globe, providing organization-wide clarity, alignment, and insights for growth.</t>
  </si>
  <si>
    <t>Deidre Paknad,Daryoush Paknad</t>
  </si>
  <si>
    <t>https://www.facebook.com/workboardInc/, https://twitter.com/WorkBoardInc, https://www.linkedin.com/company/workboard-inc, https://workboard.com/</t>
  </si>
  <si>
    <t>workrise.com</t>
  </si>
  <si>
    <t>Workrise</t>
  </si>
  <si>
    <t>By effectively maintaining a database of energy market workers, Workrise enables better matching of supply and demand, resulting in significantly improved time-to-hire and visibility for both independent contractors and energy companies look to fill jobs with higher quality personnel.</t>
  </si>
  <si>
    <t>Xuan Yong, Mike Witte</t>
  </si>
  <si>
    <t>https://www.facebook.com/Workrise/, https://twitter.com/workrise, https://www.linkedin.com/company/workrise, https://www.workrise.com/</t>
  </si>
  <si>
    <t>worldlabs.ai</t>
  </si>
  <si>
    <t>World Labs</t>
  </si>
  <si>
    <t>https://twitter.com/theworldlabs, https://www.linkedin.com/company/world-labs/, https://worldlabs.ai/</t>
  </si>
  <si>
    <t>worldcoin.org</t>
  </si>
  <si>
    <t>Worldcoin</t>
  </si>
  <si>
    <t>Worldcoin is a digital currency that will launch by giving a free share to every human on Earth. Worldcoin consists of a privacy-preserving digital identity (World ID) and, where laws allow, a digital currency (WLD) received simply for being human.</t>
  </si>
  <si>
    <t>Sam Altman and Alex Blania</t>
  </si>
  <si>
    <t>https://twitter.com/worldcoin, https://www.linkedin.com/company/worldcoinfoundation/, https://worldcoin.org/</t>
  </si>
  <si>
    <t>wrapbook.com</t>
  </si>
  <si>
    <t>Wrapbook</t>
  </si>
  <si>
    <t>For employers and project based workforces who work in media production, Wrapbook provides digital profiles that facilitate onboarding, paying and insuring workforces compliantly. Unlike traditional payroll, Wrapbook is easy to use, fast to wrap, and costs less.</t>
  </si>
  <si>
    <t>https://twitter.com/wrapbook, https://www.linkedin.com/company/wrapbook/, https://www.wrapbook.com/</t>
  </si>
  <si>
    <t>x.ai</t>
  </si>
  <si>
    <t>xAI</t>
  </si>
  <si>
    <t>https://x.ai/</t>
  </si>
  <si>
    <t>x.build</t>
  </si>
  <si>
    <t>XBuild</t>
  </si>
  <si>
    <t>XBuild is an AI-powered construction platform that handles estimation, supplementation, closeout, and instant financing, all automatically for you.</t>
  </si>
  <si>
    <t>Jahan Khanna, Rob Moran, Sharuk Khanna</t>
  </si>
  <si>
    <t>https://www.linkedin.com/company/xbuildus/, https://www.x.build/</t>
  </si>
  <si>
    <t>xmtp.com</t>
  </si>
  <si>
    <t>XMTP Labs</t>
  </si>
  <si>
    <t>XMTP is an open, crypto-native communication protocol that connects communities, applications, and users. It was founded in 2021 and is based in Austin, Texas.</t>
  </si>
  <si>
    <t>https://twitter.com/xmtp_, https://www.linkedin.com/company/xmtp-labs, https://github.com/xmtp-labs, https://xmtp.com/</t>
  </si>
  <si>
    <t>yellow3d.com</t>
  </si>
  <si>
    <t>Yellow</t>
  </si>
  <si>
    <t>3abstracts 3D asset development for games using AI. Yellow partners with AAA games studios, trains models on their assets, and creates tools for these studios to interface with their models.</t>
  </si>
  <si>
    <t>https://yellow3d.com/</t>
  </si>
  <si>
    <t>yieldguild.io</t>
  </si>
  <si>
    <t>Yield Guild Games</t>
  </si>
  <si>
    <t>Yield Guild Games (YGG) is a decentralized autonomous organization (DAO) for investing in non fungible tokens (NFTs) used in virtual worlds and blockchain-based games. The organization’s mission is to create the biggest virtual world economy, optimizing its community-owned assets for maximum utility, and sharing its profits with its token holders.</t>
  </si>
  <si>
    <t>https://www.facebook.com/yieldguildgames, https://twitter.com/YieldGuild, https://www.linkedin.com/company/yieldguildgames/, https://yieldguild.io/</t>
  </si>
  <si>
    <t>yubico.com</t>
  </si>
  <si>
    <t>Yubico</t>
  </si>
  <si>
    <t>Yubico sets new global standards for simple and secure access to computers, mobile devices, servers, and internet accounts. The company's core invention, the YubiKey, delivers strong hardware protection, with a simple touch, across any number of IT systems and online services. The YubiHSM, Yubico's ultra-portable hardware security module, protects sensitive data stored in servers. Yubico is a leading contributor to both the FIDO2 and FIDO Universal 2nd Factor open authentication standards, and the company's technology is deployed and loved by 9 of the top 10 internet brands and by millions of users in 160 countries.</t>
  </si>
  <si>
    <t>https://www.facebook.com/Yubikey/, https://twitter.com/Yubico, https://www.linkedin.com/company/yubico/, https://github.com/Yubico, https://www.yubico.com/</t>
  </si>
  <si>
    <t>yugalabs.io</t>
  </si>
  <si>
    <t>Yuga Labs (BAYC)</t>
  </si>
  <si>
    <t>Yuga Labs is a web3 company exploring big ideas in identity, ownership, utility, and interoperability to push the crypto and NFT space forward.</t>
  </si>
  <si>
    <t>https://twitter.com/BoredApeYC, https://yugalabs.io/</t>
  </si>
  <si>
    <t>y.uno</t>
  </si>
  <si>
    <t>Yuno</t>
  </si>
  <si>
    <t>Yuno is a payment orchestration solution that helps ecommerces in Latin America generate more revenue, increase their conversion, and lower costs by optimizing their payments processing solution and checkouts.</t>
  </si>
  <si>
    <t>https://www.linkedin.com/company/yunopay/, https://y.uno/</t>
  </si>
  <si>
    <t>zleague.gg</t>
  </si>
  <si>
    <t>Z League</t>
  </si>
  <si>
    <t>We thought players of all skill levels should be able to enjoy the excitement of a tournament with a prize. So we built the world’s first skill-based tournament platform so casual gamers could join in the fun. Now we’re taking that idea to new heights, and creating more ways to bring people together for fun, accessible, challenging, and rewardinggame play.</t>
  </si>
  <si>
    <t>Lucas Pellan, Robbie Schneidman, Jeff Weshler</t>
  </si>
  <si>
    <t>https://www.facebook.com/zleaguegg, https://twitter.com/zleaguegg, https://www.linkedin.com/company/zleague/, https://www.zleague.gg/</t>
  </si>
  <si>
    <t>vhslab.com</t>
  </si>
  <si>
    <t>Zed.run</t>
  </si>
  <si>
    <t>Zed Run builds a virtual stable of champions and uses skill to dominate on the racetrack against global competitors. They have the skill to live not only on the blockchain but in an open market.</t>
  </si>
  <si>
    <t>Chris Laurent, Geoff Wellman, Chris Ebeling and Rob Salha</t>
  </si>
  <si>
    <t>https://www.facebook.com/runzedrun/, https://twitter.com/zed_run, https://www.linkedin.com/company/virtually-human, https://github.com/vhslab/, https://vhslab.com/</t>
  </si>
  <si>
    <t>linera.io</t>
  </si>
  <si>
    <t>Zefchain</t>
  </si>
  <si>
    <t>Linera is the power of decentralization for everyone, everywhere. It is a multi-chain infrastructure designed for highly scalable web3 applications.</t>
  </si>
  <si>
    <t>https://twitter.com/zefchain, https://www.linkedin.com/company/linera-io/, https://linera.io/</t>
  </si>
  <si>
    <t>zenefits.com</t>
  </si>
  <si>
    <t>Zenefits</t>
  </si>
  <si>
    <t>Zenefits manages your benefits, payroll, and HR so you don't have to. No more paperwork. No more headaches. Zenefits is 100% no-fingers-crossed-behind-our-back free, all online, and completely paperless.</t>
  </si>
  <si>
    <t>Parker Conrad, Laks Srini</t>
  </si>
  <si>
    <t>https://www.facebook.com/Zenefits, https://twitter.com/Zenefits, http://www.linkedin.com/company/zenefits, https://www.zenefits.com/</t>
  </si>
  <si>
    <t>zeromark.com</t>
  </si>
  <si>
    <t>ZeroMark</t>
  </si>
  <si>
    <t>ZeroMark is a pioneering defense technology company that's harnessing AI, robotics, and firearms to redefine security and public safety. Our products significantly increase weapon speed, accuracy, and precision while reducing unintended harm.</t>
  </si>
  <si>
    <t>https://twitter.com/zeromarkinc, https://www.linkedin.com/company/zeromarkinc/, https://zeromark.com/</t>
  </si>
  <si>
    <t>effects.zibra.ai</t>
  </si>
  <si>
    <t>Zibra AI</t>
  </si>
  <si>
    <t>Zibra AI is an AI-powered platform for creating 3D assets for games. The platform aims to speed up and simplify the creation process with the power of Generative AI.</t>
  </si>
  <si>
    <t>https://www.facebook.com/zibraAI, https://x.com/zibraai?s=21&amp;t=8tdietIPCYpCaLc_SmJ3vQ, https://www.linkedin.com/company/zibra-ai, https://github.com/ZibraAI, https://effects.zibra.ai/</t>
  </si>
  <si>
    <t>flyzipline.com</t>
  </si>
  <si>
    <t>Zipline</t>
  </si>
  <si>
    <t>Zipline is a Silicon Valley-based logistics company that designs, manufactures, and operates small robotic aircraft to provide fast, reliable, and affordable access to lifesaving medical products.</t>
  </si>
  <si>
    <t>https://www.facebook.com/flyzipline/, https://twitter.com/zipline?lang=en, https://www.linkedin.com/company/flyzipline, https://www.flyzipline.com/</t>
  </si>
  <si>
    <t>zulily.com</t>
  </si>
  <si>
    <t>Zulily</t>
  </si>
  <si>
    <t>Flash sales for moms, babies and kids</t>
  </si>
  <si>
    <t>Darrell Cavens, Mark Vadon</t>
  </si>
  <si>
    <t>http://www.facebook.com/zulily, https://twitter.com/zulily, https://www.zulily.com/</t>
  </si>
  <si>
    <t>getzuma.com</t>
  </si>
  <si>
    <t>Zuma</t>
  </si>
  <si>
    <t>Automated sales agent that converses with, nurtures, and qualifies 100% of inbound leads via text message using a blend of Human + AI support.</t>
  </si>
  <si>
    <t>Kendrick Bradley, Shiv Gettu</t>
  </si>
  <si>
    <t>https://www.linkedin.com/company/getzuma, https://www.getzuma.com/</t>
  </si>
  <si>
    <t>zushealth.com</t>
  </si>
  <si>
    <t>Zus Health</t>
  </si>
  <si>
    <t>Shared medical record platform for provisioning full patient context at the point of care</t>
  </si>
  <si>
    <t>https://twitter.com/zushealthhq, https://www.linkedin.com/company/zus-health/, https://zushealth.com/</t>
  </si>
  <si>
    <t>Image Source</t>
  </si>
  <si>
    <t>fireflies.ai</t>
  </si>
  <si>
    <t>Fireflies</t>
  </si>
  <si>
    <t>For you guys that might mean personalized transcript summaries... or action items.</t>
  </si>
  <si>
    <t>AI assistant to transcribe and summarize meetings</t>
  </si>
  <si>
    <t>https://www.khoslaventures.com/wp-content/uploads/KVPortfolio-Fireflies.ai-White.svg</t>
  </si>
  <si>
    <t>sketchpro.ai</t>
  </si>
  <si>
    <t>Sketchpro</t>
  </si>
  <si>
    <t>For you guys that might mean personalized integrations... or user roles.</t>
  </si>
  <si>
    <t>Copilot for architects and interior designers</t>
  </si>
  <si>
    <t>https://www.khoslaventures.com/wp-content/uploads/Sketchpro.png</t>
  </si>
  <si>
    <t>sciphermedicine.com</t>
  </si>
  <si>
    <t>Scipher</t>
  </si>
  <si>
    <t>For you guys that might mean personalized treatment pathways... or patient cohorts.</t>
  </si>
  <si>
    <t>Matching each autoimmune patient with their most effective therapy</t>
  </si>
  <si>
    <t>https://www.khoslaventures.com/wp-content/uploads/KV_Highlight-Scipher.svg</t>
  </si>
  <si>
    <t>eightsleep.com</t>
  </si>
  <si>
    <t>Eight Sleep</t>
  </si>
  <si>
    <t>For you guys that might mean personalized sleep schedules... or temperature settings.</t>
  </si>
  <si>
    <t>Fueling human potential through optimal sleep</t>
  </si>
  <si>
    <t>https://www.khoslaventures.com/wp-content/uploads/KV_Highlight-Eight.svg</t>
  </si>
  <si>
    <t>honeyhomes.com</t>
  </si>
  <si>
    <t>Honey Homes</t>
  </si>
  <si>
    <t>For you guys that might mean personalized property data... or agent profiles.</t>
  </si>
  <si>
    <t>One dedicated handyman for your home</t>
  </si>
  <si>
    <t>https://www.khoslaventures.com/wp-content/uploads/Honey-Homes-2.svg</t>
  </si>
  <si>
    <t>popgun.ai</t>
  </si>
  <si>
    <t>Popgun</t>
  </si>
  <si>
    <t>For you guys that might mean personalized user roles... or integrations.</t>
  </si>
  <si>
    <t>Largest music game on Roblox</t>
  </si>
  <si>
    <t>https://www.khoslaventures.com/wp-content/uploads/KV_Highlight-Splash.svg</t>
  </si>
  <si>
    <t>astrus.ai</t>
  </si>
  <si>
    <t>Astrus</t>
  </si>
  <si>
    <t>Automated analog layout</t>
  </si>
  <si>
    <t>https://www.khoslaventures.com/wp-content/uploads/Astrus.png</t>
  </si>
  <si>
    <t>cognition.ai</t>
  </si>
  <si>
    <t>Cognition</t>
  </si>
  <si>
    <t>For you guys that might mean personalized AI model configurations... or data workflows.</t>
  </si>
  <si>
    <t>Makers of Devin</t>
  </si>
  <si>
    <t>https://www.khoslaventures.com/wp-content/uploads/Cogntion.png</t>
  </si>
  <si>
    <t>the first AI software engineer.</t>
  </si>
  <si>
    <t>kognitos.com</t>
  </si>
  <si>
    <t>Kognitos</t>
  </si>
  <si>
    <t>For you guys that might mean personalized workflows or automation rules.</t>
  </si>
  <si>
    <t>Business automation in your own words</t>
  </si>
  <si>
    <t>https://www.khoslaventures.com/wp-content/uploads/Kognitos-3.png</t>
  </si>
  <si>
    <t>neon.tech</t>
  </si>
  <si>
    <t>Neon</t>
  </si>
  <si>
    <t>For you guys that might mean personalized regions... or read replicas.</t>
  </si>
  <si>
    <t>Serverless Postgres</t>
  </si>
  <si>
    <t>https://www.khoslaventures.com/wp-content/uploads/KV_Highlight-Neon.svg</t>
  </si>
  <si>
    <t>parallel.ai</t>
  </si>
  <si>
    <t>For you guys that might mean personalized models or workflows.</t>
  </si>
  <si>
    <t>Adapting the web for AIs</t>
  </si>
  <si>
    <t>https://www.khoslaventures.com/wp-content/uploads/Parallel-Web-2.png</t>
  </si>
  <si>
    <t>ringcentral.com</t>
  </si>
  <si>
    <t>RingCentral</t>
  </si>
  <si>
    <t>For you guys that might mean personalized integrations or workflows.</t>
  </si>
  <si>
    <t>Simplified business communications</t>
  </si>
  <si>
    <t>https://www.khoslaventures.com/wp-content/uploads/KVPortfolio-RingCentral-White.svg</t>
  </si>
  <si>
    <t>rubrik.com</t>
  </si>
  <si>
    <t>Rubrik</t>
  </si>
  <si>
    <t>For you guys that might mean personalized RPOs or SLAs.</t>
  </si>
  <si>
    <t>Data security and operational resilience for enterprises</t>
  </si>
  <si>
    <t>https://www.khoslaventures.com/wp-content/uploads/KV_Highlight-Rubrik.svg</t>
  </si>
  <si>
    <t>skyflow.com</t>
  </si>
  <si>
    <t>Skyflow</t>
  </si>
  <si>
    <t>For you guys that might mean personalized vaults or data policies.</t>
  </si>
  <si>
    <t>Data privacy vault for AI</t>
  </si>
  <si>
    <t>https://www.khoslaventures.com/wp-content/uploads/Skyflow.png</t>
  </si>
  <si>
    <t>roofstock.com</t>
  </si>
  <si>
    <t>Roofstock</t>
  </si>
  <si>
    <t>For you guys that might mean personalized property listings or investment portfolios.</t>
  </si>
  <si>
    <t>Real estate investing for everyone</t>
  </si>
  <si>
    <t>https://www.khoslaventures.com/wp-content/uploads/KV_Highlight-Roofstock.svg</t>
  </si>
  <si>
    <t>berkshiregrey.com</t>
  </si>
  <si>
    <t>Berkshire Grey</t>
  </si>
  <si>
    <t>For you guys that might mean personalized workflows or robot configurations.</t>
  </si>
  <si>
    <t>Intelligent enterprise robotics</t>
  </si>
  <si>
    <t>https://www.khoslaventures.com/wp-content/uploads/KV_Highlight-BerkshireGrey.svg</t>
  </si>
  <si>
    <t>nomagic.ai</t>
  </si>
  <si>
    <t>NoMagic</t>
  </si>
  <si>
    <t>For you guys that might mean personalized user permissions... or reporting.</t>
  </si>
  <si>
    <t>Intelligent robotics for item handling</t>
  </si>
  <si>
    <t>https://www.khoslaventures.com/wp-content/uploads/KVPortfolio-Nomagic-White.svg</t>
  </si>
  <si>
    <t>symbolica.ai</t>
  </si>
  <si>
    <t>Symbolica</t>
  </si>
  <si>
    <t>For you guys that might mean personalized vector embeddings or model endpoints.</t>
  </si>
  <si>
    <t>Structured cognition in machines</t>
  </si>
  <si>
    <t>https://www.khoslaventures.com/wp-content/uploads/Symbolica.png</t>
  </si>
  <si>
    <t>bluerivertechnology.com</t>
  </si>
  <si>
    <t>Blue River</t>
  </si>
  <si>
    <t>For you guys that might mean personalized yield models or data feeds.</t>
  </si>
  <si>
    <t>Changing agriculture with intelligent machinery</t>
  </si>
  <si>
    <t>https://www.khoslaventures.com/wp-content/uploads/KV1_Highlight-BlueRiver.svg</t>
  </si>
  <si>
    <t>redoxblox.com</t>
  </si>
  <si>
    <t>RedoxBlox</t>
  </si>
  <si>
    <t>For you guys that might mean personalized integrations... or data sources.</t>
  </si>
  <si>
    <t>Energy storage solution</t>
  </si>
  <si>
    <t>https://www.khoslaventures.com/wp-content/uploads/Redoxblox.svg</t>
  </si>
  <si>
    <t>limbic.ai</t>
  </si>
  <si>
    <t>Limbic</t>
  </si>
  <si>
    <t>AI therapist</t>
  </si>
  <si>
    <t>https://www.khoslaventures.com/wp-content/uploads/Limbic-2.svg</t>
  </si>
  <si>
    <t>vista.ai</t>
  </si>
  <si>
    <t>Vista</t>
  </si>
  <si>
    <t>Automated</t>
  </si>
  <si>
    <t>https://www.khoslaventures.com/wp-content/uploads/KVPortfolio-VistaAI-White.png</t>
  </si>
  <si>
    <t>software-only platform that greatly simplifies a CMR exam</t>
  </si>
  <si>
    <t>opentrons.com</t>
  </si>
  <si>
    <t>Opentrons</t>
  </si>
  <si>
    <t>For you guys that might mean personalized protocols... or labware integrations.</t>
  </si>
  <si>
    <t>Robots for biologists</t>
  </si>
  <si>
    <t>https://www.khoslaventures.com/wp-content/uploads/KV_Highlight-Opentrons.svg</t>
  </si>
  <si>
    <t>pearlbio.com</t>
  </si>
  <si>
    <t>Pearlbio</t>
  </si>
  <si>
    <t>For you guys that might mean personalized cell line configurations... or assay workflows.</t>
  </si>
  <si>
    <t>Building next-gen biomaterials for smart biologics</t>
  </si>
  <si>
    <t>https://www.khoslaventures.com/wp-content/uploads/Pearl.png</t>
  </si>
  <si>
    <t>zordi.com</t>
  </si>
  <si>
    <t>Zordi</t>
  </si>
  <si>
    <t>For you guys that might mean personalized dashboards or workflows.</t>
  </si>
  <si>
    <t>Autonomous greenhouses to feed the world</t>
  </si>
  <si>
    <t>https://www.khoslaventures.com/wp-content/uploads/KV_Highlight-Zordi.svg</t>
  </si>
  <si>
    <t>nitricity.co</t>
  </si>
  <si>
    <t>Nitricity</t>
  </si>
  <si>
    <t>For you guys that might mean personalized attribution windows... or lead scoring.</t>
  </si>
  <si>
    <t>Fertilizer from air</t>
  </si>
  <si>
    <t>https://www.khoslaventures.com/wp-content/uploads/KVPortfolio-Nitricity-White.svg</t>
  </si>
  <si>
    <t>arkifi.ai</t>
  </si>
  <si>
    <t>Arkifi</t>
  </si>
  <si>
    <t>For you guys that might mean personalized AI models or data integrations.</t>
  </si>
  <si>
    <t>AI-powered finance workflow</t>
  </si>
  <si>
    <t>https://www.khoslaventures.com/wp-content/uploads/arkifi.png</t>
  </si>
  <si>
    <t>lexion.ai</t>
  </si>
  <si>
    <t>Lexion</t>
  </si>
  <si>
    <t>For you guys that might mean personalized contracts or clauses.</t>
  </si>
  <si>
    <t>AI-powered contract management system</t>
  </si>
  <si>
    <t>https://www.khoslaventures.com/wp-content/uploads/KVPortfolio-Lexion-White.png</t>
  </si>
  <si>
    <t>guardanthealth.com</t>
  </si>
  <si>
    <t>Guardant</t>
  </si>
  <si>
    <t>For you guys that might mean personalized biomarker panels or reporting thresholds.</t>
  </si>
  <si>
    <t>Transforming cancer care through blood tests</t>
  </si>
  <si>
    <t>https://www.khoslaventures.com/wp-content/uploads/KVPortfolio-Guardant-White.svg</t>
  </si>
  <si>
    <t>siphox.com</t>
  </si>
  <si>
    <t>Siphox</t>
  </si>
  <si>
    <t>For you guys that might mean personalized user roles... or reporting.</t>
  </si>
  <si>
    <t>Instant access to biomarkers using silicon photonics.</t>
  </si>
  <si>
    <t>https://www.khoslaventures.com/wp-content/uploads/KV_Highlight-SiPho.svg</t>
  </si>
  <si>
    <t>doordash.com</t>
  </si>
  <si>
    <t>DoorDash</t>
  </si>
  <si>
    <t>For you guys that might mean personalized restaurant selections... or delivery zones.</t>
  </si>
  <si>
    <t>Transforming the way America eats</t>
  </si>
  <si>
    <t>https://www.khoslaventures.com/wp-content/uploads/KVPortfolio-DoorDash-White.svg</t>
  </si>
  <si>
    <t>playback.tv</t>
  </si>
  <si>
    <t>Playback</t>
  </si>
  <si>
    <t>For you guys that might mean personalized streams... or user profiles.</t>
  </si>
  <si>
    <t>Watch live sports with friends</t>
  </si>
  <si>
    <t>https://www.khoslaventures.com/wp-content/uploads/Playback.png</t>
  </si>
  <si>
    <t>replika.ai</t>
  </si>
  <si>
    <t>Replika</t>
  </si>
  <si>
    <t>For you guys that might mean personalized AI personalities... or user roles.</t>
  </si>
  <si>
    <t>Personal AI-powered chatbot</t>
  </si>
  <si>
    <t>https://www.khoslaventures.com/wp-content/uploads/Replika-AI.png</t>
  </si>
  <si>
    <t>athena.com</t>
  </si>
  <si>
    <t>Athena</t>
  </si>
  <si>
    <t>Building an AI+human executive assistant</t>
  </si>
  <si>
    <t>https://www.khoslaventures.com/wp-content/uploads/Athena-2.png</t>
  </si>
  <si>
    <t>chipstack.ai</t>
  </si>
  <si>
    <t>Chipstack</t>
  </si>
  <si>
    <t>For you guys that might mean personalized model outputs... or API integrations.</t>
  </si>
  <si>
    <t>Chip design reimagined with AI</t>
  </si>
  <si>
    <t>https://www.khoslaventures.com/wp-content/uploads/Chipstack-2.png</t>
  </si>
  <si>
    <t>loft.sh</t>
  </si>
  <si>
    <t>For you guys that might mean personalized clusters... or namespace quotas.</t>
  </si>
  <si>
    <t>Building blocks for platform creators</t>
  </si>
  <si>
    <t>https://www.khoslaventures.com/wp-content/uploads/Loft.png</t>
  </si>
  <si>
    <t>fundbox.com</t>
  </si>
  <si>
    <t>Fundbox</t>
  </si>
  <si>
    <t>For you guys that might mean personalized credit lines... or repayment schedules.</t>
  </si>
  <si>
    <t>Platform for small businesses to optimize cash flow</t>
  </si>
  <si>
    <t>https://www.khoslaventures.com/wp-content/uploads/KV_Highlight-Fundbox.svg</t>
  </si>
  <si>
    <t>analog-inference.com</t>
  </si>
  <si>
    <t>Analog Inference</t>
  </si>
  <si>
    <t>For you guys that might mean personalized integrations... or UI themes.</t>
  </si>
  <si>
    <t>Revolutionizing analog computing for AI</t>
  </si>
  <si>
    <t>https://www.khoslaventures.com/wp-content/uploads/KV_Highlight-Analog.svg</t>
  </si>
  <si>
    <t>vayurobotics.com</t>
  </si>
  <si>
    <t>Vayu</t>
  </si>
  <si>
    <t>For you guys that might mean personalized mapping workflows... or drone configurations.</t>
  </si>
  <si>
    <t>Building delivery bots</t>
  </si>
  <si>
    <t>https://www.khoslaventures.com/wp-content/uploads/KV_Highlight-Vayu.svg</t>
  </si>
  <si>
    <t>li-ind.com</t>
  </si>
  <si>
    <t>Li-ind</t>
  </si>
  <si>
    <t>For you guys that might mean personalized rate cards... or coverage.</t>
  </si>
  <si>
    <t>Next-generation Lithium-ion battery recycling</t>
  </si>
  <si>
    <t>https://www.khoslaventures.com/wp-content/uploads/KV3_Highlight-LiIndustries.svg</t>
  </si>
  <si>
    <t>rtv.earth</t>
  </si>
  <si>
    <t>RTV</t>
  </si>
  <si>
    <t>For you guys that might mean personalized payouts... or asset configurations.</t>
  </si>
  <si>
    <t>Circular apparel</t>
  </si>
  <si>
    <t>https://www.khoslaventures.com/wp-content/uploads/RTV.png</t>
  </si>
  <si>
    <t>helloheart.com</t>
  </si>
  <si>
    <t>Hello Heart</t>
  </si>
  <si>
    <t>For you guys that might mean personalized integrations... or notifications.</t>
  </si>
  <si>
    <t>Empowering people to improve their heart health</t>
  </si>
  <si>
    <t>https://www.khoslaventures.com/wp-content/uploads/KVPortfolio-HelloHeart-White.png</t>
  </si>
  <si>
    <t>hioscar.com</t>
  </si>
  <si>
    <t>Hioscar</t>
  </si>
  <si>
    <t>For you guys that might mean personalized plans... or integrations.</t>
  </si>
  <si>
    <t>Health insurance built on a full-stack tech platform</t>
  </si>
  <si>
    <t>https://www.khoslaventures.com/wp-content/uploads/KV_Highlight-Oscar.svg</t>
  </si>
  <si>
    <t>inflammatix.com</t>
  </si>
  <si>
    <t>Inflammatix</t>
  </si>
  <si>
    <t>For you guys that might mean personalized assay readouts... or inflammation scores.</t>
  </si>
  <si>
    <t>Rapid diagnostic tests that read the immune system</t>
  </si>
  <si>
    <t>https://www.khoslaventures.com/wp-content/uploads/KVPortfolio-Inflammatix-White.png</t>
  </si>
  <si>
    <t>synchron.com</t>
  </si>
  <si>
    <t>Synchron</t>
  </si>
  <si>
    <t>For you guys that might mean personalized data views... or user permissions.</t>
  </si>
  <si>
    <t>Brain Computer Interface to treat paralysis and more</t>
  </si>
  <si>
    <t>https://www.khoslaventures.com/wp-content/uploads/KV_Highlight-Synchron.svg</t>
  </si>
  <si>
    <t>rubedolife.com</t>
  </si>
  <si>
    <t>Rubedo</t>
  </si>
  <si>
    <t>For you guys that might mean personalized workflows... or plan pricing.</t>
  </si>
  <si>
    <t>Targeting cells that cause aging</t>
  </si>
  <si>
    <t>https://www.khoslaventures.com/wp-content/uploads/KV_Highlight-Rubdeo.svg</t>
  </si>
  <si>
    <t>faire.com</t>
  </si>
  <si>
    <t>Faire</t>
  </si>
  <si>
    <t>For you guys that might mean personalized brands... or product catalogs.</t>
  </si>
  <si>
    <t>One-stop shop for wholesale</t>
  </si>
  <si>
    <t>https://www.khoslaventures.com/wp-content/uploads/KV_Highlight-Faire.svg</t>
  </si>
  <si>
    <t>inkitt.com</t>
  </si>
  <si>
    <t>Inkitt</t>
  </si>
  <si>
    <t>For you guys that might mean personalized genres or reading lists.</t>
  </si>
  <si>
    <t>Hyper-personalized stories powered by AI</t>
  </si>
  <si>
    <t>https://www.khoslaventures.com/wp-content/uploads/Inkitt.png</t>
  </si>
  <si>
    <t>proclaimhealth.com</t>
  </si>
  <si>
    <t>Proclaim Health</t>
  </si>
  <si>
    <t>For you guys that might mean personalized plans... or networks.</t>
  </si>
  <si>
    <t>Personalized automated oral health system</t>
  </si>
  <si>
    <t>https://www.khoslaventures.com/wp-content/uploads/Proclaim.png</t>
  </si>
  <si>
    <t>rabbit.tech</t>
  </si>
  <si>
    <t>For you guys that might mean personalized user roles... or permission settings.</t>
  </si>
  <si>
    <t>The future of human-machine interface</t>
  </si>
  <si>
    <t>https://www.khoslaventures.com/wp-content/uploads/Rabbit.svg</t>
  </si>
  <si>
    <t>blackberry.com</t>
  </si>
  <si>
    <t>Blackberry</t>
  </si>
  <si>
    <t>For you guys that might mean personalized security policies... or endpoint configurations.</t>
  </si>
  <si>
    <t>Antivirus software to prevent rather than detect</t>
  </si>
  <si>
    <t>https://www.khoslaventures.com/wp-content/uploads/KV_Highlight-Cyclance.svg</t>
  </si>
  <si>
    <t>moonhub.ai</t>
  </si>
  <si>
    <t>Moonhub</t>
  </si>
  <si>
    <t>For you guys that might mean personalized AI models or datasets.</t>
  </si>
  <si>
    <t>World's largest realtime people database powered by AI</t>
  </si>
  <si>
    <t>https://www.khoslaventures.com/wp-content/uploads/KVPortfolio-Moonhub-White.png</t>
  </si>
  <si>
    <t>nutanix.com</t>
  </si>
  <si>
    <t>Nutanix</t>
  </si>
  <si>
    <t>For you guys that might mean personalized workloads... or cloud deployments.</t>
  </si>
  <si>
    <t>One platform to run all your apps and data anywhere</t>
  </si>
  <si>
    <t>https://www.khoslaventures.com/wp-content/uploads/KVPortfolio-Nutanix-White.svg</t>
  </si>
  <si>
    <t>polyai.com</t>
  </si>
  <si>
    <t>PolyAI</t>
  </si>
  <si>
    <t>For you guys that might mean personalized AI workflows or use cases.</t>
  </si>
  <si>
    <t>Superhuman customer support voice assistants powered by AI</t>
  </si>
  <si>
    <t>https://www.khoslaventures.com/wp-content/uploads/KV_Highlight-PolyAI.svg</t>
  </si>
  <si>
    <t>sakana.ai</t>
  </si>
  <si>
    <t>Sakana</t>
  </si>
  <si>
    <t>For you guys that might mean personalized model parameters or data sources.</t>
  </si>
  <si>
    <t>Building a native AI foundational model for Japan</t>
  </si>
  <si>
    <t>https://www.khoslaventures.com/wp-content/uploads/Sakana-2.svg</t>
  </si>
  <si>
    <t>sarvam.ai</t>
  </si>
  <si>
    <t>Sarvam</t>
  </si>
  <si>
    <t>For you guys that might mean personalized model fine-tuning... or data ingestion.</t>
  </si>
  <si>
    <t>Building the full-stack for Generative AI in India</t>
  </si>
  <si>
    <t>https://www.khoslaventures.com/wp-content/uploads/Sarvam-ai-1-1.svg</t>
  </si>
  <si>
    <t>vectranetworks.com</t>
  </si>
  <si>
    <t>Vectra</t>
  </si>
  <si>
    <t>For you guys that might mean personalized network configs... or security policies.</t>
  </si>
  <si>
    <t>Staying on top of cyber threats</t>
  </si>
  <si>
    <t>https://www.khoslaventures.com/wp-content/uploads/KV_Highlight-Vectra.svg</t>
  </si>
  <si>
    <t>at-bay.com</t>
  </si>
  <si>
    <t>At-Bay</t>
  </si>
  <si>
    <t>For you guys that might mean personalized risk dashboards... or alert thresholds.</t>
  </si>
  <si>
    <t>Cyber insurance</t>
  </si>
  <si>
    <t>https://www.khoslaventures.com/wp-content/uploads/KV_Highlight-AtBay.svg</t>
  </si>
  <si>
    <t>upstart.com</t>
  </si>
  <si>
    <t>Upstart</t>
  </si>
  <si>
    <t>For you guys that might mean personalized loan amounts... or credit scores.</t>
  </si>
  <si>
    <t>Improving access to affordable credit with AI</t>
  </si>
  <si>
    <t>https://www.khoslaventures.com/wp-content/uploads/KV_Highlight-Upstart.svg</t>
  </si>
  <si>
    <t>hermeus.com</t>
  </si>
  <si>
    <t>Hermeus</t>
  </si>
  <si>
    <t>For you guys that might mean personalized hypersonic flight profiles... or engine configurations.</t>
  </si>
  <si>
    <t>New York to London in 90 minutes via Mach 5 aircraft</t>
  </si>
  <si>
    <t>https://www.khoslaventures.com/wp-content/uploads/KV_Highlight-Hermeus.svg</t>
  </si>
  <si>
    <t>caelux.com</t>
  </si>
  <si>
    <t>Caelux</t>
  </si>
  <si>
    <t>For you guys that might mean personalized dashboards... or user permissions.</t>
  </si>
  <si>
    <t>Using perovskites for lower-cost solar</t>
  </si>
  <si>
    <t>https://www.khoslaventures.com/wp-content/uploads/KV_Highlight-Caelux.svg</t>
  </si>
  <si>
    <t>cfs.energy</t>
  </si>
  <si>
    <t>CFS</t>
  </si>
  <si>
    <t>For you guys that might mean personalized LCOE modeling... or power purchase agreement structures.</t>
  </si>
  <si>
    <t>Limitless clean fusion energy</t>
  </si>
  <si>
    <t>https://www.khoslaventures.com/wp-content/uploads/CFS-1.svg</t>
  </si>
  <si>
    <t>lanzatech.com</t>
  </si>
  <si>
    <t>LanzaTech</t>
  </si>
  <si>
    <t>For you guys that might mean personalized gas compositions... or carbon pathways.</t>
  </si>
  <si>
    <t>Transforming pollution into sustainable fuels</t>
  </si>
  <si>
    <t>https://www.khoslaventures.com/wp-content/uploads/KVPortfolio-LanzaTech-White.svg</t>
  </si>
  <si>
    <t>mainspringenergy.com</t>
  </si>
  <si>
    <t>Mainspring</t>
  </si>
  <si>
    <t>For you guys that might mean personalized runtimes... or power output.</t>
  </si>
  <si>
    <t>Local power generation for a zero-carbon future</t>
  </si>
  <si>
    <t>https://www.khoslaventures.com/wp-content/uploads/KV1_Highlight-Mainspring.svg</t>
  </si>
  <si>
    <t>quantumscape.com</t>
  </si>
  <si>
    <t>QuantumScape</t>
  </si>
  <si>
    <t>For you guys that might mean personalized battery simulations... or performance metrics.</t>
  </si>
  <si>
    <t>Solid state lithium batteries</t>
  </si>
  <si>
    <t>https://www.khoslaventures.com/wp-content/uploads/KVPortfolio-QuantumScape-White.png</t>
  </si>
  <si>
    <t>verdagy.com</t>
  </si>
  <si>
    <t>Verdagy</t>
  </si>
  <si>
    <t>For you guys that might mean personalized data models... or user roles.</t>
  </si>
  <si>
    <t>Green hydrogen using renewable energy &amp;amp; water</t>
  </si>
  <si>
    <t>https://www.khoslaventures.com/wp-content/uploads/KV1_Highlight-Verdagy.svg</t>
  </si>
  <si>
    <t>radai.com</t>
  </si>
  <si>
    <t>Rad AI</t>
  </si>
  <si>
    <t>For you guys that might mean personalized dashboards... or user roles.</t>
  </si>
  <si>
    <t>AI radiology workflow automation tool</t>
  </si>
  <si>
    <t>https://www.khoslaventures.com/wp-content/uploads/Rad-AI.png</t>
  </si>
  <si>
    <t>rightwayhealthcare.com</t>
  </si>
  <si>
    <t>Rightway</t>
  </si>
  <si>
    <t>For you guys that might mean personalized plans... or member eligibility.</t>
  </si>
  <si>
    <t>Simplifying the healthcare experience for clients and members</t>
  </si>
  <si>
    <t>https://www.khoslaventures.com/wp-content/uploads/KV_Highlight-Rightway.svg</t>
  </si>
  <si>
    <t>tortus.ai</t>
  </si>
  <si>
    <t>Tortus</t>
  </si>
  <si>
    <t>For you guys that might mean personalized model configurations... or prompt libraries.</t>
  </si>
  <si>
    <t>AI copilot for physicians</t>
  </si>
  <si>
    <t>https://www.khoslaventures.com/wp-content/uploads/Tortus-AI.png</t>
  </si>
  <si>
    <t>flowneuroscience.com</t>
  </si>
  <si>
    <t>Flow Neuroscience</t>
  </si>
  <si>
    <t>For you guys that might mean personalized stimulation protocols... or electrode placements.</t>
  </si>
  <si>
    <t>Medication-free depression treatment</t>
  </si>
  <si>
    <t>https://www.khoslaventures.com/wp-content/uploads/KVPortfolio-Flow-White.svg</t>
  </si>
  <si>
    <t>overture.life</t>
  </si>
  <si>
    <t>Overture</t>
  </si>
  <si>
    <t>An embryology lab in a box making IVF more accesible</t>
  </si>
  <si>
    <t>https://www.khoslaventures.com/wp-content/uploads/Overture-Life.png</t>
  </si>
  <si>
    <t>bionautlabs.com</t>
  </si>
  <si>
    <t>Bionaut Labs</t>
  </si>
  <si>
    <t>For you guys that might mean personalized payload configurations... or magnetic navigation parameters.</t>
  </si>
  <si>
    <t>Micro-robots to navigate the human body</t>
  </si>
  <si>
    <t>https://www.khoslaventures.com/wp-content/uploads/KV_Highlight-BionautLabs.svg</t>
  </si>
  <si>
    <t>cellinobio.com</t>
  </si>
  <si>
    <t>Cellino</t>
  </si>
  <si>
    <t>For you guys that might mean personalized fermentation profiles... or yield predictions.</t>
  </si>
  <si>
    <t>Autonomizing stem cell therapy manufacturing.</t>
  </si>
  <si>
    <t>https://www.khoslaventures.com/wp-content/uploads/KVPortfolio-Cellino-White.svg</t>
  </si>
  <si>
    <t>everyonemedicines.com</t>
  </si>
  <si>
    <t>EveryOne Medicines</t>
  </si>
  <si>
    <t>For you guys that might mean personalized formularies or pricing.</t>
  </si>
  <si>
    <t>Individualized precision therapeutics</t>
  </si>
  <si>
    <t>https://www.khoslaventures.com/wp-content/uploads/KVPortfolio-EveryoneMedicines-White.svg</t>
  </si>
  <si>
    <t>liberatebio.com</t>
  </si>
  <si>
    <t>Liberate Bio</t>
  </si>
  <si>
    <t>For you guys that might mean personalized formulas... or pricing.</t>
  </si>
  <si>
    <t>Precision nucleic acid delivery technology</t>
  </si>
  <si>
    <t>https://www.khoslaventures.com/wp-content/uploads/KV_Highlight-LiberateBio.svg</t>
  </si>
  <si>
    <t>prellisbio.com</t>
  </si>
  <si>
    <t>Prellis</t>
  </si>
  <si>
    <t>For you guys that might mean personalized bio-ink compositions... or scaffold designs.</t>
  </si>
  <si>
    <t>3d-printed lymph node organoids</t>
  </si>
  <si>
    <t>https://www.khoslaventures.com/wp-content/uploads/KV_Highlight-PrellisBio.svg</t>
  </si>
  <si>
    <t>lightfieldlab.com</t>
  </si>
  <si>
    <t>Light Field Lab</t>
  </si>
  <si>
    <t>For you guys that might mean personalized light field rendering... or holographic content.</t>
  </si>
  <si>
    <t>Creating objects out of light and thin air</t>
  </si>
  <si>
    <t>https://www.khoslaventures.com/wp-content/uploads/KV_Highlight-LightFieldLab.svg</t>
  </si>
  <si>
    <t>luzia.com</t>
  </si>
  <si>
    <t>Luzia</t>
  </si>
  <si>
    <t>For you guys that might mean personalized routing rules or AI assistants.</t>
  </si>
  <si>
    <t>A personal</t>
  </si>
  <si>
    <t>https://www.khoslaventures.com/wp-content/uploads/Luzia-2.svg</t>
  </si>
  <si>
    <t>intelligent assistant for everyone</t>
  </si>
  <si>
    <t>somneesleep.com</t>
  </si>
  <si>
    <t>Somnee</t>
  </si>
  <si>
    <t>For you guys that might mean personalized sleep schedules... or sleep scores.</t>
  </si>
  <si>
    <t>Clinical grade headband to improve sleep</t>
  </si>
  <si>
    <t>https://www.khoslaventures.com/wp-content/uploads/Somnee.png</t>
  </si>
  <si>
    <t>exaforce.com</t>
  </si>
  <si>
    <t>Exaforce</t>
  </si>
  <si>
    <t>For you guys that might mean personalized container builds... or API integrations.</t>
  </si>
  <si>
    <t>Force multiply your cloud security team</t>
  </si>
  <si>
    <t>https://www.khoslaventures.com/wp-content/uploads/Exaforce.png</t>
  </si>
  <si>
    <t>aven.com</t>
  </si>
  <si>
    <t>AVEN</t>
  </si>
  <si>
    <t>For you guys that might mean personalized user roles... or community groups.</t>
  </si>
  <si>
    <t>Credit card using your home equity for lower rates</t>
  </si>
  <si>
    <t>https://www.khoslaventures.com/wp-content/uploads/KV_Highlight-Aven.svg</t>
  </si>
  <si>
    <t>lead.bank</t>
  </si>
  <si>
    <t>For you guys that might mean personalized workflows... or pricing.</t>
  </si>
  <si>
    <t>Banking reimagined</t>
  </si>
  <si>
    <t>https://www.khoslaventures.com/wp-content/uploads/Lead.png</t>
  </si>
  <si>
    <t>upandup.co</t>
  </si>
  <si>
    <t>Up&amp;Up</t>
  </si>
  <si>
    <t>For you guys that might mean personalized workflows or integrations.</t>
  </si>
  <si>
    <t>Building a new way to live where renters build wealth like owners</t>
  </si>
  <si>
    <t>https://www.khoslaventures.com/wp-content/uploads/KV_Highlight-Upandup.svg</t>
  </si>
  <si>
    <t>co.bot</t>
  </si>
  <si>
    <t>Co.bot</t>
  </si>
  <si>
    <t>For you guys that might mean personalized chat bots... or workflow integrations.</t>
  </si>
  <si>
    <t>Robots to work alongside humans</t>
  </si>
  <si>
    <t>https://www.khoslaventures.com/wp-content/uploads/Collaborative.png</t>
  </si>
  <si>
    <t>fulfil.com</t>
  </si>
  <si>
    <t>Fulfill</t>
  </si>
  <si>
    <t>For you guys that might mean personalized order flows or warehouse locations.</t>
  </si>
  <si>
    <t>Next-generation grocery fulfilment</t>
  </si>
  <si>
    <t>https://www.khoslaventures.com/wp-content/uploads/KVPortfolio-Fulfil-White.svg</t>
  </si>
  <si>
    <t>abc.xyz</t>
  </si>
  <si>
    <t>ABC</t>
  </si>
  <si>
    <t>For you guys that might mean personalized dashboards... or reports.</t>
  </si>
  <si>
    <t>High-resolution imaging satellites</t>
  </si>
  <si>
    <t>https://www.khoslaventures.com/wp-content/uploads/KVPortfolio-Skybox-White.svg</t>
  </si>
  <si>
    <t>windbornesystems.com</t>
  </si>
  <si>
    <t>Windborne Systems</t>
  </si>
  <si>
    <t>For you guys that might mean personalized reports... or simulations.</t>
  </si>
  <si>
    <t>AI-powered weather balloons</t>
  </si>
  <si>
    <t>https://www.khoslaventures.com/wp-content/uploads/Windborne.png</t>
  </si>
  <si>
    <t>aguamarina.cl</t>
  </si>
  <si>
    <t>Aguamarina</t>
  </si>
  <si>
    <t>For you guys that might mean personalized integrations or branding...</t>
  </si>
  <si>
    <t>Unlocking the world's copper</t>
  </si>
  <si>
    <t>https://www.khoslaventures.com/wp-content/uploads/KV_Highlight-Ceibo.svg</t>
  </si>
  <si>
    <t>leaftfoods.com</t>
  </si>
  <si>
    <t>Leaf Foods</t>
  </si>
  <si>
    <t>For you guys that might mean personalized recipes... or meal plans.</t>
  </si>
  <si>
    <t>Capturing Rubisco protein from green leaves</t>
  </si>
  <si>
    <t>https://www.khoslaventures.com/wp-content/uploads/KV1_Highlight-Leaft.svg</t>
  </si>
  <si>
    <t>headspacehealth.com</t>
  </si>
  <si>
    <t>Headspace</t>
  </si>
  <si>
    <t>For you guys that might mean personalized meditation packs... or onboarding flows.</t>
  </si>
  <si>
    <t>In-the-moment care for every emotion</t>
  </si>
  <si>
    <t>https://www.khoslaventures.com/wp-content/uploads/KV_Highlight-Headspace.svg</t>
  </si>
  <si>
    <t>cellfebiotech.com</t>
  </si>
  <si>
    <t>CellFE Biotech</t>
  </si>
  <si>
    <t>For you guys that might mean personalized cell line panels... or expression profiles.</t>
  </si>
  <si>
    <t>Microfluidics-based cell engineering platform</t>
  </si>
  <si>
    <t>https://www.khoslaventures.com/wp-content/uploads/Cellfe-2.svg</t>
  </si>
  <si>
    <t>loyalfordogs.com</t>
  </si>
  <si>
    <t>Loyal For Dogs</t>
  </si>
  <si>
    <t>For you guys that might mean personalized training plans... or nutrition recommendations.</t>
  </si>
  <si>
    <t>Extending lifespan of dogs</t>
  </si>
  <si>
    <t>https://www.khoslaventures.com/wp-content/uploads/KV_Highlight-Loyal.svg</t>
  </si>
  <si>
    <t>moonwalk.bio</t>
  </si>
  <si>
    <t>Moonwalk</t>
  </si>
  <si>
    <t>For you guys that might mean personalized team workflows... or integrations.</t>
  </si>
  <si>
    <t>Pioneering precision epigenetic medicines</t>
  </si>
  <si>
    <t>https://www.khoslaventures.com/wp-content/uploads/Moonwalk-2.png</t>
  </si>
  <si>
    <t>nextvivo.bio</t>
  </si>
  <si>
    <t>NextVivo</t>
  </si>
  <si>
    <t>For you guys that might mean personalized gene sets... or assay configurations.</t>
  </si>
  <si>
    <t>Immune organoid technology for cancer</t>
  </si>
  <si>
    <t>https://www.khoslaventures.com/wp-content/uploads/KV_Highlight-NextVivo.svg</t>
  </si>
  <si>
    <t>stylusmedicine.com</t>
  </si>
  <si>
    <t>Stylus Medicine</t>
  </si>
  <si>
    <t>For you guys that might mean personalized Rx templates... or compounding formulas.</t>
  </si>
  <si>
    <t>Turning cells into bioreactors to manufacture proteins in the body</t>
  </si>
  <si>
    <t>https://www.khoslaventures.com/wp-content/uploads/Stylus-Med.png</t>
  </si>
  <si>
    <t>vivodyne.com</t>
  </si>
  <si>
    <t>Vivodyne</t>
  </si>
  <si>
    <t>For you guys that might mean personalized organ types or disease models.</t>
  </si>
  <si>
    <t>Lab-grown human organs for drug discovery</t>
  </si>
  <si>
    <t>https://www.khoslaventures.com/wp-content/uploads/Vivodyne.png</t>
  </si>
  <si>
    <t>teamshares.com</t>
  </si>
  <si>
    <t>Helping American small businesses become employee-owned</t>
  </si>
  <si>
    <t>https://www.khoslaventures.com/wp-content/uploads/KV_Highlight-Teamshares.svg</t>
  </si>
  <si>
    <t>varda.com</t>
  </si>
  <si>
    <t>Varda</t>
  </si>
  <si>
    <t>For you guys that might mean personalized materials or launch sequences.</t>
  </si>
  <si>
    <t>Manufacturing in space</t>
  </si>
  <si>
    <t>https://www.khoslaventures.com/wp-content/uploads/KV_Highlight-Varda.svg</t>
  </si>
  <si>
    <t>zendar.io</t>
  </si>
  <si>
    <t>Zendar</t>
  </si>
  <si>
    <t>For you guys that might mean personalized data mappings or integrations.</t>
  </si>
  <si>
    <t>High-resolution radar</t>
  </si>
  <si>
    <t>https://www.khoslaventures.com/wp-content/uploads/KV_Highlight-Zendar.svg</t>
  </si>
  <si>
    <t>glydways.com</t>
  </si>
  <si>
    <t>Glydways</t>
  </si>
  <si>
    <t>For you guys that might mean personalized routes... or pod configurations.</t>
  </si>
  <si>
    <t>High-capacity urban mass transit</t>
  </si>
  <si>
    <t>https://www.khoslaventures.com/wp-content/uploads/KV_Highlight-Glydways.svg</t>
  </si>
  <si>
    <t>koloma.com</t>
  </si>
  <si>
    <t>Koloma</t>
  </si>
  <si>
    <t>For you guys that might mean personalized API integrations... or network configurations.</t>
  </si>
  <si>
    <t>Identify</t>
  </si>
  <si>
    <t>https://www.khoslaventures.com/wp-content/uploads/koloma.png</t>
  </si>
  <si>
    <t>access</t>
  </si>
  <si>
    <t>and produce geologic hydrogen</t>
  </si>
  <si>
    <t>realtafusion.com</t>
  </si>
  <si>
    <t>Industrial heat and power from fusion</t>
  </si>
  <si>
    <t>https://www.khoslaventures.com/wp-content/uploads/Realta-1.png</t>
  </si>
  <si>
    <t>spiritus.com</t>
  </si>
  <si>
    <t>Direct air capture at scale</t>
  </si>
  <si>
    <t>https://www.khoslaventures.com/wp-content/uploads/Spiritus.svg</t>
  </si>
  <si>
    <t>terraai.com</t>
  </si>
  <si>
    <t>Improving critical resource development with advanced intelligent systems</t>
  </si>
  <si>
    <t>https://www.khoslaventures.com/wp-content/uploads/TerraAI.png</t>
  </si>
  <si>
    <t>curai.com</t>
  </si>
  <si>
    <t>Curai</t>
  </si>
  <si>
    <t>For you guys that might mean personalized AI models or diagnostic criteria.</t>
  </si>
  <si>
    <t>AI-assisted primary care</t>
  </si>
  <si>
    <t>https://www.khoslaventures.com/wp-content/uploads/KV_Highlight-CuraiHealth.svg</t>
  </si>
  <si>
    <t>vicarioussurgical.com</t>
  </si>
  <si>
    <t>Vicarious Surgical</t>
  </si>
  <si>
    <t>For you guys that might mean personalized dissections... or surgical plans.</t>
  </si>
  <si>
    <t>Robots for minimally invasive surgery</t>
  </si>
  <si>
    <t>https://www.khoslaventures.com/wp-content/uploads/KV_Highlight-Vicarious.svg</t>
  </si>
  <si>
    <t>vitara.com</t>
  </si>
  <si>
    <t>Vitara</t>
  </si>
  <si>
    <t>For you guys that might mean personalized car configurations... or service packages.</t>
  </si>
  <si>
    <t>Neonatal platform for preterm infants</t>
  </si>
  <si>
    <t>https://www.khoslaventures.com/wp-content/uploads/KV_Highlight-Vitara.svg</t>
  </si>
  <si>
    <t>tagline</t>
  </si>
  <si>
    <t>batch</t>
  </si>
  <si>
    <t>location</t>
  </si>
  <si>
    <t>team_size</t>
  </si>
  <si>
    <t>founders</t>
  </si>
  <si>
    <t>description</t>
  </si>
  <si>
    <t>first_founder_first_name</t>
  </si>
  <si>
    <t>logo</t>
  </si>
  <si>
    <t>infisical.com</t>
  </si>
  <si>
    <t>tony@infisical.com</t>
  </si>
  <si>
    <t>Infisical</t>
  </si>
  <si>
    <t>Open-source secrets manager for developers</t>
  </si>
  <si>
    <t>San Francisco</t>
  </si>
  <si>
    <t>[{"name":"Vlad Matsiiako","title":"Founder","bio":"Proud Ukrainian in Sillicon Valley 🇺🇦\nCo-founder of Infisical.\nFormerly Figma, Cornell, and bunq.","linkedin":"https://www.linkedin.com/in/vmatsiiako/"},{"name":"Tony Dang","title":"Founder","bio":"Co-founder of Infisical","linkedin":"https://www.linkedin.com/in/tuan-d-a104a6125/"},{"name":"Maidul Islam","title":"Founder","bio":"","linkedin":"https://www.linkedin.com/in/maidul98/"}]</t>
  </si>
  <si>
    <t>Hey there, this is team Infisical 🏂</t>
  </si>
  <si>
    <t>Vlad</t>
  </si>
  <si>
    <t>https://bookface-images.s3.amazonaws.com/small_logos/621cb43ec50d1aae545391abcc114014c84d295f.png</t>
  </si>
  <si>
    <t>vapi.ai</t>
  </si>
  <si>
    <t>team@superpowered.me</t>
  </si>
  <si>
    <t>Vapi</t>
  </si>
  <si>
    <t>Voice AI for developers.</t>
  </si>
  <si>
    <t>[{"name":"Jordan Dearsley","title":"Founder","bio":"Founder, CEO @ Vapi","linkedin":"http://linkedin.com/in/jordandearsley"},{"name":"Nikhil Gupta","title":"Founder","bio":"Founder, CTO @ Vapi","linkedin":"https://www.linkedin.com/in/nikhilro/"}]</t>
  </si>
  <si>
    <t>A bot-free AI Notes product.</t>
  </si>
  <si>
    <t>Jordan</t>
  </si>
  <si>
    <t>https://bookface-images.s3.amazonaws.com/small_logos/3818df985d5f502f5dc4a6816903ce174528467f.png</t>
  </si>
  <si>
    <t>fieldproxy.com</t>
  </si>
  <si>
    <t>swaroop@fieldproxy.com</t>
  </si>
  <si>
    <t>Fieldproxy</t>
  </si>
  <si>
    <t>Retool for 20 Million Field Teams</t>
  </si>
  <si>
    <t>Chennai, India</t>
  </si>
  <si>
    <t>[{"name":"Swaroop Vijayakumar","title":"Founder","bio":"2x enterpreneur, love solving problems for customers, IIM Kozhikode","linkedin":"https://www.linkedin.com/in/swaroopcmc/"},{"name":"Balakrishna Balasubramanian","title":"Founder","bio":"Worked across a variety of roles in software development, as expected of a tech co-founder.\nLove working on new products and ideas. If it changes the world, great. If it doesn't, at least I'd have some fun.","linkedin":"https://www.linkedin.com/in/balakrishna-b-a624a8106"}]</t>
  </si>
  <si>
    <t>We ran a product development agency prior to this where we had built around 60 internal apps across 20 companies to manage their on-ground teams. These companies were across legacy industries like consumer goods, mining, telecom, pharma and energy.</t>
  </si>
  <si>
    <t>Swaroop</t>
  </si>
  <si>
    <t>https://bookface-images.s3.amazonaws.com/small_logos/29d280b26b9013cd722967a3c3239ae0da94db1c.png</t>
  </si>
  <si>
    <t>mozartdata.com</t>
  </si>
  <si>
    <t>support@mozartdata.com</t>
  </si>
  <si>
    <t>Mozart Data</t>
  </si>
  <si>
    <t>The easiest way to set up a modern data stack</t>
  </si>
  <si>
    <t>[{"name":"Peter Fishman","title":"Founder","bio":"Dan and I are working on data tools for SMBs, the types of modern data stacks that we've built at multiple high growth startups.  I've been running data and data-adjacent teams in the Valley for over a decade at startups from a variety of industries including gaming, social, HR/benefits, real estate, and cannabis.  Dan and I have been friends for 20 years and we previously co-founded a hot sauce company, Bacon Hot Sauce, 10 years ago selling hundreds of thousands of bottles.","linkedin":"http://www.linkedin.com/in/petefishman"},{"name":"Dan Silberman","title":"Founder","bio":"I am a product-oriented software engineer, with a focus on UX, data-engineering and data science. I've founded and worked at numerous startups, from consumer to fintech to healthcare.","linkedin":"https://www.linkedin.com/in/dansilberman23/"}]</t>
  </si>
  <si>
    <t>We’ve helped hundreds of companies set up their data infrastructure without hiring a data engineer. With Mozart, you can set up BI reporting to have a business overview, answer questions about what customer segments are good from a usage or advertising perspective, and even gain insight into what customers are at risk of churn.</t>
  </si>
  <si>
    <t>Peter</t>
  </si>
  <si>
    <t>https://bookface-images.s3.amazonaws.com/small_logos/26b12777ded0ad248c87b09da978d09a244dcff3.png</t>
  </si>
  <si>
    <t>dailybot.com</t>
  </si>
  <si>
    <t>support@dailybot.com</t>
  </si>
  <si>
    <t>DailyBot</t>
  </si>
  <si>
    <t>AI Assistant and Chat Add-ons for Work</t>
  </si>
  <si>
    <t>Pereira, Colombia</t>
  </si>
  <si>
    <t>[{"name":"Mauricio Morales","title":"Founder","bio":"CEO at DailyBot\n\nMauricio has been building internet products for over 15y. MsC and MBA. He has been involved in product management at different startups and helped build tech companies that have scaled rapidly and were acquired. He's lived in 3 countries.","linkedin":"https://www.linkedin.com/in/maomorales/"},{"name":"Sergio Florez","title":"Founder","bio":"CTO at DailyBot — leading and building unique conversational experiences for asynchronous work. \n\nSergio is a computer science engineer, MSc in data science and passionate entrepreneur, with talent and more than 8y of experience building digital businesses. He's in the search of the ideation of disruptive business models as agents of change and success.","linkedin":"https://www.linkedin.com/in/xergioalex/"}]</t>
  </si>
  <si>
    <t>DailyBot+ AI is a toolkit for modern work: a ChatGPT Assistant and an AI Workflow automation tool that takes asynchronous work and in-chat collaboration to another level. Compatible with Slack, Microsoft Teams, Google Chat, or Discord.</t>
  </si>
  <si>
    <t>Mauricio</t>
  </si>
  <si>
    <t>https://bookface-images.s3.amazonaws.com/small_logos/8a4562eea5bec9eaf52ff9e3598861ff6e24fdf0.png</t>
  </si>
  <si>
    <t>writesonic.com</t>
  </si>
  <si>
    <t>sam@writesonic.com</t>
  </si>
  <si>
    <t>Writesonic</t>
  </si>
  <si>
    <t>AI Agent for SEO and Marketing</t>
  </si>
  <si>
    <t>[{"name":"Samanyou Garg","title":"Founder","bio":"Building AI agents that run your entire marketing department. Started before the AI hype, scaling beyond it. Computer science graduate from the University of Manchester. Awarded with the 2019 Global Undergraduate Awards (often referred to as the junior Nobel Prize) for research on Group Emotion Recognition using Machine Learning.","linkedin":"https://www.linkedin.com/in/samanyougarg/"}]</t>
  </si>
  <si>
    <t>Here's what teams currently deal with:</t>
  </si>
  <si>
    <t>Samanyou</t>
  </si>
  <si>
    <t>https://bookface-images.s3.amazonaws.com/small_logos/5c3627a012cbd2927f9d0157663c3668b458fe3e.png</t>
  </si>
  <si>
    <t>inbuild.ai</t>
  </si>
  <si>
    <t>sales@inbuild.ai</t>
  </si>
  <si>
    <t>inBuild</t>
  </si>
  <si>
    <t>Workflow Automation for Construction Finance</t>
  </si>
  <si>
    <t>Wilmington, DE</t>
  </si>
  <si>
    <t>[{"name":"Ty Sharp","title":"Founder","bio":"Co-Founder &amp; CEO at inBuild. \n\nPreviously CFO at Sweeney Development, an Aspen-based General Contractor building $350M in construction volume. \n\nExpressing my creativity through building things that people love.","linkedin":"https://www.linkedin.com/in/ty-sharp-59b907123/"},{"name":"Ian Sharp","title":"Founder","bio":"Co-Founder of inBuild. Supercharging financial management for builders.","linkedin":"https://www.linkedin.com/in/ianwsharp/"}]</t>
  </si>
  <si>
    <t>Our team is building a platform that automates the workflow of financial documents by plugging into email accounts, extracting incoming documents, and processing them all the way into existing accounting systems.</t>
  </si>
  <si>
    <t>Ty</t>
  </si>
  <si>
    <t>https://bookface-images.s3.amazonaws.com/small_logos/565db1f58d2ff6409bb5c8eb3aefcdbc3f515329.png</t>
  </si>
  <si>
    <t>every.io</t>
  </si>
  <si>
    <t>sales@every.io</t>
  </si>
  <si>
    <t>Every</t>
  </si>
  <si>
    <t>Banking + Payroll/Benefits + Bookkeeping + Tax in one place</t>
  </si>
  <si>
    <t>[{"name":"Rajeev Behera","title":"Founder","bio":"Rajeev was the co-founder and CEO of Reflektive, where he raised $100 million in venture capital and built the organization to 250 employees. Reflektive was ranked the 13th fastest growing company in North America by Deloitte in terms of revenue growth.","linkedin":"https://linkedin.com/in/rajeevbehera"},{"name":"Barry Peterson","title":"Founder","bio":"","linkedin":"https://linkedin.com/in/barrympeterson"}]</t>
  </si>
  <si>
    <t>Many first-time founders discover - often too late - that incorrect or incomplete incorporation documents can raise red flags and make you look unprofessional in front of investors. Fixing these mistakes can cost thousands of dollars, lead to major delays when raising capital, and damage your reputation right when you need investor confidence the most.</t>
  </si>
  <si>
    <t>Rajeev</t>
  </si>
  <si>
    <t>https://bookface-images.s3.amazonaws.com/small_logos/3015f73175878c54eab97f6a814f0a9d9b0023f8.png</t>
  </si>
  <si>
    <t>requestly.com</t>
  </si>
  <si>
    <t>sachin@requestly.io</t>
  </si>
  <si>
    <t>Requestly</t>
  </si>
  <si>
    <t>Open-Source Postman alternative</t>
  </si>
  <si>
    <t>[{"name":"Sachin Jain","title":"Founder","bio":"Sachin is the co-founder &amp; CEO, Requestly. Sachin plays a leading role in defining the vision of the company, the product direction, talking to existing &amp; potential customers. He has over 10 years of industry experience and has worked with Google, Adobe &amp; Grofers in the past. He built many side projects &amp; participated in many hackathons. Requestly was also started as a side-project on which he worked tirelessly for the sake of love of the product eventually making it into it full-time.","linkedin":"https://www.linkedin.com/in/sachin-jain-20b20731/t"},{"name":"Sagar Soni","title":"Founder","bio":"I'm the co-founder and CTO of Requestly, a developer tools platform serving 200,000+ developers globally. We're backed by Y Combinator and Sequoia Capital SEA.\nPreviously, I founded College-Adviser, bootstrapping it to $12K ARR with 500K+ monthly visitors in its first year. I started coding at 11 and have since built multiple software projects.","linkedin":"https://www.linkedin.com/in/mesagarsoni/"}]</t>
  </si>
  <si>
    <t>Requestly helps developers build faster by intercepting, mocking, and testing API responses. No more waiting for backend developers, struggling with flaky staging environments, or fighting over API contracts. With 200,000+ active installs, Requestly is trusted by Google, Amazon, Workday, Indeed, and many other Fortune 500 companies.</t>
  </si>
  <si>
    <t>Sachin</t>
  </si>
  <si>
    <t>https://bookface-images.s3.amazonaws.com/small_logos/397665634f98c5b29320b633cf76ae515930481f.png</t>
  </si>
  <si>
    <t>inaccord.com</t>
  </si>
  <si>
    <t>ross@inaccord.com</t>
  </si>
  <si>
    <t>Accord</t>
  </si>
  <si>
    <t>Driving execution excellence for B2B Sales, Onboarding, and CS</t>
  </si>
  <si>
    <t>We founded Accord to solve 2 surprising challenges while scaling sales teams:</t>
  </si>
  <si>
    <t>https://bookface-images.s3.amazonaws.com/small_logos/3e26c677c431ea29e44d25107bafd6e19ac2839e.png</t>
  </si>
  <si>
    <t>joinpasito.com</t>
  </si>
  <si>
    <t>pauline@joinpasito.com</t>
  </si>
  <si>
    <t>Pasito</t>
  </si>
  <si>
    <t>Personalized employee benefits communication and AI support</t>
  </si>
  <si>
    <t>New York</t>
  </si>
  <si>
    <t>[{"name":"Pauline Roteta","title":"Founder","bio":"Pauline is the co-founder and CEO of Pasito (YC S22). Before Pasito, she was a Senior Investor &amp; Portfolio Manager at BlackRock. Pauline is a Certified Financial Planner®, CFA, Fulbright Scholar, and holds a B.Eng. from Vanderbilt University.","linkedin":"https://www.linkedin.com/in/paulineroteta/"}]</t>
  </si>
  <si>
    <t>Employees blindly select their health and wealth benefits which means employees are often over-insured while under-saving for retirement.</t>
  </si>
  <si>
    <t>Pauline</t>
  </si>
  <si>
    <t>https://bookface-images.s3.amazonaws.com/small_logos/99d6144bd15df315cd76d735be86467d893d772a.png</t>
  </si>
  <si>
    <t>nikhil@superpowered.me</t>
  </si>
  <si>
    <t>joincarma.com</t>
  </si>
  <si>
    <t>muhammad@joincarma.com</t>
  </si>
  <si>
    <t>Carma</t>
  </si>
  <si>
    <t>Same-Day Auto Repair for Commercial Fleets.</t>
  </si>
  <si>
    <t>[{"name":"Muhammad Alasgarli","title":"Founder","bio":"Founder &amp; CEO @ Carma. Previously, Muhammad worked in investment banking (M&amp;A/Restructuring) in NYC where he executed mega-cap mergers &amp; acquisitions for publicly traded auto-tech companies, automotive OEMs, Tier 1 suppliers, and related auto service providers. He has worked on over $60B of cumulative transactions for notable corporate clients such as Carvana, Honeywell Transportation Systems, and various stakeholder affiliates of Hertz Rent-A-Car. Graduate of Washington University in St. Louis.","linkedin":"https://linkedin.com/in/muhammadalasgarli"},{"name":"Brandt Lawson","title":"Founder","bio":"CTO &amp; Co-Founder @ Carma. Previously Software Engineering @ Gelber Group (high-frequency trading firm). U.S. Army Veteran and WashU grad.","linkedin":"https://linkedin.com/in/brandtlawson"}]</t>
  </si>
  <si>
    <t>Carma saves you hundreds to thousands of dollars on any auto repair and gets you same-day service at the mechanic – Carma users get pushed to the front of the line and don’t have to wait weeks for service! Right now, all YC content readers have been exclusively granted free priority business access (business customers pay $499/month) to enjoy the same benefits as a large enterprise business customer that owns 50+ cars:</t>
  </si>
  <si>
    <t>Muhammad</t>
  </si>
  <si>
    <t>https://bookface-images.s3.amazonaws.com/small_logos/995749b249373d88528eca173b29dc4d2d8e77da.png</t>
  </si>
  <si>
    <t>anakin.company</t>
  </si>
  <si>
    <t>mohit@anakin.company</t>
  </si>
  <si>
    <t>Anakin</t>
  </si>
  <si>
    <t>We automate pricing for companies like Walmart and Britannia</t>
  </si>
  <si>
    <t>[{"name":"Mohit Prateek","title":"Founder","bio":"Mohit Prateek is the founder and CEO of Anakin, which he started in 2020. Mohit sets the company’s strategy to help retailers and brands, both small and big to optimise pricing, and all variables based on competition. He completed his bachelors and masters in Chemical Engineering from IIT Bombay.","linkedin":"http://linkedin.com/in/mohitprateek"},{"name":"Rashmi Bala","title":"Founder","bio":"Rashmi Bala is the co-founder and CTO of Anakin. Rashmi is responsible for hiring and running Anakin’s engineering and data science teams. She has worked across multiple eCommerce companies building softwares. She graduated from IIT Kanpur with a Bachelor in Electrical Engineering.","linkedin":"https://www.linkedin.com/in/kumari-rashmi-bala/"}]</t>
  </si>
  <si>
    <t>Hey everyone,</t>
  </si>
  <si>
    <t>Mohit</t>
  </si>
  <si>
    <t>https://bookface-images.s3.amazonaws.com/small_logos/91a2527875c81ede160e36ea318e02945c2b588d.png</t>
  </si>
  <si>
    <t>socap.ai</t>
  </si>
  <si>
    <t>mika@getintently.ai</t>
  </si>
  <si>
    <t>Socap.ai</t>
  </si>
  <si>
    <t>Grow your network and fundraise faster with AI 🤑</t>
  </si>
  <si>
    <t>[{"name":"Slava Solonitsyn","title":"Founder","bio":"Slava is an accomplished investor, and entrepreneur (top YC company Mighty Buildings - W18, Socap.ai - W23). At Mighty Buildings, he commercialized the 3D printing tech that enabled the printing of an entire building, not just walls, in a single cycle, to address the dearth of affordable housing in Silicon Valley, California, and the rest of the world. Now he is focused on helping founders &amp; investors to grow their network and fundraise better with a new YC company Socap.ai","linkedin":"https://www.linkedin.com/in/solonitsyn/"},{"name":"Mika Melchanka","title":"Founder","bio":"Serial entrepreneur, an avid learner, wearing lots of hats, and doing lots of projects.\nThe main area of interest are technological fusion (AI/Data analytics + traditional businesses), IoT, and sustainability.","linkedin":"https://www.linkedin.com/in/mikalaimelchanka/"},{"name":"Dmitry Starodubtsev","title":"Founder","bio":"Dmitry Starodubtsev is a serial entrepreneur, inventor, and technologist that has developed over 50 new products including 20 US and international patents. Dmitry is also CTO and co-founder of Mighty Buildings, a construction technology company creating beautiful, affordable, and sustainable homes using 3D printing and robotic automation. Mighty Buildings is backed by reputable VCs such as Khosla Ventures, Bold Capital, and Y Combinator.","linkedin":"https://www.linkedin.com/in/dimastar/"}]</t>
  </si>
  <si>
    <t>As a team that's been on both sides – bombarded with unwanted sales pitches and now promoting our solution to fellow YC community –  we've experienced firsthand how intent data helps us prospect smarter and close deals faster ⚡. And we're eager to help you achieve the same!</t>
  </si>
  <si>
    <t>Slava</t>
  </si>
  <si>
    <t>https://bookface-images.s3.amazonaws.com/small_logos/a0d359323a088882f5c78f86aabe906060961e19.png</t>
  </si>
  <si>
    <t>dover.com</t>
  </si>
  <si>
    <t>max@dover.com</t>
  </si>
  <si>
    <t>Dover</t>
  </si>
  <si>
    <t>Supercharge your hiring</t>
  </si>
  <si>
    <t>[{"name":"George Carollo","title":"Founder","bio":"Working hard: Founder at Dover (S19) –– free recruiting tools for startups","linkedin":"http://www.linkedin.com/pub/george-carollo/2b/35a/7b2"},{"name":"Max Kolysh","title":"Founder","bio":"Founder at Dover (S19) –– the free ATS for startups","linkedin":"https://www.linkedin.com/in/maxkolysh"},{"name":"Anvisha Pai","title":"Founder","bio":"MIT Computer Science grad, previously Dropbox + several startups. Forbes 30 Under 30 for Enterprise Tech.\n\nLeading Eng Product &amp; Design at Dover (YC S19).\n\nI live in NYC now but visit SF often","linkedin":"https://linkedin.com/in/anvisha"}]</t>
  </si>
  <si>
    <t>• Today, Dover is launching Recruiting Partners, connecting you with seasoned recruiters who work as an extension of your team.</t>
  </si>
  <si>
    <t>George</t>
  </si>
  <si>
    <t>https://bookface-images.s3.amazonaws.com/small_logos/2f909fcfa4b1bfac3a61c82e3d1b8ee42e93bf79.png</t>
  </si>
  <si>
    <t>surebright.com</t>
  </si>
  <si>
    <t>manish@surebright.com</t>
  </si>
  <si>
    <t>SureBright</t>
  </si>
  <si>
    <t>Apple Care-like warranty program for every retailer</t>
  </si>
  <si>
    <t>[{"name":"Manish Chauhan","title":"Founder","bio":"Manish is the CEO and co-founder of SureBright. He holds an MBA from INSEAD (France) and an MMath (CS) from the University of Waterloo, where he researched and published on low-latency real-time systems.\n\nHe has previously worked at Amazon and startups like Applyboard, where he built products handling over 180 billion requests per day, contributing to $100M+ in ARR.","linkedin":"https://www.linkedin.com/in/manishchauhan01/"},{"name":"Sanket Munjal","title":"Co-","bio":"CTO &amp; Co-Founder @ SureBright. Led Engineering at an InsurTech, PolicyBazaar.com that went public (8Bn USD). 2x Founder. Ex-Philips, Ex-Samsung","linkedin":"https://www.linkedin.com/in/sanketmunjal/"}]</t>
  </si>
  <si>
    <t>😉 —</t>
  </si>
  <si>
    <t>Manish</t>
  </si>
  <si>
    <t>https://bookface-images.s3.amazonaws.com/small_logos/637e029a9dd28023684af2fb257e1a2adbe4db31.png</t>
  </si>
  <si>
    <t>vahan.ai</t>
  </si>
  <si>
    <t>madhav@vahan.ai</t>
  </si>
  <si>
    <t>Vahan</t>
  </si>
  <si>
    <t>AI recruiter for India&amp;#39;s massive blue-collar workforce</t>
  </si>
  <si>
    <t>Bengaluru, India</t>
  </si>
  <si>
    <t>[{"name":"Madhav Krishna","title":"Founder","bio":"With a background in AI and Machine Learning, Madhav is passionate about using technology to create large scale impact. Vahan connects millions of workers with job opportunities and is supported by investors like Y Combinator, Khosla Ventures and Bharti Airtel. Recognized as a Technology Pioneer by the World Economic Forum, Madhav is committed to transforming the future of employment in India and beyond.","linkedin":"https://www.linkedin.com/in/madhavkrishna"}]</t>
  </si>
  <si>
    <t>Madhav</t>
  </si>
  <si>
    <t>https://bookface-images.s3.amazonaws.com/small_logos/970b0a4ef3d00dbfd511f2fe9ccdb3e524078221.png</t>
  </si>
  <si>
    <t>langdock.com</t>
  </si>
  <si>
    <t>lennard@langdock.com</t>
  </si>
  <si>
    <t>Langdock</t>
  </si>
  <si>
    <t>The all-in-one AI platform for companies.</t>
  </si>
  <si>
    <t>[{"name":"Lennard Schmidt","title":"Founder","bio":"Co-Founder of Langdock :)","linkedin":"https://linkedin.com/in/lennardschmidt"},{"name":"Jonas Beisswenger","title":"Founder","bio":"Building Langdock (S23)","linkedin":"https://linkedin.com/in/jonasbeisswenger"},{"name":"Tobias Kemkes","title":"Founder","bio":"Before Langdock, I was the founding engineer at Blair (YC S19) and built an end-to-end automated servicing platform to manage their $100M debt facility. The platform was audited, handled sensitive data, and moved millions of dollars around. I later became Blair's first head of product, managing a team of five engineers.","linkedin":"https://linkedin.com/in/tobiaskemkes"}]</t>
  </si>
  <si>
    <t>Hey everyone! We’re Tobias, Jonas, and Lennard from Langdock. We are in the current YC batch and excited to launch our product today!</t>
  </si>
  <si>
    <t>Lennard</t>
  </si>
  <si>
    <t>https://bookface-images.s3.amazonaws.com/small_logos/e209d278473c98c7356a71ec3f7357fa784222a3.png</t>
  </si>
  <si>
    <t>truewind.ai</t>
  </si>
  <si>
    <t>launchyc@trytruewind.com</t>
  </si>
  <si>
    <t>Truewind</t>
  </si>
  <si>
    <t>AI-powered Bookkeeping and Finance Software</t>
  </si>
  <si>
    <t>[{"name":"Alex Lee","title":"Founder","bio":"co-founder ceo of truewind","linkedin":"https://www.linkedin.com/in/alexlee611/"},{"name":"Tennison Chan","title":"Cofounder CTO","bio":"co-founder cto of truewind","linkedin":"https://www.linkedin.com/in/tennisonchan"}]</t>
  </si>
  <si>
    <t>Truewind is helping accounting firms increase the profits of their CAS practice. The solution that has helped over a hundred companies with their month-end close is now available for accounting firms and internal accounting teams.</t>
  </si>
  <si>
    <t>Alex</t>
  </si>
  <si>
    <t>https://bookface-images.s3.amazonaws.com/small_logos/4cad69ca6c0d7b0893e00fda5e3fc74251d91fb9.png</t>
  </si>
  <si>
    <t>artisan.co</t>
  </si>
  <si>
    <t>jaspar@artisan.co</t>
  </si>
  <si>
    <t>Artisan</t>
  </si>
  <si>
    <t>AI Employees Called Artisans, Starting With An AI BDR</t>
  </si>
  <si>
    <t>[{"name":"Jaspar Carmichael-Jack","title":"Founder","bio":"Consolidating and automating software, starting with outbound sales.","linkedin":"https://linkedin.com/in/jaspar-carmichael-jack"}]</t>
  </si>
  <si>
    <t>Jaspar</t>
  </si>
  <si>
    <t>https://bookface-images.s3.amazonaws.com/small_logos/3aa68965eefe42dc96e16073740dae2087ad188f.png</t>
  </si>
  <si>
    <t>sytex.io</t>
  </si>
  <si>
    <t>info@sytex.io</t>
  </si>
  <si>
    <t>Sytex</t>
  </si>
  <si>
    <t>Project management platform for Field Infrastructure.</t>
  </si>
  <si>
    <t>Córdoba, Argentina</t>
  </si>
  <si>
    <t>[{"name":"Mariano Lisiotti","title":"Founder","bio":"Excited to simplify work for project teams worldwide.\nFather of 3. Telecom Engineer, former VP Projects for South America in NERA.","linkedin":"https://www.linkedin.com/in/mariano-lisiotti-0635622/"},{"name":"Juan Alvarez","title":"Founder","bio":"Started coding mIRC scripts at 15 :)\nStudied telecom engineering, but have been coding and hacking on GNU/Linux ever since those first scripts. \nWorked for a corp and kind of hated it. \nLoving the founder rollercoaster ride so far. \nLearning a lot from my wonderful daughter. \nWannabe rock climber.","linkedin":"https://www.linkedin.com/in/jualvarez/"},{"name":"Juanjo Ferrero","title":"Founder","bio":"I'm 39 years old, born and raised in Córdoba, Argentina. I'm married and have 3 beautiful kids.\nI'm a full-stack developer currently focused in Front-end development.\nReally like online games 🤣.","linkedin":"https://www.linkedin.com/in/juanjo-ferrero-926026b9/"},{"name":"Federico Garcia Dura","title":"Founder","bio":"With over 15 years in the software industry, my passion has always been the same: being able to materialize a customer's need into a working solution.\nLove gliders, my guitar and rubik's cube :)","linkedin":"https://www.linkedin.com/in/federico-garcia-dura"}]</t>
  </si>
  <si>
    <t>Technology-deploying industries, like telecom, manage thousands of activities, field crews, documentation, and materials, all in parallel. For project teams, it's nearly impossible to keep up to date with everything that happens while executing, and that's where excel files start flying around.</t>
  </si>
  <si>
    <t>Mariano</t>
  </si>
  <si>
    <t>https://bookface-images.s3.amazonaws.com/small_logos/911263357a6383968942bb9fe2d9288aa036b92e.png</t>
  </si>
  <si>
    <t>materee.id</t>
  </si>
  <si>
    <t>info@materee.id</t>
  </si>
  <si>
    <t>Materee</t>
  </si>
  <si>
    <t>E-commerce platform for construction materials in Indonesia</t>
  </si>
  <si>
    <t>Jakarta, Indonesia</t>
  </si>
  <si>
    <t>[{"name":"Hansel Hansel","title":"Founder","bio":"Hansel was a Senior VP of Strategy &amp; Revenue at GudangAda (Sequoia-funded B2B e-commerce startup in Indonesia that has raised more than $130m) and a BCG consultant focusing on construction value chain. He completed his MBA from MIT Sloan School of Management.","linkedin":"https://www.linkedin.com/in/hansel-hansel-05247554"},{"name":"Steven Walentino","title":"Founder","bio":"Steven Walentino is the co-founder and Chief Technology Officer of Materee. He spent 7 years as a software engineer in Silicon Valley companies like Google, Yahoo, and Zillow Group. He also led engineering team at Kargo Tech, a Sequoia-funded logistics company in Indonesia. Born and raised in Indonesia, he earned his Bachelor's Degree in Computer Science from UC Berkeley.","linkedin":"http://www.linkedin.com/in/steven-walentino"}]</t>
  </si>
  <si>
    <t>Construction industry is one of largest industry in Indonesia. Despite its importance, purchasing construction materials is challenging:</t>
  </si>
  <si>
    <t>Hansel</t>
  </si>
  <si>
    <t>https://bookface-images.s3.amazonaws.com/small_logos/067a567fc6eee729415d72514491e970329e357d.png</t>
  </si>
  <si>
    <t>tiptap.dev</t>
  </si>
  <si>
    <t>humans@tiptap.dev</t>
  </si>
  <si>
    <t>Tiptap</t>
  </si>
  <si>
    <t>Developer toolkit for building collaborative apps.</t>
  </si>
  <si>
    <t>Berlin, Germany</t>
  </si>
  <si>
    <t>[{"name":"Philip Isik","title":"Founder","bio":"Philip is the co-founder and co-CEO of Tiptap, where he is responsible for the company's strategy, sales, and business development. With a decade of industry experience, Philip's passion for creating intuitive and transformative digital experiences led him to grow Tiptap from an open source side project at his digital consultancy into a venture-backed startup.","linkedin":"https://linkedin.com/in/philip-isik-688307123"},{"name":"Sven Adlung","title":"Founder","bio":"Sven is a co-founder and lead frontend developer at Tiptap, where he brings over twenty years of experience in app and web development. Specializing in frontend development, he focuses on the Tiptap Editor and its cloud services.","linkedin":"https://www.linkedin.com/in/sven-adlung"},{"name":"Patrick Baber","title":"Founder","bio":"Patrick is the co-founder and DevOps of Tiptap, which he started with five other founders in 2022. With more than a decade of experience, he is responsible for the IT infrastructure, defines the software architecture, and drives the mission to simplify the development of collaborative apps. Originally from East Germany, Patrick earned a degree in business economics.","linkedin":"https://www.linkedin.com/in/patrick-baber-a0247027b/"},{"name":"Nick Hirche","title":"Founder","bio":"Nick is a co-founder and lead UX/UI designer at Tiptap, where he is responsible for the visual appearance and product conception. With more than a decade of experience in the industry, he can quickly grasp complex problems and turn them into new product ideas. These are garnished with amazing design.","linkedin":"https://linkedin.com/in/nick-hirche-622a2a216"},{"name":"Timo Isik","title":"Founder","bio":"Timo is a co-founder and lead backend developer at Tiptap where he mainly works on collaboration and cloud services. He holds over ten years of diverse experience in software engineering and specializes in the backend part of applications.","linkedin":"https://linkedin.com/in/timo-isik-6b2956197"},{"name":"Sebastian Schrama","title":"Founder","bio":"Sebastian is the co-founder and co-CEO of Tiptap. With over a decade of experience in the freelance and entrepreneurial world, he has honed his skills in finance and operations. His diverse expertise has shaped his role at Tiptap, where he navigates the company’s financial health and operational efficiency.","linkedin":"https://linkedin.com/in/sebastian-schrama-0a1112255"}]</t>
  </si>
  <si>
    <t>Extensive content editing interfaces and real-time collaboration are a key feature of most apps to deliver value to their users, such as Notion, Miro, Figma, and Google Docs.</t>
  </si>
  <si>
    <t>Philip</t>
  </si>
  <si>
    <t>https://bookface-images.s3.amazonaws.com/small_logos/45a420bd235fd41d8ee714d37c421a5f053f3657.png</t>
  </si>
  <si>
    <t>mailmodo.com</t>
  </si>
  <si>
    <t>help@mailmodo.com</t>
  </si>
  <si>
    <t>Mailmodo</t>
  </si>
  <si>
    <t>No-code email marketing platform to send forms &amp;amp; widgets within emails</t>
  </si>
  <si>
    <t>[{"name":"Apurv Gupta","title":"Co-founder","bio":"Apurv Gupta is a seasoned technology leader and serial entrepreneur with over 13 years of experience in building and scaling B2B SaaS startups. As the Co-founder and Chief Product Officer of Mailmodo, he has led product strategy and planning, served a variety of customers across industries, and built high-performing engineering teams. Previously, he co-founded Flick2Know, where he led the development of FieldAssist, scaling it to $3M ARR without external funding.","linkedin":"https://www.linkedin.com/in/apurvgpt/"},{"name":"Aquibur Rahman","title":"Co-founder","bio":"Aquibur Rahman is a growth-focused entrepreneur and marketing leader, currently building Mailmodo, a B2B SaaS platform that helps businesses achieve 3x higher conversions through interactive, app-like widgets inside emails. As the CEO and Co-founder, he has led the company’s vision, driving product adoption and customer growth. Previously, he headed marketing at Cleartax, growing organic traffic 5x in one year, scaling CleartaxGST to 600,000+ signups, and driving multi-crore AUM in mutual funds.","linkedin":"https://www.linkedin.com/in/aquibur/"}]</t>
  </si>
  <si>
    <t>I am Aquibur, founder and CEO of Mailmodo, where we are reinventing emails to help marketers get better ROI and engagement.</t>
  </si>
  <si>
    <t>Apurv</t>
  </si>
  <si>
    <t>https://bookface-images.s3.amazonaws.com/small_logos/2cd8af0cab42bc6084be64d866151163c3120d15.png</t>
  </si>
  <si>
    <t>yuma.ai</t>
  </si>
  <si>
    <t>hello@yuma.ai</t>
  </si>
  <si>
    <t>Yuma AI</t>
  </si>
  <si>
    <t>The AI Support Agent for Ecommerce</t>
  </si>
  <si>
    <t>Boston</t>
  </si>
  <si>
    <t>[{"name":"Guillaume Luccisano","title":"Founder","bio":"Currently Founder @ Yuma (W23) - Previously Co-Founder at Triplebyte (S15) &amp; Socialcam (W12) - Seed Investor in 60+ companies.","linkedin":"https://www.linkedin.com/in/guillaumeluccisano/"}]</t>
  </si>
  <si>
    <t>↗️ support quality &amp;amp; consistency. ↗️ customer satisfaction. ↗️ cost-efficiency.</t>
  </si>
  <si>
    <t>Guillaume</t>
  </si>
  <si>
    <t>https://bookface-images.s3.amazonaws.com/small_logos/a5c69ec33755d985775fbfb96b7d715538abbd37.png</t>
  </si>
  <si>
    <t>useStable.com</t>
  </si>
  <si>
    <t>hello@useStable.com</t>
  </si>
  <si>
    <t>Stable</t>
  </si>
  <si>
    <t>A virtual address + mailbox for business</t>
  </si>
  <si>
    <t>[{"name":"Sarah Ahmad","title":"Founder","bio":"Co-founder + CEO of Stable","linkedin":"https://www.linkedin.com/in/sarah-ahmad-077049b5/"},{"name":"Collin Pham","title":"Founder","bio":"Co-founder + CTO of Stable","linkedin":"https://www.linkedin.com/in/collin-pham/"}]</t>
  </si>
  <si>
    <t>👋 Hey YC!</t>
  </si>
  <si>
    <t>Sarah</t>
  </si>
  <si>
    <t>https://bookface-images.s3.amazonaws.com/small_logos/cc47caa7e31fea5c360f9785c10119a3bfcafbe8.png</t>
  </si>
  <si>
    <t>theneo.io</t>
  </si>
  <si>
    <t>hello@theneo.io</t>
  </si>
  <si>
    <t>Theneo</t>
  </si>
  <si>
    <t>Stripe-like API Docs in just a few clicks</t>
  </si>
  <si>
    <t>[{"name":"Ana Robakidze","title":"Founder","bio":"Founder, Theneo","linkedin":"https://www.linkedin.com/in/robakidzeana/"}]</t>
  </si>
  <si>
    <t>Hey there,</t>
  </si>
  <si>
    <t>Ana</t>
  </si>
  <si>
    <t>https://bookface-images.s3.amazonaws.com/small_logos/8b3eab0f3f7a93ab29c8cd0078890fd2b01b0cc9.png</t>
  </si>
  <si>
    <t>rysemarket.com</t>
  </si>
  <si>
    <t>hello@rysemarket.com</t>
  </si>
  <si>
    <t>Ryse</t>
  </si>
  <si>
    <t>The secondary market for real estate leases</t>
  </si>
  <si>
    <t>[{"name":"Sean Mitchell","title":"Founder","bio":"Sean Mitchell went to Florida A&amp;M University where he received a bachelor's in Business Administration and minor in math and computer programming. He started his career in 2009 at JP Morgan's Chief Investment Office, where he was part of a 5-person team that managed a $30B structured mortgage backed security portfolio. Sean began working for Corbin Capital Partners in 2012, where he managed a $300M in a structured credit portfolio. Sean co-founded REZI (YC W17), a tech-enabled property manager.","linkedin":"https://linkedin.com/in/seanfmitchell"},{"name":"Harsh Yadav","title":"Founder","bio":"Harsh earned his MS, Computer Engineering from Rutgers, New Brunswick, New Jersey in 2010. He also has a Bachelor of Technology degree from the National Institute of Technology in Allahabad, India. Harsh began his career at Consumer Reports in 2010; helping transitioning Consumer Reports print media to web first world. In 2013, Harsh joined Torrential Inc., a digital media company as their VP, Engineering. Harsh co-founded REZI (YC W17), a tech-enabled property manager.","linkedin":"https://linkedin.com/in/harsh-yadav-a382b911"}]</t>
  </si>
  <si>
    <t>Buyers:</t>
  </si>
  <si>
    <t>Sean</t>
  </si>
  <si>
    <t>https://bookface-images.s3.amazonaws.com/small_logos/b3127fdf5e5c4be37c6ea79ff2812b08ce513d40.png</t>
  </si>
  <si>
    <t>wareiq.com</t>
  </si>
  <si>
    <t>harsh@wareiq.com</t>
  </si>
  <si>
    <t>WareIQ</t>
  </si>
  <si>
    <t>Amazon-prime like logistics for eCommerce companies in India</t>
  </si>
  <si>
    <t>[{"name":"Harsh Vaidya","title":"Founder","bio":"Founder &amp; CEO of WareIQ, building on-demand fulfillment infrastructure allowing brands to offer Amazon-Prime like shipping.\n\nHarsh comes with 8+ years of experience working in Corporate Strategy &amp; Market expansion roles for large tech. In his previous role, he looked into Product Strategy &amp; Operations for Pitney Bowes, a global tech company offering solutions for small businesses and global eCommerce.\n\nBachelors in Engineering from NIT, Harsh started his career with Capillary Technologies.","linkedin":"https://www.linkedin.com/in/harshmv/"},{"name":"Aayush Mattoo","title":"Founder","bio":"Young entrepreneur with a deep interest in the supply chain dynamics.","linkedin":"https://www.linkedin.com/in/aayushmattoo/"}]</t>
  </si>
  <si>
    <t>Modern consumer brands that are not able to utilize their inventory well due to uncertainties of multi-channel demand and procurement lead times are at the verge of bankruptcy:</t>
  </si>
  <si>
    <t>Harsh</t>
  </si>
  <si>
    <t>https://bookface-images.s3.amazonaws.com/small_logos/cd493d3173a7c398db40f624d4168ca0dc51665c.png</t>
  </si>
  <si>
    <t>zoko.io</t>
  </si>
  <si>
    <t>founders@zoko.io</t>
  </si>
  <si>
    <t>ZOKO</t>
  </si>
  <si>
    <t>Better Business on WhatsApp</t>
  </si>
  <si>
    <t>[{"name":"Arjun Paul","title":"Founder","bio":"Arjun, on a mission to connect businesses to the #nextbillion via chat!","linkedin":"https://www.linkedin.com/in/arjun-v-21939784/"},{"name":"Aromal Sivadasan","title":"Founder","bio":"","linkedin":"https://www.linkedin.com/in/aromal-sivadasan-b70676b/"}]</t>
  </si>
  <si>
    <t>Arjun</t>
  </si>
  <si>
    <t>https://bookface-images.s3.amazonaws.com/small_logos/88a29ec13035e5082aa0fc15b5e1d34257c60895.png</t>
  </si>
  <si>
    <t>ubicloud.com</t>
  </si>
  <si>
    <t>founders@ubicloud.com</t>
  </si>
  <si>
    <t>Ubicloud</t>
  </si>
  <si>
    <t>Open source alternative to AWS</t>
  </si>
  <si>
    <t>[{"name":"Umur Cubukcu","title":"Founder","bio":"Previously visiting partner at YC for W23 and S23; now co-founder at Ubicloud. Co-founder and CEO of Citus Data (S11), the creators of the distributed PostgreSQL database Citus. Led the PostgreSQL product team at Azure, after Citus Data was acquired in 2019 by Microsoft.","linkedin":"https://linkedin.com/in/umurc"},{"name":"Ozgun Erdogan","title":"Founder","bio":"I’m the cofounder of Ubicloud (YC W24), an open source alternative to AWS. We're on a mission to rebuild the cloud market with different values.\n\nPreviously, I was a partner at Microsoft, leading PostgreSQL engineering teams. I came to Microsoft through its acquisition of Citus Data (S11). I was the cofounder and CTO at Citus, and I learned a lot about doing startups there. Before all this, I built distributed systems at Amazon.","linkedin":"https://linkedin.com/in/ozgune"},{"name":"Daniel Farina","title":"Founder","bio":"I am one of the founders of Ubicloud.\n\nI've contributed to a number of control planes from an early phase, starting at Heroku, in what would become Heroku Postgres. Since then, I've serially created new control planes and infrastructure cloud products with some close colleagues, at Citus Cloud and Crunchy Bridge. Ubicloud is the fourth such system.","linkedin":"https://linkedin.com/in/danfarina"}]</t>
  </si>
  <si>
    <t>Ubicloud provides IaaS cloud features on bare metal providers, such as Hetzner, Leaseweb, or AWS Bare Metal. You can self-host our software or use our managed service to reduce your cloud costs by 3-10x.</t>
  </si>
  <si>
    <t>Umur</t>
  </si>
  <si>
    <t>https://bookface-images.s3.amazonaws.com/small_logos/621ac44e76ec8f002f47c567b4533df1d318abcc.png</t>
  </si>
  <si>
    <t>sendblue.com</t>
  </si>
  <si>
    <t>founders@tryraz.com</t>
  </si>
  <si>
    <t>Sendblue</t>
  </si>
  <si>
    <t>iMessage for Sales</t>
  </si>
  <si>
    <t>[{"name":"Rob Haber","title":"Founder","bio":"Co-founder and CEO of Sendblue. Former ML Engineer at Scale AI, and before that worked at Amazon, Regeneron and his own beef jerky company.","linkedin":"https://linkedin.com/in/rob-haber"},{"name":"Alex Luis","title":"Founder","bio":"Alex, a former sumo wrestler born in Tokyo, was a PM and consultant at PwC's telecom practice. There, he worked with emerging technologies like 5G, NFTs, and IoT. He's now a Co-founder @ sendblue and lives in NYC.","linkedin":"https://linkedin.com/in/alex-luis"}]</t>
  </si>
  <si>
    <t>Businesses use Raz to build interactive and personalized forms. Our AI-powered follow-up questions and semantic analysis provide businesses with actionable insights for constant improvement.</t>
  </si>
  <si>
    <t>Rob</t>
  </si>
  <si>
    <t>https://bookface-images.s3.amazonaws.com/small_logos/c34e2e7cee5cb8a890e2123c1f9f8621bd9f7e45.png</t>
  </si>
  <si>
    <t>business.triply.co</t>
  </si>
  <si>
    <t>founders@triply.co</t>
  </si>
  <si>
    <t>Triply</t>
  </si>
  <si>
    <t>Operating system for travel businesses in Africa with embedded finance</t>
  </si>
  <si>
    <t>Nairobi, Kenya</t>
  </si>
  <si>
    <t>[{"name":"Peter Wachira","title":"Founder","bio":"Peter is an entrepreneur with a passion for empowering communities and reshaping the travel industry. Started my first company at 18, focusing on providing essential goods and services to low-income households through a BNPL model, exited. I pivoted to the travel sector, founding a leading vacation rental management company. Recognizing the challenges faced by travel businesses, I am now building Tripitaca, the operating system for travel businesses in Africa.","linkedin":"https://linkedin.com/in/peter-wachira-tripitaca"},{"name":"Collins Muthinja","title":"Founder","bio":"With over a decade of coding expertise, I'm a seasoned software engineer who cut my teeth at a leading insuretech firm, where I played a key role in building payment rails. Co-founder of a successful BNPL startup later acquired, I now drive innovation as I build the operating system for travel businesses in Africa, seamlessly embedding finance solutions.","linkedin":"https://linkedin.com/in/collins-muthinja-trippi"}]</t>
  </si>
  <si>
    <t>90% of travel businesses in Africa are SMBs. However, they are unable to collect payments, continue to operate manually, lack access to financial services, and booking systems are 60% less efficient due to weak payment infrastructures.</t>
  </si>
  <si>
    <t>https://bookface-images.s3.amazonaws.com/small_logos/a50be8732ac92931d91e10a75379eb7b6b844ab1.png</t>
  </si>
  <si>
    <t>tarsal.co</t>
  </si>
  <si>
    <t>founders@tarsal.co</t>
  </si>
  <si>
    <t>Tarsal</t>
  </si>
  <si>
    <t>Data pipeline for your security data lake.</t>
  </si>
  <si>
    <t>[{"name":"Sunny Rekhi","title":"Founder","bio":"Prev: full-stack eng @ Zenefits (W13), backend eng @ Uber, infra eng @ TikTok.","linkedin":"https://www.linkedin.com/in/sunny-rekhi/"}]</t>
  </si>
  <si>
    <t>Tarsal provides:</t>
  </si>
  <si>
    <t>Sunny</t>
  </si>
  <si>
    <t>https://bookface-images.s3.amazonaws.com/small_logos/75747b61e59eadbd8831c406fbe1beed2fd4957b.png</t>
  </si>
  <si>
    <t>spadeworks.co</t>
  </si>
  <si>
    <t>founders@spadeworks.co</t>
  </si>
  <si>
    <t>SpadeWorks</t>
  </si>
  <si>
    <t>Marketplace where Indian SMBs can book verified blue collar workforce</t>
  </si>
  <si>
    <t>Hyderabad, India</t>
  </si>
  <si>
    <t>[{"name":"Vamsee Koneru","title":"Founder","bio":"2X Edtech Entrepreneur\nBootstrapped, built and exited $4 Mn YoY company\nDeep understanding of B2B Edtech space \nExceptional connects in Edtech space \nExperience of working in India, MENA, UK","linkedin":"https://www.linkedin.com/in/vamsee-koneru"}]</t>
  </si>
  <si>
    <t>Hi All,</t>
  </si>
  <si>
    <t>Vamsee</t>
  </si>
  <si>
    <t>https://bookface-images.s3.amazonaws.com/small_logos/9e3ab6dfee04b0656a2f1305abae1a3f240453a1.png</t>
  </si>
  <si>
    <t>sigmamind.ai</t>
  </si>
  <si>
    <t>founders@sigmamind.ai</t>
  </si>
  <si>
    <t>Sigma AI</t>
  </si>
  <si>
    <t>AI to automate customer support for e-commerce brands</t>
  </si>
  <si>
    <t>[{"name":"Ashish Agarwal","title":"Founder","bio":"Co-Founder at Sigma AI- AI support assistant for Shopify brands  | Ex-Goldman Sachs | IIT Delhi","linkedin":"https://www.linkedin.com/in/agarwalashish101/"},{"name":"Pratik Mundra","title":"Founder","bio":"Co-founder at Sigma AI, Previously founded a Clean Energy business, Ex- Goldman Sachs","linkedin":"http://www.linkedin.com/in/mundrapratik90/"}]</t>
  </si>
  <si>
    <t>We came to work on this idea when we were ordering food from a food delivery service and had to wait almost 15 minutes to talk to an agent - leaving us frustrated. After talking to E-commerce companies, we realized the problems they faced and decided to find a solution.</t>
  </si>
  <si>
    <t>Ashish</t>
  </si>
  <si>
    <t>https://bookface-images.s3.amazonaws.com/small_logos/4857d95e94326dab2796fc4935e39cb912bd34e3.png</t>
  </si>
  <si>
    <t>revi.ai</t>
  </si>
  <si>
    <t>founders@revi.ai</t>
  </si>
  <si>
    <t>Revi</t>
  </si>
  <si>
    <t>AI-enabled M&amp;amp;A deal origination</t>
  </si>
  <si>
    <t>[{"name":"Max Nuyen","title":"Co-founder","bio":"Co-founder of Revi - a deal origination software for investment banks, PE firms, and corporate development teams.","linkedin":"https://www.linkedin.com/in/max-nuyen-460851129/"},{"name":"Benjamin McKinzey","title":"Co-","bio":"Co-founder of Revi - a deal origination software for investment banks, PE firms, and corporate development teams.","linkedin":"https://www.linkedin.com/in/benjamin-mckinzey-19952a25b/"}]</t>
  </si>
  <si>
    <t>Sourcing ‘good’ M&amp;amp;A targets requires precision.</t>
  </si>
  <si>
    <t>Max</t>
  </si>
  <si>
    <t>https://bookface-images.s3.amazonaws.com/small_logos/5c5e4db7724db9cc411212c0a36b0c2b276b67e7.png</t>
  </si>
  <si>
    <t>quindar.space</t>
  </si>
  <si>
    <t>founders@quindar.space</t>
  </si>
  <si>
    <t>Quindar</t>
  </si>
  <si>
    <t>The platform to monitor and automate satellite operations</t>
  </si>
  <si>
    <t>Denver, CO</t>
  </si>
  <si>
    <t>[{"name":"Nate Hamet","title":"Founder","bio":"I'm one of the co-founders and CEO of Quindar. I've worked in the space industry for almost a decade doing electrical, software, and mission design for Lockheed Martin, OneWeb, and Orbital Effects. At OneWeb I helped architect the TT&amp;C ground system that operates the second largest satellite constellation today. I went to undergrad and grad school at the University of Michigan studying aerospace and meteorology. In my free time I love to cook, travel, and participate in sports.","linkedin":"https://www.linkedin.com/in/nathanhamet/"},{"name":"Sunny Bhagavathula","title":"Founder","bio":"I am an astrodynamicist with experience flying telecommunication and Earth-observation satellites. After grad school at Michigan, I helped architect and build two high-fidelity flight dynamics systems with an emphasis on space sustainability. I am excited about lowering the barrier to orbit and providing tools for satellite owners to be responsible users of space through Quindar. Outside of work, I love to spend time playing and watching sports, rock climbing, cycling, and hiking.","linkedin":"https://www.linkedin.com/in/sandilya-sunny-bhagavathula-13780b47/"},{"name":"David Lawrence","title":"Founder","bio":"Dave Lawrence studied Aerospace Engineering at Texas A&amp;M and since then has helped design and operate satellite systems at several companies, including Boeing, Iridium, and OneWeb. He has led in-orbit commissioning and systems integration campaigns for communications and earth observations satellites. He'll bring this experience to Quindar to build a satellite operations platform that enables access to space!","linkedin":"https://www.linkedin.com/in/david-lawrence-58663691/"},{"name":"Zach Meza","title":"Founder","bio":"I am a software engineer with a B.S. in Computer Science from Stanford University with a concentration in Artificial Intelligence. Since graduating in 2016 I've worked on two satellite missions to develop the programs' mission operations software from the ground up; the software I've written to is still in use to operate the satellites and orchestrate the ground systems. At Quindar I serve as Head of Software alongside my five fellow cofounders, with whom I have worked for the last six years.","linkedin":"https://www.linkedin.com/in/zach-meza-25a832262/"},{"name":"Shaishav Parekh","title":"Founder","bio":"A software engineer with a B.S. in Computer Engineering from Virginia Tech, Shai has worked as a consultant for Red Hat and gained industry experience in Finance, Insurance, O&amp;G and Retail industries. He helped design the OneWeb satellite operations software and went on the build the scheduling software for another Earth Observation satellite operator. Outside of work he enjoys playing tennis, watching F1 and hiking.","linkedin":"https://www.linkedin.com/in/shaishavparekh"},{"name":"Matt Regan","title":"Founder","bio":"I'm an aerospace engineer by study and a software engineer by trade. Since entering the workforce I've worked at a myriad of satellite and space missions from defense satellites to mega-consteallation for global internet. I am particularly excited about participating in the latest space revolution and working towards lowering the barrier of space for all interested parties. Outside of work, I'll usually spend time with friends, playing soccer, or watching any Michigan game. Go Blue!","linkedin":"https://linkedin.com/in/matthew-regan-a0a45238"}]</t>
  </si>
  <si>
    <t>Current satellite mission software solutions are a mix of COTS products that was built over 20 years ago.</t>
  </si>
  <si>
    <t>Nate</t>
  </si>
  <si>
    <t>https://bookface-images.s3.amazonaws.com/small_logos/8b1c3c4a91e008bf2dae946586ed7d25fa59ec49.png</t>
  </si>
  <si>
    <t>pipeshift.com</t>
  </si>
  <si>
    <t>founders@pipeshift.ai</t>
  </si>
  <si>
    <t>Pipeshift</t>
  </si>
  <si>
    <t>Modular Orchestration Platform for Open Source AI</t>
  </si>
  <si>
    <t>[{"name":"Arko C","title":"Founder","bio":"CEO @ Pipeshift.\nHelping developers fine-tune, distill and deploy open-source LLMs 10x faster.","linkedin":"https://linkedin.com/in/arkoc"},{"name":"Enrique Ferrao","title":"Founder","bio":"CTO @ Pipeshift. Focused on squeezing out max LLM performance from GPUs","linkedin":"https://linkedin.com/in/enrique-ferrao"},{"name":"Pranav Reddy","title":"Founder","bio":"CIO @ Pipeshift. Making LLMs go brrrr at Pipeshift","linkedin":"https://linkedin.com/in/pranavreddyg"}]</t>
  </si>
  <si>
    <t>Arko</t>
  </si>
  <si>
    <t>https://bookface-images.s3.amazonaws.com/small_logos/290c0065a5ffe07236a3cc433e4c722863914784.png</t>
  </si>
  <si>
    <t>peeba.com</t>
  </si>
  <si>
    <t>founders@peeba.com</t>
  </si>
  <si>
    <t>Peeba</t>
  </si>
  <si>
    <t>Risk-free wholesale for retailers across Southeast Asia</t>
  </si>
  <si>
    <t>Hong Kong, Hong Kong</t>
  </si>
  <si>
    <t>[{"name":"Jacky Lai","title":"Founder","bio":"Founder and CEO @ Peeba - Before Peeba, I have ran two companies including an e-commerce business where I led the team to grow to over $40mn USD in annual sales. I graduated from Emory University in Atlanta, Georgia.","linkedin":"http://www.linkedin.com/in/jackylaihk"}]</t>
  </si>
  <si>
    <t>Peeba is a B2B wholesale marketplace that simplifies the buying process for retailers in Asia, connecting them with over 2,500 brands from around the world at the best prices, with free returns and 60 days payment terms.</t>
  </si>
  <si>
    <t>Jacky</t>
  </si>
  <si>
    <t>https://bookface-images.s3.amazonaws.com/small_logos/1201a58c5de47a287ab4ea6a262a2598a1e6f3af.png</t>
  </si>
  <si>
    <t>oneschema.co</t>
  </si>
  <si>
    <t>founders@oneschema.co</t>
  </si>
  <si>
    <t>OneSchema</t>
  </si>
  <si>
    <t>Automate CSV imports from anywhere</t>
  </si>
  <si>
    <t>[{"name":"Andrew Luo","title":"Founder","bio":"Co-founder of OneSchema","linkedin":"https://www.linkedin.com/in/andrew-luo-6495704a/"}]</t>
  </si>
  <si>
    <t>We decided to build OneSchema so product teams could focus on the features that matter most to their customers.</t>
  </si>
  <si>
    <t>Andrew</t>
  </si>
  <si>
    <t>https://bookface-images.s3.amazonaws.com/small_logos/0da6fd5bf7648bc26ba469b7a2a03b08186196dd.png</t>
  </si>
  <si>
    <t>oneleet.com</t>
  </si>
  <si>
    <t>founders@oneleet.com</t>
  </si>
  <si>
    <t>Oneleet</t>
  </si>
  <si>
    <t>YC&amp;#39;s most popular security compliance platform (SOC 2, ISO 27001,…</t>
  </si>
  <si>
    <t>[{"name":"Bryan Onel","title":"Founder","bio":"Penetration Tester with 10+ years of experience helping companies become more secure by simulating advanced attacks. Has experience leading security teams and architecting offensive and defensive security solutions.\n\nBefore pursuing a career in hacking, Bryan studied AI and Medicine.","linkedin":"https://nl.linkedin.com/in/bryan-onel/"},{"name":"Ora Onel","title":"Founder","bio":"I have a background in medical genetics. I developed a passion for cybersecurity and decided to start a security company together with my husband.","linkedin":"https://www.linkedin.com/in/ora-touitou/"}]</t>
  </si>
  <si>
    <t>We provide a comprehensive all-in-one solution for SOC 2, ISO 27001, HIPAA, GDPR, &amp;amp; PCI compliance, including automation, penetration testing, audit support, and continuous monitoring.</t>
  </si>
  <si>
    <t>Bryan</t>
  </si>
  <si>
    <t>https://bookface-images.s3.amazonaws.com/small_logos/35b93ab2671a1397037aa92e0703d5f6c2ec0fba.png</t>
  </si>
  <si>
    <t>omnistrate.com</t>
  </si>
  <si>
    <t>founders@omnistrate.com</t>
  </si>
  <si>
    <t>Omnistrate</t>
  </si>
  <si>
    <t>Transform any software to multi-cloud SaaS in minutes not years</t>
  </si>
  <si>
    <t>Redwood City, CA</t>
  </si>
  <si>
    <t>[{"name":"Kamal Gupta","title":"Founder","bio":"Kamal is a Co-Founder &amp; CEO of Omnistrate. He is a repeat founder with an entrepreneurial spirit. Kamal led the engineering for Kafka at Confluent across all channels. During his time, Kafka Cloud revenue grew by 20x. Before that, he led the database engineering for AWS Aurora MySQL, a BB+ dollar business managing MM+ of database nodes. During his period at AWS (2007-2020), he built more than half-a-dozen cloud services at AWS across different domains &amp; providers","linkedin":"https://www.linkedin.com/in/kkgupta2/"},{"name":"Alok Nikhil","title":"Founder","bio":"Alok comes with deep technical expertise in Serverless, Networking, Performance on the Cloud. He was the original technical author of Aurora Serverless, which revolutionized the data systems space. Within the first year of its introduction, ~50% of hundreds of thousands of Aurora DBs created were on Aurora Serverless. He also scaled networking (packets-per-second) on AWS by 10-15x during his tenure at Cisco, scaled Confluent Cloud by 5x from 4GBps to 20GBps, and Kafka Cloud latencies by 10x.","linkedin":"https://www.linkedin.com/in/nikhilalok/"}]</t>
  </si>
  <si>
    <t>You start by simply bringing your docker image. Omnistrate, from then on, will seamlessly build your SaaS and runs it on auto-pilot. At every step of the process, you retain full control, the ability to innovate on your product and the ability to integrate with your favorite tools or services.</t>
  </si>
  <si>
    <t>Kamal</t>
  </si>
  <si>
    <t>https://bookface-images.s3.amazonaws.com/small_logos/428feb2a5e495458be88abd1793ebca289d4798b.png</t>
  </si>
  <si>
    <t>odigos.io</t>
  </si>
  <si>
    <t>founders@keyval.dev</t>
  </si>
  <si>
    <t>Odigos Technologies Inc.</t>
  </si>
  <si>
    <t>Enterprise-Grade OpenTelemetry</t>
  </si>
  <si>
    <t>[{"name":"Ari Recht","title":"Founder","bio":"","linkedin":"https://www.linkedin.com/in/arirecht/"},{"name":"Eden Federman","title":"Founder","bio":"I love eBPF and OpenTelemetry. Working on helping developers fix issues faster.","linkedin":"https://www.linkedin.com/in/edenfed/"}]</t>
  </si>
  <si>
    <t>Hi YC!</t>
  </si>
  <si>
    <t>Ari</t>
  </si>
  <si>
    <t>https://bookface-images.s3.amazonaws.com/small_logos/6519c1c9ffc92217f36449c3d731f02ef19aedb2.png</t>
  </si>
  <si>
    <t>jiga.io</t>
  </si>
  <si>
    <t>founders@jiga.io</t>
  </si>
  <si>
    <t>Jiga</t>
  </si>
  <si>
    <t>Source better parts by partnering directly with vetted manufacturers</t>
  </si>
  <si>
    <t>[{"name":"Adar Hay","title":"Founder","bio":"Co-founder and CEO of Jiga.","linkedin":"https://www.linkedin.com/in/adarhay/"},{"name":"Assaf Geuz","title":"Founder","bio":"Co-Founder of Jiga","linkedin":"https://www.linkedin.com/in/assaf-geuz-jiga/"},{"name":"Yonatan Wolowelsky","title":"Founder","bio":"Co Founder and CTO of Jiga","linkedin":"https://www.linkedin.com/in/yonatan-wolowelsky-2454553a/"}]</t>
  </si>
  <si>
    <t>Jiga is a sourcing platform that enables engineers to get quick quotes and place orders with manufacturing suppliers, maintaining full transparency and direct communication to the manufacturer who actually make the parts.</t>
  </si>
  <si>
    <t>Adar</t>
  </si>
  <si>
    <t>https://bookface-images.s3.amazonaws.com/small_logos/4c19e5f223f5e07fad692fb4bea179778c08b018.png</t>
  </si>
  <si>
    <t>invofox.com</t>
  </si>
  <si>
    <t>founders@invofox.com</t>
  </si>
  <si>
    <t>Invofox</t>
  </si>
  <si>
    <t>INVOFOX is the document processing AI for software companies</t>
  </si>
  <si>
    <t>Madrid, Spain</t>
  </si>
  <si>
    <t>[{"name":"Alberto Gimeno","title":"Founder","bio":"Computer scientist and mathematician.\nWorked for years as a developer before discovering my true passion in sales.\nReach out if you're intested in literature, crossfit or baseball.","linkedin":"https://www.linkedin.com/in/gimenoalberto"},{"name":"Carmelo Juanes","title":"Founder","bio":"Computer scientist and mathematician. Former researcher at CSIC. Full stack developer focused on web technologies. Talk to me about parkour, bouldering and inline skating!","linkedin":"https://www.linkedin.com/in/carmelojuanes/"},{"name":"Adrian Ramirez","title":"Founder","bio":"Computer Engineer and Mathematician with a demonstrated history of working in the research industry. Highly skilled in many programming languages with extensive knowledge of ML and DL.\nHobbies include hiking, bouldering, soccer and beer brewing.","linkedin":"https://www.linkedin.com/in/adrian-ramirez-delrio/"}]</t>
  </si>
  <si>
    <t>We help software companies automatically extract data from invoices, so they can fully automate processes for their customers, such as payments or accounting, without anyone having to review the data.</t>
  </si>
  <si>
    <t>Alberto</t>
  </si>
  <si>
    <t>https://bookface-images.s3.amazonaws.com/small_logos/1f26d831f2c3961adfb05a98f923a285cd1aa50e.png</t>
  </si>
  <si>
    <t>founders@inbuild.ai</t>
  </si>
  <si>
    <t>hyperbound.ai</t>
  </si>
  <si>
    <t>founders@hyperbound.ai</t>
  </si>
  <si>
    <t>Hyperbound</t>
  </si>
  <si>
    <t>Sales call roleplay with realistic conversational AI buyers</t>
  </si>
  <si>
    <t>[{"name":"Sriharsha Guduguntla","title":"Founder","bio":"Call me Sai! CEO @ Hyperbound (https://hyperbound.ai/). I am self-learned full-stack engineer and designer with experience building products for 9+ years. Formerly a founding engineer @ Bloom (YC W21), engineering @ Salesforce Einstein, researcher @ UC Berkeley RISE Lab, and I'm a UC Berkeley alum 🐻 Go Bears! \n\nLove to talk music or basketball anytime. Fun fact: Lebron's the 🐐\n\n// sriharshaguduguntla.com","linkedin":"https://linkedin.com/in/sguduguntla"},{"name":"Atul Raghunathan","title":"Founder","bio":"CTO @ Hyperbound. I am an AI engineer and Language Model researcher with a strong background building enterprise-grade ML personalization systems currently used by billions of users. \n\nAlso a huge Mercedes F1 fan 🏎️ and avid rock climber 🧗.","linkedin":"https://linkedin.com/in/atul-raghunathan-0743ba168"}]</t>
  </si>
  <si>
    <t>Hyperbound is a simulated roleplay platform that turns your ICP descriptions into interactive AI agents in less than 20 minutes. Hyperbound ramps your reps faster and keeps them warmed up, increasing conversion rates on cold and discovery calls.</t>
  </si>
  <si>
    <t>Sriharsha</t>
  </si>
  <si>
    <t>https://bookface-images.s3.amazonaws.com/small_logos/d914e5099612c52b407ca205a19346b7915e770f.png</t>
  </si>
  <si>
    <t>formance.com</t>
  </si>
  <si>
    <t>founders@formance.com</t>
  </si>
  <si>
    <t>Formance</t>
  </si>
  <si>
    <t>Open Source Infrastructure for the Financial Internet</t>
  </si>
  <si>
    <t>Paris, France</t>
  </si>
  <si>
    <t>[{"name":"Clément Salaün","title":"Founder","bio":"Founder of Formance, making complex payments workflows work. Previously @Selency.","linkedin":"https://www.linkedin.com/in/clementsalaun"}]</t>
  </si>
  <si>
    <t>Hi everyone!</t>
  </si>
  <si>
    <t>Clément</t>
  </si>
  <si>
    <t>https://bookface-images.s3.amazonaws.com/small_logos/d2bd98c7cb8de435d88c71bda24056e4db21bc5f.png</t>
  </si>
  <si>
    <t>explo.co</t>
  </si>
  <si>
    <t>founders@explo.co</t>
  </si>
  <si>
    <t>Explo</t>
  </si>
  <si>
    <t>Customer-facing analytics, lightning fast</t>
  </si>
  <si>
    <t>[{"name":"Andrew Chen","title":"Founder","bio":"Founder at Explo","linkedin":"http://linkedin.com/in/andrewchen9"},{"name":"Gary Lin","title":"Founder","bio":"","linkedin":"https://www.linkedin.com/in/garymlin/"}]</t>
  </si>
  <si>
    <t>Explo allows you to build customer-facing dashboards and reporting, lightning-fast. With Explo, you can create custom white-labeled dashboards for your application, share custom reports, or embed our AI report builder.</t>
  </si>
  <si>
    <t>https://bookface-images.s3.amazonaws.com/small_logos/780b4e13b382139633e716a4aa5a74afed2cbe10.png</t>
  </si>
  <si>
    <t>ekhodealer.com</t>
  </si>
  <si>
    <t>founders@ekhodealer.com</t>
  </si>
  <si>
    <t>Ekho</t>
  </si>
  <si>
    <t>Enabling OEMs, distributors, and dealers to sell more vehicles in the…</t>
  </si>
  <si>
    <t>[{"name":"Christopher Howard","title":"Founder","bio":"Cofounder at Ekho Dealer. Previously ML at Meta. Stanford computer science bachelors and masters.","linkedin":"https://www.linkedin.com/in/chris-g-howard/"},{"name":"Rowan Mockler","title":"Founder","bio":"Cofounder at Ekho Dealer. Previously product at Duolingo. Stanford computer science grad.","linkedin":"https://www.linkedin.com/in/rowan-mockler-198218128/"}]</t>
  </si>
  <si>
    <t>It's legally and logistically complex for vehicle manufacturers and distributors to sell their vehicles online:</t>
  </si>
  <si>
    <t>Christopher</t>
  </si>
  <si>
    <t>https://bookface-images.s3.amazonaws.com/small_logos/ba6801f432e8bfe7e4b8428c160da89816133ee9.png</t>
  </si>
  <si>
    <t>disclo.com</t>
  </si>
  <si>
    <t>founders@disclo.com</t>
  </si>
  <si>
    <t>Disclo</t>
  </si>
  <si>
    <t>Health disclosure and accommodation management platform</t>
  </si>
  <si>
    <t>Austin, TX</t>
  </si>
  <si>
    <t>[{"name":"Hannah Olson","title":"Founder","bio":"Hannah Olson is the Co-Founder and CEO of Disclo, the first software helping employees safely ask for, verify, and act on accommodation requests at work. Hannah’s own experience navigating her career while undergoing intensive treatment for Lyme disease sparked the idea for her first venture, Chronically Capable, which became one of the largest and most-used disability recruiting platforms in the world.","linkedin":"http://www.linkedin.com/in/hanrosols"},{"name":"Kai Keane","title":"Founder","bio":"","linkedin":"https://www.linkedin.com/in/kaikeane"}]</t>
  </si>
  <si>
    <t>Hannah</t>
  </si>
  <si>
    <t>https://bookface-images.s3.amazonaws.com/small_logos/e168db75ab4f6e439a5dece49f30bdbbbedfd7f6.png</t>
  </si>
  <si>
    <t>devyce.com</t>
  </si>
  <si>
    <t>founders@devyce.com</t>
  </si>
  <si>
    <t>Devyce</t>
  </si>
  <si>
    <t>The global mobile network for business.</t>
  </si>
  <si>
    <t>London, United Kingdom</t>
  </si>
  <si>
    <t>[{"name":"Nick Browne","title":"Founder","bio":"Nick has spent the last 4 years working in telecoms as VP of Business Development for Stour Marine a UK Mobile Network Operator. Before entering the technology space he spent several years in finance at Deutsche Bank and HSBC.","linkedin":"https://www.linkedin.com/in/nicholas-browne-a8a829147/"},{"name":"Edward Clayton","title":"Founder","bio":"I'm a developer from Lancashire, England. I've lived in London for the last 20 years or so, except for some overseas stints (I'm currently in Kazakhstan). I've a knack for interesting technical solutions, but besides that, I enjoy skiing and wine.\n\nMost of my career has involved C#, which I guess is what comes from working in finance in London.","linkedin":"https://www.linkedin.com/in/ed-clayton-1b8b7b27/"}]</t>
  </si>
  <si>
    <t>Companies have three ways of getting phone calls to and from remote, hybrid, and offsite workers:</t>
  </si>
  <si>
    <t>Nick</t>
  </si>
  <si>
    <t>https://bookface-images.s3.amazonaws.com/small_logos/665420abe7a2a638f961788b9da9b46a44702dfd.png</t>
  </si>
  <si>
    <t>deskimo.com</t>
  </si>
  <si>
    <t>founders@deskimo.com</t>
  </si>
  <si>
    <t>Deskimo</t>
  </si>
  <si>
    <t>Workspaces on demand, paid by the minute.</t>
  </si>
  <si>
    <t>Singapore, Singapore</t>
  </si>
  <si>
    <t>[{"name":"Christian Mischler","title":"Founder","bio":"Previously co-founded &amp; scaled GuestReady (the leading short-term rental management company in Europe and the Middle East), HotelQuickly (at the time the leading last-minute hotel booking  app in Asia-Pacific), Foodpanda (Asia's largest food delivery company outside of China). \n\nPreviously an In-House Consultant at Credit Suisse.\n\nFurther: Swiss national; double master's degrees from the University of St.Gallen (HSG) and CEMS; Captain at the Swiss Military Intelligence; visited 100+ countries.","linkedin":"https://www.linkedin.com/in/christianmischler"},{"name":"Raphael Cohen","title":"Founder","bio":"Past experience:\n- Head of Asia, Rocket Internet\n- Co-Founder, Gobee.bike (2nd largest bike sharing operator outside of China)\n- Co-Founder, HotelQuickly (largest last-minute hotel booking app in Asia-Pacific)\n- Managing Director, Foodpanda Vietnam (Asia's largest food delivery company outside of China)\n\nFurther:\n- French national\n- Lived in Singapore, Hong Kong, China, Vietnam, Canada, France\n- Speaks 7 languages and visited 100+ countries\n- Bachelor of Commerce, University of Toronto","linkedin":"https://www.linkedin.com/in/raphaelc/"}]</t>
  </si>
  <si>
    <t>Work-from-home (WFH) is good for companies, as they can save fixed costs by reducing office leases, and it’s good for employees, as it increases flexibility and reduces commuting time.</t>
  </si>
  <si>
    <t>Christian</t>
  </si>
  <si>
    <t>https://bookface-images.s3.amazonaws.com/small_logos/1291f709de04bd35266cafcf047e0cc80f5b1280.png</t>
  </si>
  <si>
    <t>demodesk.com</t>
  </si>
  <si>
    <t>founders@demodesk.com</t>
  </si>
  <si>
    <t>Demodesk</t>
  </si>
  <si>
    <t>AI-powered sales coaching</t>
  </si>
  <si>
    <t>Munich, Germany</t>
  </si>
  <si>
    <t>[{"name":"Alex Popp","title":"Founder","bio":"Alex is co-founder and CTO of Demodesk, a sales coaching AI that summarizes your calls, automates CRM management, and delivers personalized, actionable call feedback. They raised &gt;$10M from Y Combinator, Balderton, Kleiner Perkins, Target Global, GFC and renowned Silicon Valley angels. He studied Electrical Engineering at TUM &amp; Stanford and Technology Management at CDTM.","linkedin":"https://www.linkedin.com/in/alexandergeorgpopp/"},{"name":"Veronika Wax","title":"Founder","bio":"Veronika is co-founder and CEO of Demodesk, a revolutionary online meeting platform with integrated real-time sales assistance. They raised $15M from Y Combinator, Balderton, Kleiner Perkins, Target Global, GFC and renowned angels from Silicon Valley. Before Demodesk, Veronika was a manager at Bain &amp; Company and consulted Fortune 500 companies on their sales and investment strategy. She holds a Master in Business and Engineering from TU Munich and the Columbia University of New York.","linkedin":"https://www.linkedin.com/in/veronikariederle/"}]</t>
  </si>
  <si>
    <t>Demodesk delivers personalized, actionable sales coaching after every call based on insights from over 1 million sales calls and frameworks from leading sales coaches.</t>
  </si>
  <si>
    <t>https://bookface-images.s3.amazonaws.com/small_logos/20c74945d30965bb5d2101fd68ae3e99cc624985.png</t>
  </si>
  <si>
    <t>datrics.ai</t>
  </si>
  <si>
    <t>founders@datrics.ai</t>
  </si>
  <si>
    <t>Datrics</t>
  </si>
  <si>
    <t>A tool to create AI-powered 🤖 digital coworkers for BI and analytics.</t>
  </si>
  <si>
    <t>[{"name":"Volodymyr Sofinskyi","title":"Founder","bio":"co-founder @Datrics - building AI data analyst.\nAI aficionado, former data science lead with 10+ years of analytics experience","linkedin":"https://www.linkedin.com/in/volodymyr-sofinskyi/"},{"name":"Kirill Kirykov","title":"Founder","bio":"Co-founder @ Datrics - AI-powered digital coworker for analytics.\nPrev: Co-founder @ 4irelabs - blockchain, fintech development and consulting.","linkedin":"https://www.linkedin.com/in/kirill-kirikov-96507425/"},{"name":"Anton Vaisburd","title":"Founder","bio":"co-founder &amp; CEO @Datrics - building AI data analyst.\nAI/ML enthusiast, former data science consultant and manager.","linkedin":"https://www.linkedin.com/in/vaisburd/"}]</t>
  </si>
  <si>
    <t>For the past years, we have been dedicated to solving data consolidation and insight delivery challenges for traditional enterprises such as banks and credit unions, minimizing time to insights. Their combined expertise in data science consulting, app development, and advanced financial analytics has been pivotal in delivering timely and relevant insights.</t>
  </si>
  <si>
    <t>Volodymyr</t>
  </si>
  <si>
    <t>https://bookface-images.s3.amazonaws.com/small_logos/497093f34ecc13678b906d7569a6740cbcbb4952.png</t>
  </si>
  <si>
    <t>capitol.ai</t>
  </si>
  <si>
    <t>founders@capitol.ai</t>
  </si>
  <si>
    <t>Capitol AI</t>
  </si>
  <si>
    <t>Capitol is a custom perplexity for every website in the world.</t>
  </si>
  <si>
    <t>Washington, DC</t>
  </si>
  <si>
    <t>[{"name":"Shaun Modi","title":"&amp; CEO","bio":"Shaun Modi is the founder and CEO of Capitol AI, an infinitely smart research assistant that instantly generates high-quality content from your documents. One of the founding designers of Airbnb, Shaun has been named one of Business Insider’s Top 75 Designers in Technology. Shaun has designed software products for technology giants, the government, and its agencies, including Google, the White House, DoD, NASA, CDC, and Motorola. At Airbnb, Shaun worked side by side with CEO Brian Chesky.","linkedin":"https://www.linkedin.com/in/shaunmodi/"},{"name":"thomas hallaran","title":"Founder","bio":"Software engineer and technical manager with a product mindset. Two decades of experience, including IC and Director positions in academia, venture backed startups, and the US Federal Government.","linkedin":"https://www.linkedin.com/in/tomhallaran/"}]</t>
  </si>
  <si>
    <t>After we got into YC, we asked ourselves: “What would Microsoft Word look like if it were built in the age of AI?” Our answer: A product that seamlessly combines deep research, generative images + text, and AI-assisted editing.</t>
  </si>
  <si>
    <t>Shaun</t>
  </si>
  <si>
    <t>https://bookface-images.s3.amazonaws.com/small_logos/d21edd589862cd64f905545df119c53426538c8d.png</t>
  </si>
  <si>
    <t>autone.io</t>
  </si>
  <si>
    <t>founders@autone.io</t>
  </si>
  <si>
    <t>autone</t>
  </si>
  <si>
    <t>Inventory management SaaS for Retail &amp;amp; Consumer brands</t>
  </si>
  <si>
    <t>[{"name":"Adil Bouhdadi","title":"Founder","bio":"Over his career, Adil has worked within the retail industry across leading luxury fashion companies in Paris, New York, and London. In 2020, he co-founded Autone to help retail &amp; consumer goods businesses scale their performances by accurately understanding, planning and forecasting their sales &amp; operation flows.\nIn his free time, Adil enjoys exploring Italy on the weekend, visiting family in Marrakech,\nor traveling around Europe.","linkedin":"https://www.linkedin.com/in/adilbouhdadi/"},{"name":"Harry Cheslaw","title":"Founder","bio":"I am a london based technical / product founder focusing currently on the retail space. \n\nIn 2020, I co-founded Autone to help retail &amp; consumer goods businesses scale their performances by accurately understanding, planning and forecasting their sales &amp; operation flows.\n\nI am always happy to chat and help others so do not hesitate to reach out!","linkedin":"https://www.linkedin.com/in/harry-glucksmann-cheslaw-87811177/"}]</t>
  </si>
  <si>
    <t>Thank you ✌🏼</t>
  </si>
  <si>
    <t>Adil</t>
  </si>
  <si>
    <t>https://bookface-images.s3.amazonaws.com/small_logos/1265ce908f9437a3001af3e36bdbbfd9a00821ca.png</t>
  </si>
  <si>
    <t>agentnoon.com</t>
  </si>
  <si>
    <t>founders@agentnoon.com</t>
  </si>
  <si>
    <t>Agentnoon</t>
  </si>
  <si>
    <t>Org design and workforce planning platform to drive org transformation</t>
  </si>
  <si>
    <t>Toronto, Canada</t>
  </si>
  <si>
    <t>[{"name":"Ali Nawab","title":"Founder","bio":"building Agentnoon (YC W22)\nprev: cofounder @kiwidotai (acquired) @sentiance \nalum: #ODF4. Booz&amp;Co. Ivey. Deloitte Consulting. FAST-NU 🇨🇦 🇵🇰\n\nplease contact me for anything I can help you with via Twitter or LinkedIn","linkedin":"https://ca.linkedin.com/in/alinawab"},{"name":"Dave Y. Kim","title":"Founder","bio":"CTO at Agentnoon.com (We are hiring!)\nPreviously founding engineer at kiwidotai (acquired), head of mobile then integration lead at Sentiance.","linkedin":"https://www.linkedin.com/in/dave-k-9b730536/"}]</t>
  </si>
  <si>
    <t>Ali</t>
  </si>
  <si>
    <t>https://bookface-images.s3.amazonaws.com/small_logos/614919230c549139251a7066248014fc2bb86bb7.png</t>
  </si>
  <si>
    <t>activepieces.com</t>
  </si>
  <si>
    <t>founders@activepieces.com</t>
  </si>
  <si>
    <t>Activepieces</t>
  </si>
  <si>
    <t>Open-source, AI-first and no-code business automation tool</t>
  </si>
  <si>
    <t>[{"name":"Ashraf Samhouri","title":"Co-founder and CEO","bio":"Ended up responsible for growing our ARR so I guess I do sales from the perspective of a software engineer, on a mission to make AI a native part of enterprise through open source automation (aka Activepieces)","linkedin":"https://www.linkedin.com/in/ashrafsam"},{"name":"Mohammad AbuAboud","title":"Co- &amp; CTO","bio":"I love building cool stuff. Started programming at 13 and never looked back—turns out, breaking things is the fastest way to learn.","linkedin":"https://www.linkedin.com/in/mohammad-abuaboud/"}]</t>
  </si>
  <si>
    <t>You can now host an equivalent software to Zapier to automate your work. You can automate your sales process, marketing operations or back-office without writing code (or with, if you’d like to).</t>
  </si>
  <si>
    <t>Ashraf</t>
  </si>
  <si>
    <t>https://bookface-images.s3.amazonaws.com/small_logos/0e3da00ac0f6b66a7e896be53679d01b6fe5fd45.png</t>
  </si>
  <si>
    <t>lancedb.com</t>
  </si>
  <si>
    <t>contact@lancedb.com</t>
  </si>
  <si>
    <t>LanceDB</t>
  </si>
  <si>
    <t>Open-source, serverless vectordb for production-scale generative AI</t>
  </si>
  <si>
    <t>[{"name":"Chang She","title":"Founder","bio":"My passion is building tools to make teams more productive working with data. I was VP of Eng at TubiTV where I designed the ML stack and the experiment platform, in addition to growing the team by more than 3x. Previously I was CTO/co-founder of DataPad and the second major contributor to the pandas library. In a former life, I was a financial quant with stints at AQR and Barclays.","linkedin":"https://www.linkedin.com/in/changshe"},{"name":"Lei Xu","title":"Founder","bio":"Lead in Machine Learning Platform in Cruise.\nApache Hadoop HDFS PMC member and Senior Software Engineer at Cloudera.\nPhD in distributed storage system.","linkedin":"https://www.linkedin.com/in/eddyxu/"}]</t>
  </si>
  <si>
    <t>🙋 Are you building a generative AI app using an LLM or API? Are you working on a new recsys, a modern search engine, or a new analytical tool for unstructured data? Good news: you no longer have to struggle with Pinecone’s high cost, over the top complexity, or data privacy concerns.</t>
  </si>
  <si>
    <t>Chang</t>
  </si>
  <si>
    <t>https://bookface-images.s3.amazonaws.com/small_logos/7b3b44ab11047bbfddb4bfe44c9d2d3c87027258.png</t>
  </si>
  <si>
    <t>hockeystack.com</t>
  </si>
  <si>
    <t>bugra@hockeystack.com</t>
  </si>
  <si>
    <t>HockeyStack</t>
  </si>
  <si>
    <t>The operating system for inbound B2B revenue</t>
  </si>
  <si>
    <t>[{"name":"Buğra Gündüz","title":"Founder","bio":"Co-Founder &amp; CEO @ HockeyStack. I started learning to code as a child, started selling digital products online in my freshman year of high school in Turkey, went to the US for college &amp; dropped out during my first quarter to build HockeyStack.","linkedin":"https://www.linkedin.com/in/bgrgndzz"},{"name":"Emir Atli","title":"Founder","bio":"Founder &amp; CRO at HockeyStack- the revenue infrastructure for B2B. One of the fastest growing YC companies, used by Outreach, Appsflyer, Yext, Sendoso, 8x8, and more. Hiring engineers, recruiters, and marketers in SF!","linkedin":"https://www.linkedin.com/in/emircatli/"},{"name":"Arda Bulut","title":"Founder","bio":"co-founder and cto","linkedin":"https://www.linkedin.com/in/ardabulut-627211/"}]</t>
  </si>
  <si>
    <t>Revenue-facing teams in B2B companies run all their operations on customer data, whether it is managing an advertising budget, launching integrated campaigns, closing deals, or retaining customers. But there is no central system of record for customer data that they can use to run their operations, so instead, they rely on tens of different data tools and spreadsheets.</t>
  </si>
  <si>
    <t>Buğra</t>
  </si>
  <si>
    <t>https://bookface-images.s3.amazonaws.com/small_logos/90725285723955c6a718c11c6de42fac109093c5.png</t>
  </si>
  <si>
    <t>happl.com</t>
  </si>
  <si>
    <t>ben@happl.com</t>
  </si>
  <si>
    <t>Happl</t>
  </si>
  <si>
    <t>Your personalised benefits and engagement platform for global teams</t>
  </si>
  <si>
    <t>[{"name":"Ben Towers","title":"Founder","bio":"Ben (24) is Co-Founder at Happl (formerly Tahora). An entrepreneur since he was 11 years old when he started his first business, Towers Design, Ben has always been motivated by creating things that help people. By 18 he was named by The Times as 'the smartest teenager on the planet' and working with the UK Government and Royal Family on their entrepreneurship programmes. Prior to starting Tahora, Ben was the Communications Director at GlaxoSmithKline (GSK).","linkedin":"https://www.linkedin.com/in/towersben/"}]</t>
  </si>
  <si>
    <t>TL;DR: Happl saves you time and money all whilst managing all of your people engagement and recognition initiatives. For leaders, we handle flexible benefits, allowances, insurance, and manager-to-employee gifting, all whilst ensuring you’re staying compliant. For employees, we use benefits as communities within your existing stack to engage, as well as understand them on a personal and inclusive level through interests and goals.</t>
  </si>
  <si>
    <t>Ben</t>
  </si>
  <si>
    <t>https://bookface-images.s3.amazonaws.com/small_logos/4c17a303b95defe0b51fc282067b942a4dbdaa25.png</t>
  </si>
  <si>
    <t>salvy.com.br</t>
  </si>
  <si>
    <t>artur@salvy.com.br</t>
  </si>
  <si>
    <t>Salvy</t>
  </si>
  <si>
    <t>Mobile carrier for businesses in Brazil</t>
  </si>
  <si>
    <t>Curitiba, Brazil</t>
  </si>
  <si>
    <t>[{"name":"Artur Negrão","title":"Founder","bio":"As Co-Founder and CEO of Salvy, I am dedicated to revolutionizing B2B telco in Brazil. My background includes extensive experience in product management and technology, as well as a strong foundation in investments, valuation, and finance.","linkedin":"https://linkedin.com/in/arturnegrao"},{"name":"Hudo Assenco","title":"Founder","bio":"I'm a software engineer at heart and currently leading as the co-founder and CTO of Salvy, a B2B mobile carrier in Brazil. My journey in tech previously took me through roles as a software engineer at Nubank and EBANX, the latter being known for its unicorn status in  Brazil","linkedin":"https://linkedin.com/in/hudo-assenco"},{"name":"Maria Eduarda Kumlehn","title":"Founder","bio":"I am a results-driven professional with a strong background in revenue operations, data analytics, and sales management. Currently serving as the Chief Revenue Officer (CRO) and Co-founder at Salvy, I am responsible for driving revenue growth and overseeing the company's strategic initiatives. \n\nI believe that Salvy has the potential to revolutionize a market that has remained stagnant for years and provides a poor experience for its customers.","linkedin":"https://www.linkedin.com/in/mariaeduardakumlehn/"},{"name":"Lucas Rosa","title":"Founder","bio":"Co-founder and CPO of Salvy, a B2B mobile carrier in Brazil. \nFormer Lead PM at EBANX (a Brazilian payments Unicorn) and former PM at the Brazilian Space Agency.","linkedin":"https://linkedin.com/in/lucas-rosa-3080b43b"}]</t>
  </si>
  <si>
    <t>Companies in Brazil are tangled in complex telecom contracts and lost in inefficiencies. It's a universal headache, especially for businesses scaling up. That's where we step in.</t>
  </si>
  <si>
    <t>Artur</t>
  </si>
  <si>
    <t>https://bookface-images.s3.amazonaws.com/small_logos/7b71e1e8adce18f87e8ef73ee6a188e9e025e033.png</t>
  </si>
  <si>
    <t>compup.io</t>
  </si>
  <si>
    <t>anurag@hiresure.ai</t>
  </si>
  <si>
    <t>CompUp</t>
  </si>
  <si>
    <t>Building a compensation graph to help companies optimise people spend</t>
  </si>
  <si>
    <t>[{"name":"Anurag Dixit","title":"Founder","bio":"Specializing in user research, I love building and scaling technology solutions for the problems I genuinely wish never existed. I'm passionate about using technology to enhance human capabilities and give them more firepower.\n\nI am currently building HireSure.ai which is a technology breakthrough in white-collar hiring. Stay tuned for more updates from HireSure because the journey has just started.\n\nI love speaking about hiring, candidate experience, hiring brand, and candidate engagement.","linkedin":"https://www.linkedin.com/in/anurag-dixit-131838a5/"},{"name":"Ramesh Konatham","title":"Founder","bio":"Engineering graduate from IITK with 15+ years of experience in IT sales &amp; delivery at IBM. Started as a programmer and quickly learnt the art of client delight and delivered  multi million dollar IT M&amp;A projects in US and APAC geos. Best way to deal with unsolved problems no one  solving is to solve yourself and that's the genesis of my entrepreneur journey at HireSure.ai","linkedin":"https://www.linkedin.com/in/ramesh-k-b6044b51/"},{"name":"Anshul Mishra","title":"Founder","bio":"Having learned product and technology while creating value out it, has been my journey so far. \n\nInto my second stint as a founder, I am very passionate about developing scalable products and making things that is loved by its users.","linkedin":"https://www.linkedin.com/in/anshul-mishra01/"}]</t>
  </si>
  <si>
    <t>Anurag</t>
  </si>
  <si>
    <t>https://bookface-images.s3.amazonaws.com/small_logos/418fe819ff51f7a93e3dfa5ef6d26990a3053c22.png</t>
  </si>
  <si>
    <t>cercli.com</t>
  </si>
  <si>
    <t>akeed@cercli.com</t>
  </si>
  <si>
    <t>Cercli</t>
  </si>
  <si>
    <t>Rippling for Middle East &amp;amp; North Africa</t>
  </si>
  <si>
    <t>[{"name":"Akeed Azmi","title":"Founder","bio":"Founder at Cercli, formerly Head of Growth, Expansion &amp; Operations at MENAs largest tech unicorns Kitopi &amp; Careem (acquired by Uber).","linkedin":"http://linkedin.com/in/akeedazmi"},{"name":"David Reche","title":"Founder","bio":"Founder at Cercli, former VP Product &amp; Engineering at Kingmakers (Draftkings for Middle East and Africa). Prior to this held product and engineering leadership roles at Careem (acquired by Uber in 2020).","linkedin":"https://www.linkedin.com/in/davidreche/"}]</t>
  </si>
  <si>
    <t>Hello, world! 👋 We are David and Akeed.</t>
  </si>
  <si>
    <t>Akeed</t>
  </si>
  <si>
    <t>https://bookface-images.s3.amazonaws.com/small_logos/abd74929259a8edfae6670bf2b3306e002e8064a.png</t>
  </si>
  <si>
    <t>driverai.com</t>
  </si>
  <si>
    <t>adam.tilton@driverai.com</t>
  </si>
  <si>
    <t>Driver AI</t>
  </si>
  <si>
    <t>Understand millions of lines of code in minutes.</t>
  </si>
  <si>
    <t>[{"name":"Adam Tilton","title":"Founder","bio":"Adam was the co-founder of Aktive, an embedded machine learning development platform that he sold to Nike in 2019, and Rithmio, which he sold to Bosch Sensortec in 2017 (part of the the BHI260AP). Adam did his B.S., M.S., and Ph.D. (abd) at the University of Illinois in Urbana Champaign in Mechanical Engineering, Computer Science, and Control and Estimation, respectively.","linkedin":"https://www.linkedin.com/in/adamktilton/"},{"name":"Daniel Hensley","title":"Founder","bio":"Daniel was co-founder and Head of Engineering at Infinity AI. Before that, he helped run the boutique software engineering firm Edge Analytics. In 2017, Daniel completed a PhD at UC Berkeley, developing methods for Magnetic Particle Imaging. He then led software engineering at Magnetic Insight, a startup he and others spun out of Berkeley to commercialize this technology.","linkedin":"https://linkedin.com/in/daniel-hensley"}]</t>
  </si>
  <si>
    <t>Driver AI is a tool that uses LLMs to help teams quickly understand their business-critical systems. We use a simple three-step process:</t>
  </si>
  <si>
    <t>Adam</t>
  </si>
  <si>
    <t>https://bookface-images.s3.amazonaws.com/small_logos/c6034119b98e2931dff82142dcd69ad4993b8c77.png</t>
  </si>
  <si>
    <t>280north.com</t>
  </si>
  <si>
    <t>280 North</t>
  </si>
  <si>
    <t>https://bookface-images.s3.amazonaws.com/small_logos/98ad9900ef7f6da311cde40df3e919b54084a4ba.png</t>
  </si>
  <si>
    <t>500friends.com</t>
  </si>
  <si>
    <t>500Friends</t>
  </si>
  <si>
    <t>the best loyalty and retention marketing partner for CMOs.</t>
  </si>
  <si>
    <t>[{"name":"Hong Hu","title":"Founder","bio":"Tinkering and building. \n\nPreviously: director of engineering and China site lead at Flexport, founder of 500Friends(YC10) acquired by Merkle.","linkedin":"https://www.linkedin.com/in/huhong/"},{"name":"Justin Yoshimura","title":"Founder","bio":"I am currently the Founder, Chairman, and CEO of CSC Generation Holdings ($1B run-rate, profitable, backed by Altos, Khosla, Conductive). Formerly 500friends (w2010), merged with Merkle (2014), eventual $2B exit (2016). \nInvestor in: Hipmunk, Next Force Technology, Gigster, Dave, Macro Ventures, Imperfect Produce, Firebase (GOOG), Zencoder (BCOV), Ownlocal (seed), BounceX (seed, co-lead Series A, pre-IPO), Mux, BigFinite, etc.","linkedin":"https://www.linkedin.com/in/yoshimuraj/"}]</t>
  </si>
  <si>
    <t>Hong</t>
  </si>
  <si>
    <t>ai.fashion</t>
  </si>
  <si>
    <t>AI.Fashion</t>
  </si>
  <si>
    <t>AI.Fashion is the AI creative suite for the fashion industry.</t>
  </si>
  <si>
    <t>Los Angeles, CA</t>
  </si>
  <si>
    <t>[{"name":"Daniel Citron","title":"Founder","bio":"Daniel is the CEO at AI.Fashion. He is also an award-winning filmmaker (Tribeca Film Festival, SFiFF, LAff) and creative technologist. Previously, Daniel spent time at Google (VR/AR), MIT (Artist in Residence 2019), and Harvard.","linkedin":"https://www.linkedin.com/in/dacitron/"},{"name":"John Chirikjian","title":"Founder","bio":"John is cofounder &amp; CTO at AI.Fashion and specializes in creative tools &amp; machines. John previously served as CTO at 3ayez (W18) and spent time at Yale and Microsoft.","linkedin":"https://www.linkedin.com/in/jchirik/"}]</t>
  </si>
  <si>
    <t>Daniel</t>
  </si>
  <si>
    <t>https://bookface-images.s3.amazonaws.com/small_logos/287995687a9786c7778f274e8e79316c0534ed44.png</t>
  </si>
  <si>
    <t>axdraft.com</t>
  </si>
  <si>
    <t>AXDRAFT</t>
  </si>
  <si>
    <t>AXDRAFT helps corporations draft, negotiate and approve documents 10x…</t>
  </si>
  <si>
    <t>Kyiv, Ukraine</t>
  </si>
  <si>
    <t>[{"name":"Oleg Zaremba","title":"Founder","bio":"2x YC alumni, 1 exit (AXDRAFT acquired by Onit Inc.).  \n\nLed the engineering, product and QA teams that built AXDRAFT. Post-acquisition led the cross-product integrations and AI initiatives (3 generative AI products and 1 ML product). \n\nAchieved and maintained security standard (SOC 2 Type 2) for AXDRAFT 3 years in a row including during war times in Ukraine.\n\nStarted AiSDR in 2023 with my brother Yuriy to automate sales prospecting with generative AI.","linkedin":"https://linkedin.com/in/oleg-zaremba-430b5761"},{"name":"Yuriy Zaremba","title":"Founder","bio":"2x YC alumni, 1 exit (AXDRAFT acquired by Onit Inc.).\n\nGrew AXDRAFT from $0 to $2M through founder-led sales, managed a $10M ARR business line for the acquiring company.\n\nSkilled crisis management: navigated company through war in Ukraine with uninterrupted business continuity and high ARR growth.\n\nStarted AiSDR in 2023 to automate sales prospecting with generative AI.","linkedin":"https://linkedin.com/in/yuriy-zaremba"}]</t>
  </si>
  <si>
    <t>Oleg</t>
  </si>
  <si>
    <t>https://bookface-images.s3.amazonaws.com/small_logos/95bd3baee270d1b082340a1d56709977638c161c.png</t>
  </si>
  <si>
    <t>athinkingape.com</t>
  </si>
  <si>
    <t>A Thinking Ape</t>
  </si>
  <si>
    <t>We build communities through massively multiplayer mobile games</t>
  </si>
  <si>
    <t>Vancouver, Canada</t>
  </si>
  <si>
    <t>[{"name":"Kenshi Arasaki","title":"/CEO","bio":"CEO &amp; Co-founder, A Thinking Ape (acquired by Embracer Group)","linkedin":"https://www.linkedin.com/in/kenshiarasaki/"},{"name":"Eric Diep","title":"Founder","bio":"https://ediep.ca","linkedin":"https://linkedin.com/in/dieperic"}]</t>
  </si>
  <si>
    <t>Kenshi</t>
  </si>
  <si>
    <t>https://bookface-images.s3.amazonaws.com/small_logos/26789e46d6456ae17e25d6e964c47f65717f0e92.png</t>
  </si>
  <si>
    <t>abacus.com</t>
  </si>
  <si>
    <t>Making expense reports obsolete</t>
  </si>
  <si>
    <t>[{"name":"Ted Power","title":"/CPO","bio":"Co-founder of Bend (S22), former co-founder of Abacus (W14), formerly Google, Venmo, Foursquare","linkedin":"https://www.linkedin.com/in/tedpower/"},{"name":"Joshua Halickman","title":"/CTO","bio":"","linkedin":"https://www.linkedin.com/in/jhalickman/"},{"name":"Omar Qari","title":"/CEO","bio":"","linkedin":"https://www.linkedin.com/in/oqari"}]</t>
  </si>
  <si>
    <t>Ted</t>
  </si>
  <si>
    <t>https://bookface-images.s3.amazonaws.com/small_logos/ea7226636e49fe4dde4372e69139e8b1c7429ecd.png</t>
  </si>
  <si>
    <t>abstra.io</t>
  </si>
  <si>
    <t>Abstra</t>
  </si>
  <si>
    <t>Python-based BPM</t>
  </si>
  <si>
    <t>Rio de Janeiro, Brazil</t>
  </si>
  <si>
    <t>[{"name":"Bruno Vieira Costa","title":"Founder","bio":"I'm Bruno, founder of Abstra. I'm a computer engineer and programmer since 7.\n\nPrevious Abstra, I co-founded an edtech called PaperX where I was CTO. I sold it during college to Descomplica (biggest edtech in Brazil) where I worked after as Product Manager and Tech Lead.\nAlso, I co-founded a Game Studio called Sinextra where I was Game Designer before college.\n\nI love all kind of creative activities, from making music, comics, games or software.","linkedin":"https://www.linkedin.com/in/brunovcosta/"}]</t>
  </si>
  <si>
    <t>Bruno</t>
  </si>
  <si>
    <t>https://bookface-images.s3.amazonaws.com/small_logos/7fbfc5106c32c35b1a0242652667b0ea1ceb47b8.png</t>
  </si>
  <si>
    <t>activeloop.ai</t>
  </si>
  <si>
    <t>Activeloop</t>
  </si>
  <si>
    <t>Database for AI</t>
  </si>
  <si>
    <t>Mountain View</t>
  </si>
  <si>
    <t>[{"name":"Davit Buniatyan","title":"Founder","bio":"Founding CEO Activeloop, PhD on leave from Princeton, AI/ML, Data and Infra, Y Combinator S18, UCL 16’ Working on Data 2.0","linkedin":"https://www.linkedin.com/in/davidbuniatyan"}]</t>
  </si>
  <si>
    <t>Davit</t>
  </si>
  <si>
    <t>https://bookface-images.s3.amazonaws.com/small_logos/c516ed5054847ecb1afb63f795f712b8d5c7f23d.png</t>
  </si>
  <si>
    <t>adenhq.com</t>
  </si>
  <si>
    <t>Aden</t>
  </si>
  <si>
    <t>Hire Aden to run your business operations at scale</t>
  </si>
  <si>
    <t>[{"name":"Vincent Jiang","title":"Founder","bio":"- Co-founder and CEO of Aden, an Operation Agent for teams to automate office tasks\n- 10 years+ of building data products and supporting data-driven organizations\n- Serial entrepreneur (1 unicorn, 2 acquired ) \n- Harvard, and UIUC engineering","linkedin":"https://www.linkedin.com/in/vincentjiangx/"},{"name":"Timothy Zhang","title":"Founder","bio":"Founding Engineer at Acho","linkedin":"https://www.linkedin.com/in/jianhao-zhang/"}]</t>
  </si>
  <si>
    <t>Vincent</t>
  </si>
  <si>
    <t>https://bookface-images.s3.amazonaws.com/small_logos/d64a8d4a7fd2ff08cd85f22f8bd8525fd1a2a965.png</t>
  </si>
  <si>
    <t>aerofs.com</t>
  </si>
  <si>
    <t>AeroFS</t>
  </si>
  <si>
    <t>Secure Enterprise Collaboration.</t>
  </si>
  <si>
    <t>Palo Alto</t>
  </si>
  <si>
    <t>[{"name":"Yuri Sagalov","title":"Founder","bio":"🙂","linkedin":"https://www.linkedin.com/in/yurisagalov/"},{"name":"Weihan Wang","title":"Founder","bio":"","linkedin":"https://linkedin.com/in/weihan"}]</t>
  </si>
  <si>
    <t>Yuri</t>
  </si>
  <si>
    <t>https://bookface-images.s3.amazonaws.com/small_logos/26b425639c740c8e014304e1ad6412f83c2d1dba.png</t>
  </si>
  <si>
    <t>agaveapi.com</t>
  </si>
  <si>
    <t>Agave</t>
  </si>
  <si>
    <t>Financial data infrastructure for Construction</t>
  </si>
  <si>
    <t>[{"name":"Tom Reno","title":"Co-founder","bio":"Tom is co-founder/CEO of Agave. Before Agave, Tom worked at Amazon, Barclays Investment Bank, and Graphiq (acq. by Amazon). He is a proud Delawarian.","linkedin":"https://www.linkedin.com/in/tomreno/"},{"name":"Pooria Azimi","title":"Founder","bio":"Pooria is the co-founder of Agave. Prior to Agave, Pooria was a core engineer behind Graphiq, a semantic search startup in Santa Barbara, CA, later acquired by Amazon to power Alexa. At Amazon, he helped scale Graphiq Search to dozens of languages and billions of queries per month. Originally from Iran, he has a master degree in Computer Science from Oregon State University.","linkedin":"https://www.linkedin.com/in/pooria-azimi/"},{"name":"Samantha Zhang","title":"Founder","bio":"Samantha Zhang is the co-founder of Agave. Prior to Agave, Samantha had been in charge of Amazon Alexa’s knowledge experiences on all multimodal devices and had designed data visualizations for leading publishers such as AP, Reuters, MSN, and Yahoo.","linkedin":"https://www.linkedin.com/in/samanthaz/"},{"name":"John Zucchi","title":"Founder","bio":"John is a co-founder of Agave. Before Agave, John was a Technical Program Manager at Amazon Alexa building an enterprise product from inception, Product Manager at Graphiq (acq. by Amazon), and Equity Capital Markets Analyst at Barclays Investment Bank. John graduated from Columbia, and was born and raised in Toronto 🇨🇦.","linkedin":"https://www.linkedin.com/in/johnzucchi/"}]</t>
  </si>
  <si>
    <t>Tom</t>
  </si>
  <si>
    <t>https://bookface-images.s3.amazonaws.com/small_logos/e9bc3a224a6ab03aa39009f5213c25815ae6a7d5.png</t>
  </si>
  <si>
    <t>agendapro.com</t>
  </si>
  <si>
    <t>AgendaPro</t>
  </si>
  <si>
    <t>Shopify for Beauty and Wellness businesses in Latam</t>
  </si>
  <si>
    <t>Santiago, Chile</t>
  </si>
  <si>
    <t>[{"name":"Julio Guzman","title":"Founder","bio":"Data and patterns lover","linkedin":"https://www.linkedin.com/in/julioagg/"},{"name":"Sebastian Hevia","title":"Founder","bio":"My name is Sebastián Hevia and I am Co-Founder and CTO at AgendaPro (YC W21). I am an accomplished coder and manager, building AgendaPro from scratch to leading multiple developers and I enjoy the most my responsibilities as Lead DevOps/Chief Architect. I mostly use Ruby on Rails, React, AWS and Kubernetes (EKS), and many other exciting technologies.\n\nI also enjoy very much to play bass and mix recordings for my hobby band, and family time.","linkedin":"https://www.linkedin.com/in/sebastian-hevia-ovalle/"},{"name":"Nicolás Rossi","title":"Founder","bio":"Co-founder and CPO of AgendaPro, working from Chile to help SMBs get better bookings and more sales.\n\nBefore founding AgendaPro I worked in an Insurance Company (Consorcio), buying positions in the electric and energy market.\n\nBeen related to software all my life and after college I went to Bangalore to Infosys's InStep program, where I develop a Blackberry app for Gas industry (feels ages today!!!). \n\nFather of 2 girls, frustrated guitarist and video gamer (I wish can say professional).","linkedin":"https://www.linkedin.com/in/nicolas-rossi-brotfeld/"},{"name":"Matias Ulloa","title":"Founder","bio":"Co-Founder and CRO at AgendaPro","linkedin":"https://www.linkedin.com/in/mat%C3%ADas-ulloa-11b21640/"}]</t>
  </si>
  <si>
    <t>Julio</t>
  </si>
  <si>
    <t>https://bookface-images.s3.amazonaws.com/small_logos/53ea4d51af442b2e772375c2d3b30d3170a36f20.png</t>
  </si>
  <si>
    <t>ahazou.com</t>
  </si>
  <si>
    <t>Ahazou</t>
  </si>
  <si>
    <t>Podium for local businesses in Latam</t>
  </si>
  <si>
    <t>São Paulo, Brazil</t>
  </si>
  <si>
    <t>[{"name":"Rui K Miadaira","title":"Founder","bio":"10+ years building local businesses in Brazil. 3X entrepreneur.\nEx strategy consultant at Booz&amp;co and business executive at C&amp;A and Itau.\nHarvard MBA and BSc Computer Science.","linkedin":"https://www.linkedin.com/in/ruikm/"}]</t>
  </si>
  <si>
    <t>Rui</t>
  </si>
  <si>
    <t>https://bookface-images.s3.amazonaws.com/small_logos/688b5c2786948f05b6cdae30e72d3113fea715bb.png</t>
  </si>
  <si>
    <t>airbyte.com</t>
  </si>
  <si>
    <t>Airbyte</t>
  </si>
  <si>
    <t>Open Data Movement Platform</t>
  </si>
  <si>
    <t>[{"name":"John Lafleur","title":"Founder","bio":"- Co-founder of Airbyte, the leading open-source data integration platform. \n- Serial entrepreneur (3 startups incl. 2 acquired and 1 failure),\n- 10+ years been developing strong teams building successful products\n- Big believer in people, data and telling a story.\n- Love building new products with the right GTM and messaging. But love even more building and growing teams that do so.\n- Write for SDTimes, TheNewStack, Linux.com, DevOps.com, Dzone, Product Coalition...","linkedin":"https://www.linkedin.com/in/jeanhenrilafleur/"},{"name":"Michel Tricot","title":"Co- &amp; CEO","bio":"Co-founder &amp; CEO of Airbyte.\n\nI’ve been working in data since 2007. In 2011 I join LiveRamp where I was Head of Integrations and Director of Engineering. My team built and scaled over 1,000 data ingestion and distribution connectors to replicate hundreds of TB of data every day. \n\nAfter LiveRamp’s acquisition and later IPO (NYSE:RAMP), I joined rideOS as Director of Engineering, again deep in data. There, I realized that all companies are trying to solve the same problem.\n\nAirbyte was born.","linkedin":"https://www.linkedin.com/in/micheltricot/"}]</t>
  </si>
  <si>
    <t>John</t>
  </si>
  <si>
    <t>https://bookface-images.s3.amazonaws.com/small_logos/fc4c9a8bb7a853c14be4dac967fb9717f36fca1c.png</t>
  </si>
  <si>
    <t>akiflow.com</t>
  </si>
  <si>
    <t>Akiflow</t>
  </si>
  <si>
    <t>All your tasks and calendars into one blazingly fast app</t>
  </si>
  <si>
    <t>Padua, Italy</t>
  </si>
  <si>
    <t>[{"name":"Nunzio Martinello","title":"&amp; CEO","bio":"I've been an entrepreneur since 2012, ran a Performance Marketing &amp; Software Dev. Company (#259, FT top 1000 for growth in Europe, 2020 - #29 in Italy for Statista) and co-founded different companies/startups into Affiliate Marketing / eSports / Food. Forbes under 30 Italy 2019.\nI'm Italian, living in Bangalore (India).","linkedin":"https://www.linkedin.com/in/nunziomartinello/"},{"name":"Sebastiano Favaro","title":"Founder","bio":"Founder and CTO of Akiflow. \n\nPreviously CTO in a Software Dev. Company &amp; Performance Marketing (#259, FT top 1000 for growth in Europe, 2020).","linkedin":"https://www.linkedin.com/in/sebastianofavaro/"}]</t>
  </si>
  <si>
    <t>Hello 👋</t>
  </si>
  <si>
    <t>Nunzio</t>
  </si>
  <si>
    <t>https://bookface-images.s3.amazonaws.com/small_logos/711701aab43e1cf32d5d6f30ef959de45cbc80c1.png</t>
  </si>
  <si>
    <t>alana.jobs</t>
  </si>
  <si>
    <t>Alana</t>
  </si>
  <si>
    <t>Staff management software for retail, manufacturing and hospitality</t>
  </si>
  <si>
    <t>Mexico City, Mexico</t>
  </si>
  <si>
    <t>https://bookface-images.s3.amazonaws.com/small_logos/5081dc0b5cc701ef9510fa5b027a59ab3401b472.png</t>
  </si>
  <si>
    <t>getaleph.com</t>
  </si>
  <si>
    <t>Aleph</t>
  </si>
  <si>
    <t>One source of truth for financial data.</t>
  </si>
  <si>
    <t>[{"name":"Albert Gozzi","title":"Founder","bio":"Co-Founder &amp; CEO @ Aleph","linkedin":"https://www.linkedin.com/in/albertgozzi/"},{"name":"Santiago Perez De Rosso","title":"Founder","bio":"Co-Founder &amp; CTO @ Aleph","linkedin":"https://www.linkedin.com/in/spderosso/"}]</t>
  </si>
  <si>
    <t>https://bookface-images.s3.amazonaws.com/small_logos/6a98a9ce4a798ccf7b09142ac820b92e9c1d5fee.png</t>
  </si>
  <si>
    <t>alephee.com</t>
  </si>
  <si>
    <t>Aleph Solutions (Alephee)</t>
  </si>
  <si>
    <t>We help automotive aftermarket brands to supply and sell parts online</t>
  </si>
  <si>
    <t>Buenos Aires, Argentina</t>
  </si>
  <si>
    <t>[{"name":"Gaston Zelerteins","title":"Founder","bio":"Gaston is a technology entrepreneur.\nIn 2005 co-founded Perception Group, a Microsoft Gold Partner to develop software solutions across LATAM.\nNow, he is building Aleph in partnership with Mercado Libre and Amazon, in charge of the commercial strategy, new businesses and the future of the company.\nGaston is married with Gabriela, is a proud father of three girls: Nina, Amelie and Ambar; and is always dreaming of changing the world making software to contribute to the evolution of societies.","linkedin":"https://www.linkedin.com/in/gzelerteins"},{"name":"Javier Neumann","title":"Founder","bio":"Javier is an Electronic engineer graduated w/honors at Buenos Aires University and an MBA at Saint Andrews University in Argentina.\nBefore founding Aleph, led the Microsoft Dynamics Division for Latin America and earlier was a regional sr executive at Accenture.\nHe is married w/Carolina and has 3 children (Agustina, Candela and Santiago). Loves sports and currently practices biking, swimming and golf.\nAt Aleph Javier leads strategic and finance planning and manages investors relationship.","linkedin":"https://www.linkedin.com/in/javierneumann/"},{"name":"Jonathan Saiegh","title":"Founder","bio":"Founder - COO &amp; CPO at AlephCRM E-commerce &amp; Software Lover\nInformation systems engineer with over 20 years experience in the software industry and e-commerce. Corporate market interacting with technologies areas and directors.\nMy main areas of expertise are: entrepreneurships, e-commerce, technologies business evaluation, projects investment, management, consulting for business technology strategies, product development, software engineering, sales specialist.","linkedin":"https://www.linkedin.com/in/jonathansaiegh/"}]</t>
  </si>
  <si>
    <t>Gaston</t>
  </si>
  <si>
    <t>https://bookface-images.s3.amazonaws.com/small_logos/0e96b6bc17ebf7096f2c359dc1c0c940169a54c3.png</t>
  </si>
  <si>
    <t>alima.la</t>
  </si>
  <si>
    <t>Alima</t>
  </si>
  <si>
    <t>Fresh procurement made easy</t>
  </si>
  <si>
    <t>[{"name":"Jorge Vizcayno","title":"Founder","bio":"Co-Founder &amp; CEO of Alima\nPrev: Head of Tech at ByPrice.com, +5 years developing software solutions, and leading data &amp; engineering teams.  Founded Tuibo, a smart garment for cyclists. Former Robotics Lecturer at UNAM, and RA in Deep RL at CLVR Lab, USC.","linkedin":"https://linkedin.com/in/jorgeviz"},{"name":"Blanca Espinosa","title":"Founder","bio":"I have +15 years experience working for big companies and startups (Coca Cola FEMSA, Amazon, Uber). Background on Growth, Mkt, BD and CX. My passion is to build high performing teams, beat targets and achieve great results together. MBA in Escuela Europea de Dirección y Empresa (Spain), founder of Equal at Uber (social class ERG) and I’m a mom since August 2021!","linkedin":"https://www.linkedin.com/in/blanca-espinosa-escorza-b2a56139/"}]</t>
  </si>
  <si>
    <t>Jorge</t>
  </si>
  <si>
    <t>https://bookface-images.s3.amazonaws.com/small_logos/8ecbbe0f22eaf0cdb09c9e525fe15a53c013d389.png</t>
  </si>
  <si>
    <t>allsome.com</t>
  </si>
  <si>
    <t>AllSome Fulfillment</t>
  </si>
  <si>
    <t>Fulfillment platform to build Southeast Asia e-commerce operations</t>
  </si>
  <si>
    <t>Shenzhen, China</t>
  </si>
  <si>
    <t>[{"name":"Ng Yi Ying","title":"Founder","bio":"Working on warehouse automation","linkedin":"http://www.linkedin.com/in/yi2ng2"},{"name":"LIU YI SHU","title":"Founder","bio":"","linkedin":"https://www.linkedin.com/in/yishu-liu-61357217a"}]</t>
  </si>
  <si>
    <t>Ng</t>
  </si>
  <si>
    <t>https://bookface-images.s3.amazonaws.com/small_logos/a245b251345898b1be8d12a5e6c8a1de81dc99d7.png</t>
  </si>
  <si>
    <t>140fire.com</t>
  </si>
  <si>
    <t>All Screen</t>
  </si>
  <si>
    <t>Connecting users with engaging video content across the web.…</t>
  </si>
  <si>
    <t>Santa Monica, CA</t>
  </si>
  <si>
    <t>runalloy.com</t>
  </si>
  <si>
    <t>Alloy Automation</t>
  </si>
  <si>
    <t>Alloy is a platform for building and managing SaaS integrations</t>
  </si>
  <si>
    <t>[{"name":"Sara Du","title":"Founder","bio":"YC W20","linkedin":"https://www.linkedin.com/in/saradu"},{"name":"Gregg Mojica","title":"Founder","bio":"Cofounder of Alloy Automation. https://twitter.com/greggmojica","linkedin":"https://www.linkedin.com/in/greggmojica/"}]</t>
  </si>
  <si>
    <t>Sara</t>
  </si>
  <si>
    <t>https://bookface-images.s3.amazonaws.com/small_logos/d611b19e76b1fd47ac709a3f9e194fac2e46bcaa.png</t>
  </si>
  <si>
    <t>alluresystems.com</t>
  </si>
  <si>
    <t>Allure Systems</t>
  </si>
  <si>
    <t>A.I. to create stunning fashion images for eCommerce.</t>
  </si>
  <si>
    <t>[{"name":"Gabrielle CHOU","title":"Founder","bio":"Information Technology executive - Serial entrepreneur in tech start-ups ( 3 exits)\nNASDAQ listed Asia-Pacific management\nSpecialities: Generative A.I., Computer vision , imagery, eCommerce &amp; retail fashion","linkedin":"https://www.linkedin.com/in/gabrielle-chou/"},{"name":"Jeremy CHAMOUX","title":"Founder","bio":"","linkedin":"https://www.linkedin.com/in/j%C3%A9r%C3%A9my-chamoux-2593a27/"}]</t>
  </si>
  <si>
    <t>Images and videos enable to sell items online that consumers cannot touch or try. Images that resonate with consumers boost conversion rates.The challenge is that Commerce companies cannot scale photography: traditional photography with photographers and models, and photo editing cost them 8 Billions $ a year.</t>
  </si>
  <si>
    <t>Gabrielle</t>
  </si>
  <si>
    <t>https://bookface-images.s3.amazonaws.com/small_logos/876f66dff22e97cba80fe969792f2c63dd568d79.png</t>
  </si>
  <si>
    <t>alokai.com</t>
  </si>
  <si>
    <t>Alokai</t>
  </si>
  <si>
    <t>Frontend Platform for eCommerce</t>
  </si>
  <si>
    <t>Warsaw, Poland</t>
  </si>
  <si>
    <t>[{"name":"Patrick Friday","title":"Founder","bio":"I have 10 years of experience in B2B Sales &amp; Marketing. Since 2012 I worked mainly with iOS/Android apps, starting at Vivino, and then other startups &amp; agencies in the eCommerce industry. As I was both on the product &amp; agency side I have a good understanding what it takes to build amazing products but also handle the development of it. After seeing great developments in Web and gap in the market for great eCommerce frontend framework I started Vue Storefront with my Co-Founder Filip in 2017.","linkedin":"https://www.linkedin.com/in/fridaypwa/"},{"name":"Filip Rakowski","title":"Founder","bio":"I started programming at 13 and worked with eCommerce stacks from the very beginning. Previously involved in Open Loyalty, SAP Spartacus. Heavily focused on the human side of development and its correlation to business values.","linkedin":"https://www.linkedin.com/in/filip-rakowski-a43671129/"},{"name":"Bart Roszkowski","title":"Founder","bio":"Boasting three successful exits in e-commerce, fintech, and B2B:\n\n🌐 Vue Storefront: Transformed a startup into a $100M+ valued leader.\n💼 mfind.pl: Made it Poland's 2nd largest insurance aggregator.\n🚀 Nexto: Innovated the CEE digital reading scene with Zinio.\n\nSkills:\n\nStrategic Vision: Expertise in business growth.\nTeam Leadership: Passion for inspiring teams.\nCapital Acumen: Secured $40M+ funding.","linkedin":"https://www.linkedin.com/in/roszkowski/"}]</t>
  </si>
  <si>
    <t>Patrick</t>
  </si>
  <si>
    <t>https://bookface-images.s3.amazonaws.com/small_logos/e146a068595154f54b5d7dc8ec6ed0fecd7005ee.png</t>
  </si>
  <si>
    <t>ambient.ai</t>
  </si>
  <si>
    <t>Ambient.ai</t>
  </si>
  <si>
    <t>AI company transforming enterprise physical security to prevent…</t>
  </si>
  <si>
    <t>San Jose, CA</t>
  </si>
  <si>
    <t>[{"name":"Vikesh Khanna","title":"Founder","bio":"I am passionate about AI and the transformative influence it'll have on our lives. I founded Ambient AI in 2017 to bring AI to enterprise physical security; with a mission to prevent security incidents. As the CTO and co-founder of Ambient, I am responsible for everything engineering, product and technology at the company. Before founding Ambient, I was building software at Dropbox and Microsoft.","linkedin":"https://www.linkedin.com/in/vikesh-khanna-27184722"},{"name":"Shikhar Shrestha","title":"/CEO","bio":"","linkedin":"https://www.linkedin.com/in/shikharshrestha"}]</t>
  </si>
  <si>
    <t>Vikesh</t>
  </si>
  <si>
    <t>https://bookface-images.s3.amazonaws.com/small_logos/624d0ce6f387431048bed692cfded210ffc7d139.png</t>
  </si>
  <si>
    <t>ambition.com</t>
  </si>
  <si>
    <t>Ambition</t>
  </si>
  <si>
    <t>Coaching and gamification software for sales teams.</t>
  </si>
  <si>
    <t>Chattanooga, TN</t>
  </si>
  <si>
    <t>https://bookface-images.s3.amazonaws.com/small_logos/7651fbde07f5ac811e98325179c3cd86d42041fc.png</t>
  </si>
  <si>
    <t>anasen.com</t>
  </si>
  <si>
    <t>Anasen</t>
  </si>
  <si>
    <t>Anasen is an app that makes data analysis easy and accessible to…</t>
  </si>
  <si>
    <t>https://bookface-images.s3.amazonaws.com/small_logos/b0d81b4192a51bc8d9cde2242ed434d6e025cd23.png</t>
  </si>
  <si>
    <t>animaapp.com</t>
  </si>
  <si>
    <t>Anima App</t>
  </si>
  <si>
    <t>AI-Powered Design to Code.</t>
  </si>
  <si>
    <t>https://bookface-images.s3.amazonaws.com/small_logos/5ac294c5898028a9f3fcb798baa22860c935493f.png</t>
  </si>
  <si>
    <t>anjuna.io</t>
  </si>
  <si>
    <t>Anjuna</t>
  </si>
  <si>
    <t>Anjuna enabled organizations to trust any infrastructure</t>
  </si>
  <si>
    <t>https://bookface-images.s3.amazonaws.com/small_logos/b5b0d847ce1f2270b7fa71e371516e2163c704ac.png</t>
  </si>
  <si>
    <t>apollo.io</t>
  </si>
  <si>
    <t>Apollo.io</t>
  </si>
  <si>
    <t>Apollo is the foundation of your entire go-to-market strategy.</t>
  </si>
  <si>
    <t>https://bookface-images.s3.amazonaws.com/small_logos/54eafa8eda34ea12e9105ff28b47a5c40492938a.png</t>
  </si>
  <si>
    <t>apportable.com</t>
  </si>
  <si>
    <t>Apportable</t>
  </si>
  <si>
    <t>iOS porting</t>
  </si>
  <si>
    <t>apptimize.com</t>
  </si>
  <si>
    <t>Apptimize</t>
  </si>
  <si>
    <t>Apptimize lets mobile teams innovate faster to create an amazing user…</t>
  </si>
  <si>
    <t>https://bookface-images.s3.amazonaws.com/small_logos/119667c7c238a5fe3c85b285cc57d325cf5f7957.png</t>
  </si>
  <si>
    <t>aptible.com</t>
  </si>
  <si>
    <t>Aptible</t>
  </si>
  <si>
    <t>The No Infrastructure Platform as a Service</t>
  </si>
  <si>
    <t>https://bookface-images.s3.amazonaws.com/small_logos/17547ff6e0fe5d75c99f92fdc3b9c13fa6712bd5.png</t>
  </si>
  <si>
    <t>aquariumlearning.com</t>
  </si>
  <si>
    <t>Aquarium Learning</t>
  </si>
  <si>
    <t>We help ML teams improve their models by improving their datasets</t>
  </si>
  <si>
    <t>[{"name":"Peter Gao","title":"Founder","bio":"Peter was an early employee (#18) at Cruise, where he built a large part of a self driving car from scratch. Before that, Peter did research on deep learning at UC Berkeley. Before that, he interned at Pinterest and Khan Academy, doing a mix of ML and web work. Now cofounder at Aquarium!","linkedin":"https://www.linkedin.com/in/pgaooo/"},{"name":"Quinn Johnson","title":"Founder","bio":"Quinn is an engineer/manager who picked a *fantastic* time to co-found a company making deep learning pipelines that improve themselves. Before that he was at Ouster (leading data engineering / data viz), Cruise Automation (leading ML data engineering + labeling), and Graphistry (1st engineering hire, so a bit of everything). Working on self-driving cars has given him an irrational hatred for trees and shrubbery.","linkedin":"https://www.linkedin.com/in/quinnhj/"}]</t>
  </si>
  <si>
    <t>https://bookface-images.s3.amazonaws.com/small_logos/a1aee7c2b8c6ada91b60405fb42ae026b6093676.png</t>
  </si>
  <si>
    <t>archbee.com</t>
  </si>
  <si>
    <t>Archbee</t>
  </si>
  <si>
    <t>Answer user and dev questions with documentation (using Generative AI)</t>
  </si>
  <si>
    <t>Bucharest, Romania</t>
  </si>
  <si>
    <t>[{"name":"Dragos Bulugean","title":"Founder","bio":"Software Craftsman","linkedin":"https://www.linkedin.com/in/dragos-bulugean/"}]</t>
  </si>
  <si>
    <t>Product &amp;amp; Engineering Teams at Adobe, Cisco, Bosch, Rackspace, and Lucas Film are using our software to power their docs portals — and here are some public portals examples:</t>
  </si>
  <si>
    <t>Dragos</t>
  </si>
  <si>
    <t>https://bookface-images.s3.amazonaws.com/small_logos/2cf36cda1250013ea4989cc2ddc2f8e08f26a04d.png</t>
  </si>
  <si>
    <t>arengu.com</t>
  </si>
  <si>
    <t>Arengu</t>
  </si>
  <si>
    <t>Build frictionless signup flows in minutes</t>
  </si>
  <si>
    <t>A Coruña, Spain</t>
  </si>
  <si>
    <t>[{"name":"Jacobo Vidal Abeigón","title":"Founder","bio":"Co-Founder of Arengu. I like to build things that build things.","linkedin":"https://www.linkedin.com/in/jacobovidal/"},{"name":"Pablo Castro Valiño","title":"Founder","bio":"Arengu co-founder, frontend geek and internet freedom activist at GPUL &amp; Trackula.","linkedin":"https://www.linkedin.com/in/pablocastrovalino/"},{"name":"Sergio Regueira","title":"Founder","bio":"Backend engineer. Passionate about technology and engineering. Amateur cyclist.","linkedin":"https://www.linkedin.com/in/sergioregueira/"}]</t>
  </si>
  <si>
    <t>Jacobo</t>
  </si>
  <si>
    <t>https://bookface-images.s3.amazonaws.com/small_logos/c7ba1ffbb38b5e4b2a1eb85f726fa882c6f53514.png</t>
  </si>
  <si>
    <t>arist.co</t>
  </si>
  <si>
    <t>Arist</t>
  </si>
  <si>
    <t>Deliver effective learning at scale</t>
  </si>
  <si>
    <t>[{"name":"Michael Ioffe","title":"Founder","bio":"Michael is the founder of Arist, the first text message learning platform. Before Arist, Michael founded TILE.org, an entrepreneurship education nonprofit with over 450 locations in 50+ countries. Most recently, Michael was a Weissman Scholar at Babson College.","linkedin":"https://www.linkedin.com/in/michaelaioffe/"},{"name":"Ryan Laverty","title":"Founder","bio":"Ryan Laverty is the founder of Arist. Prior to Arist, Ryan ran a public speaking coaching and training company, helping over 200 managers and executives develop strong presentation skills.","linkedin":"https://www.linkedin.com/in/ryan-laverty/"}]</t>
  </si>
  <si>
    <t>Michael</t>
  </si>
  <si>
    <t>https://bookface-images.s3.amazonaws.com/small_logos/f43a2bc736726658aa01f7d31a95c21a6c0acefd.png</t>
  </si>
  <si>
    <t>arketa.com</t>
  </si>
  <si>
    <t>Arketa</t>
  </si>
  <si>
    <t>Everything for your fitness or wellness business.</t>
  </si>
  <si>
    <t>[{"name":"Rachel Lea Fishman","title":"Founder","bio":"UCLA grad, yoga instructor, love yoga + group fitness classes (for now the Peloton will do), hiking, and being outdoors. Plant-based with the undeniable exception for sushi.\n\nIf I could eat and drink nothing but coffee, chocolate, avocados, hummus and sushi for the rest of my life, things would still be great!","linkedin":"https://www.linkedin.com/in/rachelleafishman/"},{"name":"Josh Archer","title":"Founder","bio":"Kentucky born and raised by a SoCal family. I had to move to the west coast as it was a better fit for my personality. Things move much more slowly in Kentucky...\n\nOutside of the office, you'll find me working out in some fashion, whether that's road cycling, ocean swimming, trail running, or hiking -- I'm always moving. After all, I'm an Ironman 💪\n2x Ironman (1x World Champs)","linkedin":"https://www.linkedin.com/in/joshuarcher/"}]</t>
  </si>
  <si>
    <t>Rachel</t>
  </si>
  <si>
    <t>https://bookface-images.s3.amazonaws.com/small_logos/094fed16cd3ee4ccf1b1e4019332a813d1993a7f.png</t>
  </si>
  <si>
    <t>armilla.ai</t>
  </si>
  <si>
    <t>Armilla AI</t>
  </si>
  <si>
    <t>AI/LLM Assessment &amp;amp; Warranty Solutions</t>
  </si>
  <si>
    <t>[{"name":"Dan Adamson","title":"Founder","bio":"Dan Adamson is the CEO of AutoAlign and was a Co-Founder of Armilla.AI.   He also co-founded PointChain Technologies and previously served as OutsideIQ’s Founder and CEO until its acquisition in 2017 by Exiger, where he developed and validated AI for financial institutions and regulators globally.  He also served as Chief Architect at Medstory, an AI vertical search start-up acquired by Microsoft.  He has several search algorithm and AI patents and holds an MS degree from U.C. Berkeley.","linkedin":"https://www.linkedin.com/in/danadamson/"},{"name":"Karthik Ramakrishnan","title":"Founder","bio":"Karthik is the President and Chief Business Officer for Armilla AI. He previously led go-to-market teams at Element AI as VP. He led the AI  solutions and strategy for financial institutions and regulators globally. Previously he co-founded Blu Trumpet (CTO) and Gallop Labs (CEO). At Deloitte, he helped set up the global product factory and AI offerings. He has authored and published one of the widely cited whitepapers on Fairness evaluation of AI models and AI Enterprise strategy.","linkedin":"https://www.linkedin.com/in/karthikramki/"}]</t>
  </si>
  <si>
    <t>Dan</t>
  </si>
  <si>
    <t>https://bookface-images.s3.amazonaws.com/small_logos/a0397658ae6c0ba5a9499d3b6844bdb898f09c38.png</t>
  </si>
  <si>
    <t>armory.io</t>
  </si>
  <si>
    <t>Armory</t>
  </si>
  <si>
    <t>Continuous Deployment at any scale, for all developers.</t>
  </si>
  <si>
    <t>San Mateo, CA</t>
  </si>
  <si>
    <t>[{"name":"Isaac Mosquera","title":"/CTO","bio":"My experience has been focused on building startups from the ground up, where I have served as CTO, with 4 successful exits/acquisitions. In my past I've enjoyed building software products across multiple domains (e.g., adtech, big data, mobile, social, DevOps tooling) that bring joy to the people who use them. Although my title has mostly been CTO, I am passionate about product development, organizational psychology, and a penchant for gummy bears.","linkedin":"https://www.linkedin.com/in/isaacmosquera"},{"name":"Ben Mappen","title":"/CPO","bio":"","linkedin":"https://www.linkedin.com/in/bmappen"}]</t>
  </si>
  <si>
    <t>Isaac</t>
  </si>
  <si>
    <t>https://bookface-images.s3.amazonaws.com/small_logos/a277dff0e01ae8e2d167bb45110ee91451328cae.png</t>
  </si>
  <si>
    <t>ascen.com</t>
  </si>
  <si>
    <t>Ascen</t>
  </si>
  <si>
    <t>EOR for the staffing industry</t>
  </si>
  <si>
    <t>[{"name":"Francis Larson","title":"Founder","bio":"Founder of Ascen, an EOR for the staffing industry","linkedin":"https://www.linkedin.com/in/francislarson/"}]</t>
  </si>
  <si>
    <t>Francis</t>
  </si>
  <si>
    <t>https://bookface-images.s3.amazonaws.com/small_logos/b0353e108ae308c49b23a266bca88c2a6888d05e.png</t>
  </si>
  <si>
    <t>askdata.com</t>
  </si>
  <si>
    <t>Askdata</t>
  </si>
  <si>
    <t>Frictionless Data</t>
  </si>
  <si>
    <t>https://bookface-images.s3.amazonaws.com/small_logos/c26caaf0db429752af5070f2f77e3958c651c707.png</t>
  </si>
  <si>
    <t>asm.co</t>
  </si>
  <si>
    <t>Assembly</t>
  </si>
  <si>
    <t>Advanced manufacturing and distribution solutions (for China-based…</t>
  </si>
  <si>
    <t>[{"name":"Jonathan Friedman","title":"/CEO","bio":"Ph.D. in electrical engineering with a background in biomedical and industrial systems engineering. 2x YC Founder. Lives part time in China. Happy to help with supply chain, manufacturing, distribution, or design problems. If you move/sell physical products, I can probably find you more margin or more market share. Free consults for founders. Don't be afraid to ask. We'll learn new things together! Cheers.","linkedin":"https://linkedin.com/in/friedparts"}]</t>
  </si>
  <si>
    <t>Jonathan</t>
  </si>
  <si>
    <t>https://bookface-images.s3.amazonaws.com/small_logos/6ccab13d3e0d1ffa05b2e8a687246cac34ef55b8.png</t>
  </si>
  <si>
    <t>assemblyai.com</t>
  </si>
  <si>
    <t>AssemblyAI</t>
  </si>
  <si>
    <t>APIs for AI models</t>
  </si>
  <si>
    <t>https://bookface-images.s3.amazonaws.com/small_logos/10887edbd9771d54d34bdf7780c6f3cda92e7366.png</t>
  </si>
  <si>
    <t>atla-ai.com</t>
  </si>
  <si>
    <t>Atla</t>
  </si>
  <si>
    <t>We train frontier models to evaluate generative AI</t>
  </si>
  <si>
    <t>[{"name":"Maurice Burger","title":"Founder","bio":"Co-founder &amp; CEO of Atla (S23). Startup veteran @ Syrup, Trim, and Merantix. Masters in CS @ University of Pennsylvania. Half an MBA @ Harvard Business School.","linkedin":"https://linkedin.com/in/maurice-burger-13a2b24a"},{"name":"Roman Engeler","title":"Founder","bio":"Co-founder &amp; CTO of atla (S23). AI safety researcher @ MATS. MSc. Robotics @ ETH, Stanford, Imperial.","linkedin":"https://linkedin.com/in/roman-engeler-54416212b"}]</t>
  </si>
  <si>
    <t>Maurice</t>
  </si>
  <si>
    <t>https://bookface-images.s3.amazonaws.com/small_logos/f7e8e61ea6d3f763043392069ac87464fc6db2af.png</t>
  </si>
  <si>
    <t>atlas.so</t>
  </si>
  <si>
    <t>Atlas</t>
  </si>
  <si>
    <t>Modern customer support platform replacement for Intercom and Zendesk</t>
  </si>
  <si>
    <t>[{"name":"Jon O'Bryan","title":"Founder","bio":"Serial entrepreneur, recovering physicist, nature lover, and family man","linkedin":"https://www.linkedin.com/in/jon-obryan/"},{"name":"Rahul Asati","title":"Founder","bio":"CTO at Atlas","linkedin":"https://www.linkedin.com/in/rahul-asati/"}]</t>
  </si>
  <si>
    <t>Jon</t>
  </si>
  <si>
    <t>https://bookface-images.s3.amazonaws.com/small_logos/b037e35a133963bb97d49605d21978ac44ac4f83.png</t>
  </si>
  <si>
    <t>atomicvest.com</t>
  </si>
  <si>
    <t>Atomic</t>
  </si>
  <si>
    <t>API that lets companies embed investment accounts into their services</t>
  </si>
  <si>
    <t>[{"name":"David Dindi","title":"Founder","bio":"David (CEO) earned his BSc. and MSc. from Stanford University in a combination of Chemical Engineering and Computer Science (AI focus). He served as a Quantitative Analyst at Makena Capital, a global investment firm managing approximately $19 billion for endowment and taxable investors, and as Quant at Evidence Based Portfolio Management, one of the DACH region’s leading family offices. David is very passionate about making best-in-class wealth management accessible to every single human being.","linkedin":"https://www.linkedin.com/in/david-dindi-2a532a48"}]</t>
  </si>
  <si>
    <t>David</t>
  </si>
  <si>
    <t>https://bookface-images.s3.amazonaws.com/small_logos/1bc20422fbdc3ca0c042b7c1e1ec6ecdab198bf2.png</t>
  </si>
  <si>
    <t>auravision.ai</t>
  </si>
  <si>
    <t>Aura Vision</t>
  </si>
  <si>
    <t>Visitor analytics for physical retail stores using existing security…</t>
  </si>
  <si>
    <t>https://bookface-images.s3.amazonaws.com/small_logos/06dd0022a30071b010e7c41ab3e012079397a6d2.png</t>
  </si>
  <si>
    <t>authologic.com</t>
  </si>
  <si>
    <t>Authologic</t>
  </si>
  <si>
    <t>Stripe for online identity verification</t>
  </si>
  <si>
    <t>[{"name":"Jarek Sygitowicz","title":"Founder","bio":"Previously co-founder of ZenCard, acquired by the largest bank in Central Eastern Europe.\nCurrently co-founder of Authologic responsible for client relations, design, and UX.","linkedin":"https://www.linkedin.com/in/sygitowicz/"},{"name":"Krzysztof Klimczak","title":"Founder","bio":"2020-now - Co-founder and CEO of Authologic - the stripe for online identity verification.\n2013-2020 - Co-founder and CEO of ZenCard - Polish deep fin-tech startup that was sold in 2017 to the biggest Polish bank.\n2006-2013 - COO, Board Member, of the Toyota Financial Services in Poland. Responsible for IT &amp; Operation including AML.\n1995-2006 - IT Specialist, Head of IT Exploitation, Deputy CIO at Societe Generale in Poland. Member of the world wide skill team of Societe Generale.","linkedin":"https://www.linkedin.com/in/krzysztofklimczak/"},{"name":"Marek Rogoziński","title":"Founder","bio":"Co-founder and CTO of Authologic - Stripe for online identity verification.\nPreviously co-founder of ZenCard, whitch lets you use your regular payment card as  loyalty program identifier.","linkedin":"https://www.linkedin.com/in/marek-rogozinski/"}]</t>
  </si>
  <si>
    <t>Jarek</t>
  </si>
  <si>
    <t>https://bookface-images.s3.amazonaws.com/small_logos/c3450b6c428a44cabbdb63fad99fdd8860317192.png</t>
  </si>
  <si>
    <t>Avametric.com</t>
  </si>
  <si>
    <t>Avametric</t>
  </si>
  <si>
    <t>Simulate clothes on your body.</t>
  </si>
  <si>
    <t>avo.app</t>
  </si>
  <si>
    <t>Avo</t>
  </si>
  <si>
    <t>Fixing data quality in product analytics.</t>
  </si>
  <si>
    <t>[{"name":"Stefania Olafsdottir","title":"/CEO","bio":"Mathematician &amp; philosopher. Deep passion for understanding people and things. Always choose the adventure. Make stuff happen. One day be able to do a pull-up. Drink coffee. Eat ice cream.\n\nFind me in San Francisco, Iceland, and as @stefaniabje on the internets.","linkedin":"https://www.linkedin.com/in/stefaniabjarneyolafsdottir"},{"name":"Solvi Logason","title":"Founder","bio":"","linkedin":"https://www.linkedin.com/in/solviloga/"}]</t>
  </si>
  <si>
    <t>Stefania</t>
  </si>
  <si>
    <t>https://bookface-images.s3.amazonaws.com/small_logos/5526613fca6b383058911964c9d9ef09fa74da82.png</t>
  </si>
  <si>
    <t>awtomic.com</t>
  </si>
  <si>
    <t>Awtomic</t>
  </si>
  <si>
    <t>Dollar Shave Club as a platform.</t>
  </si>
  <si>
    <t>Seattle, WA</t>
  </si>
  <si>
    <t>[{"name":"Emily Yuhas","title":"Founder","bio":"As.a Product leader, I've worked on a breadth of problems, including building a cross-platform Checkout flow for Eventbrite, automating tour scheduling for Redfin and launching Xbox One. Bundle originated from a desire to help my sister, who founded a DTC beauty brand and was frustrated by the many limitations of her subscription app.","linkedin":"https://www.linkedin.com/in/emily-yuhas/"}]</t>
  </si>
  <si>
    <t>Emily</t>
  </si>
  <si>
    <t>https://bookface-images.s3.amazonaws.com/small_logos/2bae4bd6ee8dcd16e267e73f25b688391d0e7848.png</t>
  </si>
  <si>
    <t>axis.xyz</t>
  </si>
  <si>
    <t>Axis</t>
  </si>
  <si>
    <t>Knowledge base for corporate affairs teams</t>
  </si>
  <si>
    <t>[{"name":"Mishaal Al Gergawi","title":"Founder","bio":"I grew up in Dubai and was there most of my life till moving to New York in 2018. I studied finance and worked in investment banking. I became a writer in 2008 and in 2011 built Delma, a risk consultancy.","linkedin":"https://www.linkedin.com/in/mishaal-al-gergawi/"}]</t>
  </si>
  <si>
    <t>Mishaal</t>
  </si>
  <si>
    <t>https://bookface-images.s3.amazonaws.com/small_logos/f3e7a7c395e202f91209c183250f4e6d0835ea29.png</t>
  </si>
  <si>
    <t>axross.co</t>
  </si>
  <si>
    <t>Axross Pte Ltd</t>
  </si>
  <si>
    <t>AI-driven HVAC control system for improved energy performance</t>
  </si>
  <si>
    <t>[{"name":"Yih Lin Teh","title":"Founder","bio":"Lin is passionate about bringing technology solutions to underserved communities in emerging markets, like Indonesia. She implemented projects from enabling online financial access for MSMEs, to bringing solar technology into rural households. Her background is in econometrics and data analytics. As a Consultant at Dalberg, she advised large corporates, like Asian Development Bank, Coca-Cola and GSMA. She holds an MBA degree from MIT Sloan School of Management.","linkedin":"https://www.linkedin.com/in/yih-lin-teh/"},{"name":"David Chew","title":"Founder","bio":"Consultant-turned-entrepreneur. First Class Aeronautics grad. Excited about using tech to solve complex problems for the underserved in emerging markets.","linkedin":"https://www.linkedin.com/in/david-chew-ab5a5336/"}]</t>
  </si>
  <si>
    <t>Yih</t>
  </si>
  <si>
    <t>https://bookface-images.s3.amazonaws.com/small_logos/a54413dcb3bda96eb7f8d5f729b2f2827a3dd276.png</t>
  </si>
  <si>
    <t>bik.ai</t>
  </si>
  <si>
    <t>BIK</t>
  </si>
  <si>
    <t>One stop platform for Marketers to drive acquisitions, retention &amp;amp;…</t>
  </si>
  <si>
    <t>[{"name":"Sonakshi Nathani","title":"Founder","bio":"Customer is King &amp; Heart for Design.","linkedin":"https://www.linkedin.com/in/sonakshi-nathani-473abb41/"},{"name":"ASHUTOSH SINGLA","title":"Founder","bio":"Passionate about programming and solving problems with the use of technology.","linkedin":"https://www.linkedin.com/in/ashu1461/"}]</t>
  </si>
  <si>
    <t>TL;DR eCommerce Brands, instead of getting their visitors to their static storefronts, can now how have a dedicated landing page with an AI shopping experience— trained on their eCommerce store + Sales data.</t>
  </si>
  <si>
    <t>Sonakshi</t>
  </si>
  <si>
    <t>https://bookface-images.s3.amazonaws.com/small_logos/1ebdc405c3ca51343a4618334a44bd440fb598ca.png</t>
  </si>
  <si>
    <t>backerkit.com</t>
  </si>
  <si>
    <t>BackerKit</t>
  </si>
  <si>
    <t>BackerKit is crowdfunding software that helps project creators manage…</t>
  </si>
  <si>
    <t>[{"name":"Maxwell Salzberg","title":"Founder","bio":"co Founder BackerKit","linkedin":"https://www.linkedin.com/in/maxwell-salzberg/"},{"name":"Rosanna Yau","title":"Founder","bio":"","linkedin":"https://www.linkedin.com/in/rosannayau/"}]</t>
  </si>
  <si>
    <t>Maxwell</t>
  </si>
  <si>
    <t>https://bookface-images.s3.amazonaws.com/small_logos/33cb40e549d11d79115d9348d168fc4baf5d5331.png</t>
  </si>
  <si>
    <t>bego.ai</t>
  </si>
  <si>
    <t>BeGo</t>
  </si>
  <si>
    <t>BeGo Connects cargo shippers with truck suppliers in Mexico and US</t>
  </si>
  <si>
    <t>https://bookface-images.s3.amazonaws.com/small_logos/41774322b4a2953269f06a425e25469f1a097d69.png</t>
  </si>
  <si>
    <t>getbenepass.com</t>
  </si>
  <si>
    <t>Benepass</t>
  </si>
  <si>
    <t>Fintech for corporate compensation</t>
  </si>
  <si>
    <t>[{"name":"Jaclyn Chen","title":"Founder","bio":"Co-founder / CEO at Benepass. Former investment banking / private equity investor focused on financial services. Stanford GSB grad.","linkedin":"https://www.linkedin.com/in/jaclynchen/"},{"name":"Mark Fischer","title":"Founder","bio":"","linkedin":"www.linkedin.com/in/mfischer-f7"},{"name":"Kabir Soorya","title":"Founder","bio":"","linkedin":"https://www.linkedin.com/in/kabir-soorya/"}]</t>
  </si>
  <si>
    <t>Jaclyn</t>
  </si>
  <si>
    <t>https://bookface-images.s3.amazonaws.com/small_logos/8bbc8c4c109a4e7f7a7911309aa1f0821059a311.png</t>
  </si>
  <si>
    <t>berbix.com</t>
  </si>
  <si>
    <t>Berbix</t>
  </si>
  <si>
    <t>Convert more verified users. Instantly &amp;amp; accurately validate user IDs.</t>
  </si>
  <si>
    <t>[{"name":"Eric Levine","title":"Founder","bio":"Founder of Berbix (S18), acquired in 2023 by Socure. Previously engineering at Airbnb and Google.","linkedin":"https://www.linkedin.com/in/levineericj/"},{"name":"Steve Kirkham","title":"Founder","bio":"","linkedin":"https://linkedin.com/in/skirkham/"}]</t>
  </si>
  <si>
    <t>Eric</t>
  </si>
  <si>
    <t>https://bookface-images.s3.amazonaws.com/small_logos/338d0bd017de21261fbe5bf2009d4e4e4a4b1ff3.png</t>
  </si>
  <si>
    <t>bicycleai.com</t>
  </si>
  <si>
    <t>Bicycle AI</t>
  </si>
  <si>
    <t>Bicycle AI provides customer support as a service. We work on top of…</t>
  </si>
  <si>
    <t>bikry.com</t>
  </si>
  <si>
    <t>Bikry</t>
  </si>
  <si>
    <t>Bikry: Helping SMB&amp;#39;s in India go online</t>
  </si>
  <si>
    <t>Noida, India</t>
  </si>
  <si>
    <t>[{"name":"Abhishek Bhayana","title":"Founder","bio":"Working in the local commerce domain in India at the intersection of e-commerce, SMB's, fin-tech and productivity tools","linkedin":"https://www.linkedin.com/in/abhayana"},{"name":"Himanshu Garg","title":"Founder","bio":"","linkedin":"https://www.linkedin.com/in/garghimanshu/"}]</t>
  </si>
  <si>
    <t>Abhishek</t>
  </si>
  <si>
    <t>https://bookface-images.s3.amazonaws.com/small_logos/478c23ca9c518001d0a97d6c25d98f090893a2eb.png</t>
  </si>
  <si>
    <t>biteninja.com</t>
  </si>
  <si>
    <t>Bite Ninja</t>
  </si>
  <si>
    <t>Remote labor for restaurants</t>
  </si>
  <si>
    <t>Memphis, TN</t>
  </si>
  <si>
    <t>[{"name":"William Clem","title":"Founder","bio":"Will’s family have been in the restaurant business for three generations.  Bite Ninja was built and developed in his Baby Jack's restaurant chain.  Will was a scientific co-founder and the “Memphis” of Memphis Meats (Upside). He brings a unique combination of vision, scientific method, and tech knowledge to the team at Bite Ninja.","linkedin":"https://www.linkedin.com/in/willclem/"}]</t>
  </si>
  <si>
    <t>William</t>
  </si>
  <si>
    <t>https://bookface-images.s3.amazonaws.com/small_logos/659f1a3a0883d433bcf27880b43e945ecb4b431a.png</t>
  </si>
  <si>
    <t>bitnami.com</t>
  </si>
  <si>
    <t>Bitnami</t>
  </si>
  <si>
    <t>The App Store for Server Software</t>
  </si>
  <si>
    <t>[{"name":"Daniel Lopez","title":"/CEO","bio":"","linkedin":"https://www.linkedin.com/in/ridruejo/"},{"name":"Erica Brescia","title":"Founder","bio":"Managing Director at Redpoint Ventures, investing in devops, infrastructure, security and open source companies in particular. Typically lead Series As, but also do some concentrated seed investing as well as Series Bs. \n\nPreviously, COO at GitHub. Director on the board of the Linux Foundation. Investor at X Factor Ventures (seed fund that invests in female founders), Co-Founder at Bitnami (YC W13), acquired by VMware.","linkedin":"https://www.linkedin.com/in/ebrescia/"}]</t>
  </si>
  <si>
    <t>bland.com</t>
  </si>
  <si>
    <t>Bland AI</t>
  </si>
  <si>
    <t>The enterprise platform for AI phone calls</t>
  </si>
  <si>
    <t>[{"name":"Isaiah Granet","title":"Founder","bio":"building things that talk back. \n\nno more waiting on hold, no more phone trees. \n\nthe future is bland.","linkedin":"https://linkedin.com/in/isaiah-n-granet"},{"name":"Sobhan Nejad","title":"Founder","bio":"Co-founder of Bland AI. Building the enterprise platform for AI phone calling.","linkedin":"https://linkedin.com/in/sobhan-nejad-796129133"}]</t>
  </si>
  <si>
    <t>More than half of the population prefers talking on the phone with businesses instead of email and chat. The average cost per call for US-based companies is somewhere between $3.00 and $5.00. Enterprises need call centers– but they are impractical to run and difficult to affordably staff.</t>
  </si>
  <si>
    <t>Isaiah</t>
  </si>
  <si>
    <t>https://bookface-images.s3.amazonaws.com/small_logos/935bd117ce732a814003c0b9a415599b256ea22d.png</t>
  </si>
  <si>
    <t>withblaze.app</t>
  </si>
  <si>
    <t>Blaze</t>
  </si>
  <si>
    <t>Marketing automation for the modern world</t>
  </si>
  <si>
    <t>[{"name":"Lauren Rothwell","title":"Founder","bio":"Lauren is the co-founder and CEO of Blaze. Lauren grew up in Ireland, and started her career on the trading floor of Goldman Sachs in London. Fascinated by the fintech revolution she was witnessing, she moved to Silicon Valley to get closer to where all the magic happened. She worked in product at several start ups before launching Blaze. Lauren has an MBA from Stanford Graduate School of Business and a degree in Economics and Statistics from Trinity College Dublin.","linkedin":"https://www.linkedin.com/in/lauren-rothwell-8403b052/"},{"name":"Chirag Mahapatra","title":"Founder","bio":"Chirag is a co-founder and CTO of Blaze. Previously, he was an Engineering Manager at Facebook in the Growth org working on problems in privacy, infrastructure and data. Prior to this, he was led the Membership and Authentication Infra teams at Airbnb. He also had stints in the Identity and Risk teams while there solving problems in ML. He joined Airbnb as part of an acquisition of a ML startup, Trooly. Chirag has a graduate degree from UC Berkeley and undergraduate degree from NITK.","linkedin":"https://www.linkedin.com/in/chiragmahapatra/"}]</t>
  </si>
  <si>
    <t>Hey everyone! 👋 Today we are thrilled to announce a number of huge updates to Blaze, including AI personalization, DM Sequences across Twitter and LinkedIn, and AI Replies from our unified inbox.</t>
  </si>
  <si>
    <t>Lauren</t>
  </si>
  <si>
    <t>https://bookface-images.s3.amazonaws.com/small_logos/dc25fe4380bf11b306b2a0f91fc2fbedfdf75998.png</t>
  </si>
  <si>
    <t>bluecargo.io</t>
  </si>
  <si>
    <t>BlueCargo</t>
  </si>
  <si>
    <t>BlueCargo builds software for trucking companies to optimize their…</t>
  </si>
  <si>
    <t>[{"name":"Alexandra Griffon","title":"Founder","bio":"After graduating from ESSEC Business School and UC Berkeley, Alexandra started to work as a merger and acquisitions analyst (Lazard, Paris) and in the retail industry as a sales &amp; stock analyst (Guerlain, NYC). She then followed her entrepreneurial spirit to take the plunge and co-founded BlueCargo - aiming at disrupting an industry that fuel our global economy.","linkedin":"https://www.linkedin.com/in/alexandra-griffon-a6416b8b/"},{"name":"Laura Theveniau","title":"Founder","bio":"","linkedin":"https://www.linkedin.com/in/laura-theveniau-baa878b5/"}]</t>
  </si>
  <si>
    <t>Alexandra</t>
  </si>
  <si>
    <t>https://bookface-images.s3.amazonaws.com/small_logos/96b73225a7fdc8841c526bb16e3bc4cb32073599.png</t>
  </si>
  <si>
    <t>blueonionlabs.com</t>
  </si>
  <si>
    <t>Blue Onion Labs</t>
  </si>
  <si>
    <t>Single source of truth for a company&amp;#39;s financial data</t>
  </si>
  <si>
    <t>[{"name":"Lyndsey Bunting","title":"Founder","bio":"Co-founder of Blue Onion Labs. Previously VP of Finance at Birchbox and CFO at Resonance Companies. Former Peace Corps Volunteer.","linkedin":"https://www.linkedin.com/in/lyndseybunting/"},{"name":"Manav Malhotra","title":"Founder","bio":"Co-Founder of Blue Onion Labs.","linkedin":"https://www.linkedin.com/in/manav-m/"},{"name":"Charles McMillan","title":"Founder","bio":"Co-Founder of Blue Onion Labs. An early engineering hire at VTS through to its 1B valuation. Previously an engineer at Spotify working on the podcaster mission","linkedin":"https://www.linkedin.com/in/charles-m-23674222/"}]</t>
  </si>
  <si>
    <t>Lyndsey</t>
  </si>
  <si>
    <t>https://bookface-images.s3.amazonaws.com/small_logos/9c69787e1912b6cf8d4d0231d384d65fe8c2568e.png</t>
  </si>
  <si>
    <t>bluecrewjobs.com</t>
  </si>
  <si>
    <t>Bluecrew</t>
  </si>
  <si>
    <t>Bluecrew is a web based staffing agency.</t>
  </si>
  <si>
    <t>Chicago, IL</t>
  </si>
  <si>
    <t>https://bookface-images.s3.amazonaws.com/small_logos/6fd831042784faacd5778896293973dbf1f4b6db.png</t>
  </si>
  <si>
    <t>GoBonfire.com</t>
  </si>
  <si>
    <t>Bonfire</t>
  </si>
  <si>
    <t>Bonfire is reimagining RFPs &amp;amp; bidding for gov procurement teams</t>
  </si>
  <si>
    <t>Canada</t>
  </si>
  <si>
    <t>[{"name":"Corry Flatt","title":"Founder","bio":"Current: CEO &amp; Cofounder of GovAI (Civia Inc(\nFormer: CEO &amp; Founder of Bonfire (W15)","linkedin":""},{"name":"Alex Millar","title":"Founder","bio":"Current: CTO &amp; Cofounder of Civia Inc. \nFormer: CTO &amp; Cofounder of Bonfire (W15)","linkedin":"http://linkedin.com/in/alxndrmlr"}]</t>
  </si>
  <si>
    <t>Corry</t>
  </si>
  <si>
    <t>hellobonsai.com</t>
  </si>
  <si>
    <t>Bonsai</t>
  </si>
  <si>
    <t>The all-in-one solution for small businesses and self-employed.</t>
  </si>
  <si>
    <t>Boulder, CO</t>
  </si>
  <si>
    <t>[{"name":"Matt Nish","title":"Founder","bio":"Matt Nish is the co-founder and Head of Design at Bonsai, which he started with Matt Brown and Redon Gjika in San Francisco, California.  Matt has led the user experience and app design from the beginning, leveraging his former freelancing and agency work experience as inspiration.","linkedin":"https://www.linkedin.com/in/mattnish"}]</t>
  </si>
  <si>
    <t>Matt</t>
  </si>
  <si>
    <t>https://bookface-images.s3.amazonaws.com/small_logos/704ac62f48316d04d9fc8a57fe4aed9e46970839.png</t>
  </si>
  <si>
    <t>booktrope.com</t>
  </si>
  <si>
    <t>Booktrope</t>
  </si>
  <si>
    <t>Booktrope provides a software platform that makes it easy for…</t>
  </si>
  <si>
    <t>[{"name":"Andy Roberts","title":"Founder","bio":"Product Manager and Software Engineer with an MBA building good things for the world | YC Alum","linkedin":"https://www.linkedin.com/in/andrewlroberts/"},{"name":"Katherine Sears","title":"Founder","bio":"","linkedin":"http://www.linkedin.com/in/katherinelsears"},{"name":"Kenneth Shear","title":"Founder","bio":"","linkedin":"http://www.linkedin.com/pub/ken-shear/5/918/547/"}]</t>
  </si>
  <si>
    <t>Andy</t>
  </si>
  <si>
    <t>https://bookface-images.s3.amazonaws.com/small_logos/62543fd96b43537ecbd9be593590310621e8dbfd.png</t>
  </si>
  <si>
    <t>boostable.com</t>
  </si>
  <si>
    <t>Boostable</t>
  </si>
  <si>
    <t>Advertising platform tools for marketplace sellers.</t>
  </si>
  <si>
    <t>[{"name":"Selcuk Atli","title":"Founder","bio":"CEO of Bunch, a mobile app that lets people stay connected and spend time together. Previously built Boostable (YCW14) acquired by Metric and SocialWire (acquired by Rakuten).","linkedin":"http://www.linkedin.com/in/selcukatli"},{"name":"Alex Chang","title":"Founder","bio":"","linkedin":"http://linkedin.com/in/changcommaalex"}]</t>
  </si>
  <si>
    <t>Selcuk</t>
  </si>
  <si>
    <t>boostly.com</t>
  </si>
  <si>
    <t>Boostly</t>
  </si>
  <si>
    <t>Gamified marketing for restaurants</t>
  </si>
  <si>
    <t>Lehi, UT</t>
  </si>
  <si>
    <t>[{"name":"Shane Murphy","title":"Founder","bio":"Shane is the Co-founder and CEO of Boostly. He previously ran sales for Jolt, a restaurant operations software company, and was a sales leader, early team member, and investor in American HealthCare Lending (acquired by Prosper Marketplace). He previously founded an online ordering company which was acquired by StrideQ.","linkedin":"https://www.linkedin.com/in/shanelmurphy/"},{"name":"Mikey Murphy","title":"Founder","bio":"Consummate generalist w/ a focus on product; BYU CS, Techstars '16, 3x CTO.","linkedin":"https://www.linkedin.com/in/mikeymurphy/"}]</t>
  </si>
  <si>
    <t>We founded Boostly in 10/2017 and went through a few pivots before we landed on this current concept that we’ve grown to roughly $1M in annual revenue through outbound sales. We’re just getting warmed up and plan to grow our marketing channels during YC.</t>
  </si>
  <si>
    <t>Shane</t>
  </si>
  <si>
    <t>https://bookface-images.s3.amazonaws.com/small_logos/6153c2d55508c4c573ba2dcb29993d7dfb36bfbf.png</t>
  </si>
  <si>
    <t>botcity.dev</t>
  </si>
  <si>
    <t>BotCity</t>
  </si>
  <si>
    <t>Open Source Python RPA + orchestration for tech teams.</t>
  </si>
  <si>
    <t>[{"name":"Lorhan Caproni","title":"Founder","bio":"Co-founder and CEO of @BotCity, a computer-vision-powered automation tool for developers.\n\nI have a background in Molecular Biology and Administration, passionate about sales, business development, learning, scientific method, tech, astronomy, sci-fi, and entrepreneurship. BotCity is my 2nd startup, after Phomenta, a successful social business, a social impact edtech that operates in 7 countries in Latam.","linkedin":"https://www.linkedin.com/in/lorhan/"},{"name":"Gabriel Archanjo","title":"Founder","bio":"Co-founder an CTO at @BotCity, a computer vision powered automation tool for developers.\n\nI've spent the last 15 years in the software industry as software developer, tech lead and CTO. My first position was developer in game studio working with Nintendo, Sega and PC platforms. After pursuing a Master’s Degree in Artificial Intelligence, I've worked for a few companies that were addressing real-world problems with AI-based solutions.","linkedin":"https://www.linkedin.com/in/gabrielarchanjo/"}]</t>
  </si>
  <si>
    <t>Lorhan</t>
  </si>
  <si>
    <t>https://bookface-images.s3.amazonaws.com/small_logos/7c9d51d01f280768899d76eff8f510583a2e1614.png</t>
  </si>
  <si>
    <t>brainboard.co</t>
  </si>
  <si>
    <t>Brainboard</t>
  </si>
  <si>
    <t>Visually design and manage cloud infrastructures.</t>
  </si>
  <si>
    <t>[{"name":"Chafik Belhaoues","title":"Founder","bio":"- Engineer with 17 years of experience on infrastructures (SRE, cloud architect, then software developer)\n- Former CTO of Scaleway (french cloud provider)\n- CEO at Brainboard.co","linkedin":"https://www.linkedin.com/in/chafik-belhaoues-%E2%98%81-4145b320/"},{"name":"Jeremy Albinet","title":"Founder","bio":"- 10 years designing Cloud architectures and building infrastructures\n- co-founder of Brainboard\n- former SRE @Scaleway","linkedin":"https://www.linkedin.com/in/jeremy-albinet/"}]</t>
  </si>
  <si>
    <t>Chafik</t>
  </si>
  <si>
    <t>https://bookface-images.s3.amazonaws.com/small_logos/a1940cbdacec83b1df06f778aab51ef87295bad3.png</t>
  </si>
  <si>
    <t>branch8.com</t>
  </si>
  <si>
    <t>Branch8</t>
  </si>
  <si>
    <t>Branch8 helps sellers to list and manage products on e-commerce…</t>
  </si>
  <si>
    <t>Hong Kong</t>
  </si>
  <si>
    <t>https://bookface-images.s3.amazonaws.com/small_logos/666b04587c6533b8c956eb24e0200e32405aed78.png</t>
  </si>
  <si>
    <t>breadcrumbs.io</t>
  </si>
  <si>
    <t>Breadcrumbs.io</t>
  </si>
  <si>
    <t>No-code scoring engine identifying your most engaged upsell opps</t>
  </si>
  <si>
    <t>[{"name":"Armando Biondi","title":"Founder","bio":"Co-founder &amp; CEO @BreadcrumbsIO (previously Co-founder &amp; COO @AdEspresso, sold to @Hootsuite). Investor in 150+ startups. Board Member @MailUpGroup and former Radio Host.","linkedin":"https://www.linkedin.com/in/armandobiondi"},{"name":"Gary Amaral","title":"Founder","bio":"Co-Founder &amp; CPO at BreadcrumbsIO bringing years of experience in Demand Marketing from Blackberry, Canadian Tire, Hootsuite and Chargify.","linkedin":"https://www.linkedin.com/in/garyamaral/"},{"name":"Massimo Chieruzzi","title":"Founder","bio":"I sit between Marketing and Product. Passionate about SEO &amp; Inbound marketing. Spaghetti coder.\nCMO and CoFounder of Breadcrumbs\nPrev. CEO &amp; Cofounder of AdEspresso, sold to Hootsuite in 2016.","linkedin":"https://www.linkedin.com/in/massimochieruzzi"}]</t>
  </si>
  <si>
    <t>Armando</t>
  </si>
  <si>
    <t>https://bookface-images.s3.amazonaws.com/small_logos/e428b571dcd57f52e3df670e2dc5bdc62d03aaa2.png</t>
  </si>
  <si>
    <t>briohr.com</t>
  </si>
  <si>
    <t>BrioHR</t>
  </si>
  <si>
    <t>All-in-one HR management platform for SMEs</t>
  </si>
  <si>
    <t>Kuala Lumpur, Malaysia</t>
  </si>
  <si>
    <t>[{"name":"Benjamin Croc","title":"Founder","bio":"French having lived 10 years in Malaysia from where I cofounded BrioHR.\n\nStarted my career with PwC then moved to Malaysia in early 2011 to head a global finance division for a French MNC, before getting an MBA at Insead (16J). Came back to Malaysia after that to join McKinsey up until the birth of my daughter, then switched to Lazada (Alibaba Group) in early 2018 before becoming obsessive about the need for BrioHR in the region :)\n\nAvid player of badminton, squash, poker...\n\nDo reach out!","linkedin":"https://www.linkedin.com/in/benjamin-croc-93669426/"},{"name":"Nabil Oudghiri","title":"Founder","bio":"Grew up in Morocco, studied engineering and worked in France, went to Singapore for my MBA and now living in Malaysia where I cofounded BrioHR!","linkedin":"https://www.linkedin.com/in/nabil-oudghiri-870372b5"}]</t>
  </si>
  <si>
    <t>Benjamin</t>
  </si>
  <si>
    <t>https://bookface-images.s3.amazonaws.com/small_logos/d7d26e3a8b124e3c002dfda1b12da4ee6b000aa8.png</t>
  </si>
  <si>
    <t>britebenefits.com</t>
  </si>
  <si>
    <t>Brite</t>
  </si>
  <si>
    <t>Software that helps employees pick their employee benefits.</t>
  </si>
  <si>
    <t>Salt Lake City, UT</t>
  </si>
  <si>
    <t>[{"name":"Landon Fielding","title":"&amp; CEO","bio":"Proud husband and father (of 4 boys), avid ski junkie, and anything outdoors. All I know for work is employee benefits.","linkedin":"https://www.linkedin.com/in/landon-fielding-970808b4"},{"name":"Jake Parkinson","title":"Founder","bio":"I am passionate about frontend development","linkedin":"https://www.linkedin.com/in/jakeparkinson/"},{"name":"Colton Shields","title":"Founder","bio":"","linkedin":"https://www.linkedin.com/in/coltonshields/"}]</t>
  </si>
  <si>
    <t>Landon</t>
  </si>
  <si>
    <t>https://bookface-images.s3.amazonaws.com/small_logos/396df8b615efb145166e71f986645ec788d1d655.png</t>
  </si>
  <si>
    <t>buildbuddy.io</t>
  </si>
  <si>
    <t>BuildBuddy</t>
  </si>
  <si>
    <t>BuildBuddy provides enterprise features for Bazel — the open source…</t>
  </si>
  <si>
    <t>[{"name":"Siggi Simonarson","title":"Founder","bio":"BuildBuddy co-founder &amp; CEO, ex-Googler","linkedin":"https://www.linkedin.com/in/siggisim"},{"name":"Tyler Williams","title":"Founder","bio":"BuildBuddy co-founder &amp; CTO, ex-Googler, ex-Echo Nest","linkedin":"https://www.linkedin.com/in/tyler-williams-80480519b/"}]</t>
  </si>
  <si>
    <t>Siggi</t>
  </si>
  <si>
    <t>https://bookface-images.s3.amazonaws.com/small_logos/bd37712a664bd3d0f09c27d1816b43518fb60775.png</t>
  </si>
  <si>
    <t>bujeti.com</t>
  </si>
  <si>
    <t>Bujeti</t>
  </si>
  <si>
    <t>Corporate cards and expenses management platform for African…</t>
  </si>
  <si>
    <t>Lagos, Nigeria</t>
  </si>
  <si>
    <t>[{"name":"Achille AROUKO","title":"Founder","bio":"","linkedin":"https://linkedin.com/in/achille-arouko"},{"name":"Samy Chiba","title":"Founder","bio":"COO at Bujeti","linkedin":"https://www.linkedin.com/in/samychiba/"}]</t>
  </si>
  <si>
    <t>We help African businesses in industries such as Healthcare, Logistics, Agriculture and Construction easily issue corporate cards to their employees and contractors to streamline their spendings. We help them control and manage their expenses by setting up spending limits, restrictions and approval flows for their decisions makers, staff and suppliers.</t>
  </si>
  <si>
    <t>Achille</t>
  </si>
  <si>
    <t>https://bookface-images.s3.amazonaws.com/small_logos/017a48860aec587fc693f54e2e4052970a43e5c7.png</t>
  </si>
  <si>
    <t>bulletin.co</t>
  </si>
  <si>
    <t>Bulletin</t>
  </si>
  <si>
    <t>Helping retailers discover and shop the best brands on the planet</t>
  </si>
  <si>
    <t>https://bookface-images.s3.amazonaws.com/small_logos/dc5b1d8e8af272683b9ec7ca250589f26e9ae0fa.png</t>
  </si>
  <si>
    <t>bus.com</t>
  </si>
  <si>
    <t>Bus.com</t>
  </si>
  <si>
    <t>The easiest way to charter a bus in North America.</t>
  </si>
  <si>
    <t>Montreal, Canada</t>
  </si>
  <si>
    <t>[{"name":"Kyle Boulay","title":"Founder","bio":"Kyle cofounded Bus.com (YC W16), which he guided to Series B. After leaving Bus.com in 2020, Kyle became a certified executive coach, working with funded startup founders in Silicon Valley. Drawing from his experience building and scaling Bus.com, he now helps leaders navigate growth challenges and build stronger teams.","linkedin":"https://linkedin.com/in/kyleboulay"},{"name":"Wolf Kohlberg","title":"Founder","bio":"","linkedin":""}]</t>
  </si>
  <si>
    <t>Kyle</t>
  </si>
  <si>
    <t>https://bookface-images.s3.amazonaws.com/small_logos/b79c831c8f0d305c265f82733feafa079a2d0bc5.png</t>
  </si>
  <si>
    <t>businessonbot.com</t>
  </si>
  <si>
    <t>BusinessOnBot</t>
  </si>
  <si>
    <t>Automated user acquisition &amp;amp; selling on WhatsApp for businesses</t>
  </si>
  <si>
    <t>[{"name":"Mohit Kumar","title":"Founder","bio":"Co-founder and CEO, Businessonbot.","linkedin":"https://www.linkedin.com/in/mohit-kumar-4a563491/"},{"name":"Aditya Chintapalli","title":"Founder","bio":"Co Founder at BusinessOnBot.","linkedin":"https://www.linkedin.com/in/aditya-chintapalli-a37943110"},{"name":"Kirushanth Kumar","title":"Founder","bio":"","linkedin":"https://www.linkedin.com/in/kirushanth-kumar-319588b3/"}]</t>
  </si>
  <si>
    <t>https://bookface-images.s3.amazonaws.com/small_logos/03c75b785d321bb19fc8ab6c4a6b736e7b35df44.png</t>
  </si>
  <si>
    <t>cutr.ai</t>
  </si>
  <si>
    <t>CUTR</t>
  </si>
  <si>
    <t>The marketplace for wood manufacturing</t>
  </si>
  <si>
    <t>Amsterdam, Netherlands</t>
  </si>
  <si>
    <t>[{"name":"Oscar Peppitt","title":"Founder","bio":"Oscar is CEO of Cutr where he focuses on setting company strategy, speaking to customers and finding the world's best talent to join the team. Oscar was early-Uber, launching the transport business in APAC, UberEATS across APAC and EMEA, and even worked on self-driving cars for a bit.  He is focused on figuring out how to get to a zero carbon future through economics for the environment.","linkedin":"https://www.linkedin.com/in/oscar-peppitt-99965331/"},{"name":"Rodny Heemskerk","title":"Founder","bio":"Rodny is a trained industrial designer and CAD/CAM engineer. He previously built a successful manufacturing business. Rodny knows Cutr’s industry inside out – from workflow issues to machining solutions to how to close deals. At Cutr he is responsible for the sales and ops teams and working with the product team to turn his experience into scalable solutions.\n\n2013 Lean Startup Machine\n2015 Succesfull campaign at Kickstarter (US)\n2017-2020 Accelerator program - Entrepreneurs Organization (EO)","linkedin":"https://www.linkedin.com/in/rodny-heemskerk-ab75b513/"},{"name":"Jasper Mittelmeijer","title":"Founder","bio":"Jasper built the procedural furniture generator &amp; CNC controller that started Cutr. He started writing code in high school and wrote his first 3D render engine at 15. At Cutr, Jasper is responsible for the engineering &amp; design team. Because of his broad skillset and experience he excels at getting new product shipped fast.","linkedin":"https://www.linkedin.com/in/jaspermittelmeijer/"}]</t>
  </si>
  <si>
    <t>Oscar</t>
  </si>
  <si>
    <t>https://bookface-images.s3.amazonaws.com/small_logos/32169642bd80b7d2ae57e5f32e4da02fe2ee530b.png</t>
  </si>
  <si>
    <t>canix.com</t>
  </si>
  <si>
    <t>Canix</t>
  </si>
  <si>
    <t>Canix makes it easy to get and stay compliant as a cannabis business.</t>
  </si>
  <si>
    <t>https://bookface-images.s3.amazonaws.com/small_logos/307944ea6b0927bae195cd145f3959c47e943c9c.png</t>
  </si>
  <si>
    <t>canopylabs.com</t>
  </si>
  <si>
    <t>Canopy Labs</t>
  </si>
  <si>
    <t>Canopy Labs automates customer analytics for small and medium-sized…</t>
  </si>
  <si>
    <t>caper.ai</t>
  </si>
  <si>
    <t>Caper</t>
  </si>
  <si>
    <t>Plug-and-play cashier-less retail powered by computer vision and AI</t>
  </si>
  <si>
    <t>[{"name":"Ahmed Beshry","title":"Founder","bio":"-","linkedin":"https://ca.linkedin.com/in/ahmedbeshry"},{"name":"Lindon Gao","title":"/CEO","bio":"","linkedin":"https://www.linkedin.com/pub/lindon-gao/24/b31/1a1"},{"name":"Yilin Huang","title":"Founder","bio":"","linkedin":""}]</t>
  </si>
  <si>
    <t>Ahmed</t>
  </si>
  <si>
    <t>https://bookface-images.s3.amazonaws.com/small_logos/45034c22d81491a4e49c2c46c3c822d2d820941d.png</t>
  </si>
  <si>
    <t>cartpanda.com</t>
  </si>
  <si>
    <t>Cartpanda</t>
  </si>
  <si>
    <t>Global online sales platform</t>
  </si>
  <si>
    <t>[{"name":"Lucas Castellani","title":"Founder","bio":"Founder @ CartPanda","linkedin":"https://www.linkedin.com/in/lucascastellani/"}]</t>
  </si>
  <si>
    <t>Lucas</t>
  </si>
  <si>
    <t>https://bookface-images.s3.amazonaws.com/small_logos/fdd422df573f9e77279f0da5b79f0c2fcd5b52ca.png</t>
  </si>
  <si>
    <t>casetext.com</t>
  </si>
  <si>
    <t>Casetext</t>
  </si>
  <si>
    <t>We make the world&amp;#39;s laws free and understandable.</t>
  </si>
  <si>
    <t>[{"name":"Jake Heller","title":"/CEO","bio":"Co-founder and CEO of Casetext (S13), acquired by Thomson Reuters for $650M. Lawyer working in tech. AI optimist. Proud dad and animal lover 🐕 🐈 🐓","linkedin":"https://www.linkedin.com/in/jakeheller/"}]</t>
  </si>
  <si>
    <t>Jake</t>
  </si>
  <si>
    <t>Block bots &amp;amp; bad behavior</t>
  </si>
  <si>
    <t>https://bookface-images.s3.amazonaws.com/small_logos/8d7fdbafd7f8ab52a136ccd6f568c251351c96b8.png</t>
  </si>
  <si>
    <t>trycelery.com</t>
  </si>
  <si>
    <t>Celery</t>
  </si>
  <si>
    <t>Celery is a platform for pre-orders (www.trycelery.com). Accept…</t>
  </si>
  <si>
    <t>centralhq.com</t>
  </si>
  <si>
    <t>Central</t>
  </si>
  <si>
    <t>Eliminating business bullshit: payroll, benefits, compliance, etc</t>
  </si>
  <si>
    <t>[{"name":"Josh Wymer","title":"Founder","bio":"Josh is the CEO at Central. He was the 12th employee at Mixpanel, ran product engineering, and helped scale it to $1b+ valuation. He's also worked as a software engineer at Meta and played baseball at Virginia Tech.","linkedin":"https://linkedin.com/in/joshwymer"},{"name":"Pranav Kashyap","title":"Founder","bio":"Pranav is the COO at Central, helping other companies automate back-office work. He previously built payment and tax products for millions of users at Stripe, rebuilt Mixpanel's self-serve and messaging products and spent a number of years working with technology companies at McKinsey and Sequoia Capital. He holds a bachelor's degree in Computer Science from IIT Bombay and an MBA from Wharton.","linkedin":"https://linkedin.com/in/pranav-kashyap"},{"name":"Nilay Modi","title":"Founder","bio":"Second-time YC founder &amp; CPO at Central. I lead all things product, design and go-to-market. Previously, founded and ran Clayboard (W20) for 3 years.","linkedin":"https://linkedin.com/in/thenilaymodi"}]</t>
  </si>
  <si>
    <t>At my last YC W20 company, Clayboard, all I wanted to do was design and build. Instead, I was drowning in back-office work. Even with the current recommended platforms, payroll, benefits, compliance was a never-ending pain in the…</t>
  </si>
  <si>
    <t>Josh</t>
  </si>
  <si>
    <t>https://bookface-images.s3.amazonaws.com/small_logos/c0913d1e9d9580abc891cabd8dcf7bc5c217d32e.png</t>
  </si>
  <si>
    <t>cero.ai</t>
  </si>
  <si>
    <t>Cero</t>
  </si>
  <si>
    <t>Automated communication between hospitals and patients in Latam</t>
  </si>
  <si>
    <t>[{"name":"Felipe Rodríguez","title":"Founder","bio":"Entrepreneur and creative innovator. Currently co founder &amp; CEO at CERO.\nPreviously, I founded Excedent, a solution for eligibility and payment through API's for medical services connecting over 500 health providers with the top 3 health insurances in Chile. In 2013 I founded Deenty where we worked to improve access to oral care in Chile, being recognized as one of Chile's 100 young leaders of the year. Founder of Rompientes, NGO focused on preserve coastal environments and surfbreaks","linkedin":"https://cl.linkedin.com/in/luis-felipe-rodr%C3%ADguez-besa-31ba772a"},{"name":"Jorge Pérez","title":"Founder","bio":"Jorge has a PhD in Computer Science and more than 10 years of experience in research with a focus on Web Data, Natural Language Processing and Deep Learning. He is a Microsoft Research PhD Fellow and he has published his research in top Data Science and AI conferences such as NeurIPS, ICLR, IJCAI, WWW, SIGIR and VLDB. He has developed open scientific NLP tools for the Spanish language that are used in a daily basis by the industry and academia all across Latam.","linkedin":"https://www.linkedin.com/NA"},{"name":"Mauricio Quezada","title":"Founder","bio":"PhD in CS from Universidad de Chile, Engineer and Software Developer. Member of the winning local ICPC team of 2011 and organizer of several training camps of Chile and other Latam countries for programming contests. I've published research articles in known Data Science venues such as SIGIR, EPJ Data Science, and PloS One.","linkedin":"https://www.linkedin.com/in/mauricio-quezada-317100199/"}]</t>
  </si>
  <si>
    <t>Felipe</t>
  </si>
  <si>
    <t>https://bookface-images.s3.amazonaws.com/small_logos/28978000b8dcc240b064a1480e88b2e3fa90b056.png</t>
  </si>
  <si>
    <t>trychamp.co</t>
  </si>
  <si>
    <t>Champ</t>
  </si>
  <si>
    <t>Best Outbound AI SDR in the world. More sales deals, no human needed,…</t>
  </si>
  <si>
    <t>[{"name":"Matt Sun","title":"Founder","bio":"Formerly CEO @Paigo, Head of Platform @ClickUp, Head of Cloud @MarkLogic. Berkeley Haas MBA, UChicago CS Master.","linkedin":"https://www.linkedin.com/in/thisismattsun/"},{"name":"Daniel Wasserlauf","title":"Founder","bio":"Hacker, Software enthusiast. \n\nSend me cool projects or bits of code you like! \nhttps://github.com/twosdai","linkedin":"https://www.linkedin.com/in/daniel-wasserlauf-b12681101/"}]</t>
  </si>
  <si>
    <t>https://bookface-images.s3.amazonaws.com/small_logos/63b4ca6a1359575ae026ae8642bfb13def17ae58.png</t>
  </si>
  <si>
    <t>chaosgenius.io</t>
  </si>
  <si>
    <t>Chaos Genius</t>
  </si>
  <si>
    <t>DataOps Observability Platform for Snowflake</t>
  </si>
  <si>
    <t>https://bookface-images.s3.amazonaws.com/small_logos/c4d680463f8fee3408726becdad9bccd8e14c8a1.png</t>
  </si>
  <si>
    <t>chargehound.com</t>
  </si>
  <si>
    <t>Chargehound</t>
  </si>
  <si>
    <t>Automate your chargeback dispute process.</t>
  </si>
  <si>
    <t>Oakland, CA</t>
  </si>
  <si>
    <t>[{"name":"Dmitri Cherniak","title":"/CTO","bio":"Automation is my artistic medium. Hand-coded goods.","linkedin":""},{"name":"adrian sanders","title":"Founder","bio":"good guy, likes jazzz","linkedin":""}]</t>
  </si>
  <si>
    <t>Dmitri</t>
  </si>
  <si>
    <t>https://bookface-images.s3.amazonaws.com/small_logos/d854b9187c55d7cd329f7ac3f47400db9cf48138.png</t>
  </si>
  <si>
    <t>chartio.com</t>
  </si>
  <si>
    <t>Chartio</t>
  </si>
  <si>
    <t>Chartio is changing how companies work by building the best…</t>
  </si>
  <si>
    <t>https://bookface-images.s3.amazonaws.com/small_logos/bd01901abf7384be11011b25a6f7e62224dd4f2e.png</t>
  </si>
  <si>
    <t>chatfuel.com</t>
  </si>
  <si>
    <t>Chatfuel</t>
  </si>
  <si>
    <t>Platform to easily create chatbots to engage with audiences on…</t>
  </si>
  <si>
    <t>https://bookface-images.s3.amazonaws.com/small_logos/5fd8bcf8d9a9b759b820215a29ca5d614328aac4.png</t>
  </si>
  <si>
    <t>chipax.com</t>
  </si>
  <si>
    <t>Chipax</t>
  </si>
  <si>
    <t>Quickbooks for SMBs in Latam</t>
  </si>
  <si>
    <t>[{"name":"Antonio Correa","title":"Founder","bio":"Toni started his career as a firefighter, then moved to renewable energy and finally to technology. Before Chipax, he led a company that was going bankrupt and faced all the pain points SMBs have to deal every day in order to maintain the business healthy; that's why Chipax was born, to make their day to day finances dramatically simpler.\nHe is an Industrial Engineer with a MSc in Innovation and Entrepreneurship from ESADE, Barcelona","linkedin":"https://www.linkedin.com/in/tonicorreal/"},{"name":"Joaquín Brenner","title":"Founder","bio":"Co-Founder and COO at Chipax - Helping SMEs manage their finances.\n\nUniversidad Adolfo Ibáñez of BBA, MSc in Innovation and Design","linkedin":"https://www.linkedin.com/in/joaquin-brenner/"},{"name":"François Gueneau de Mussy","title":"Founder","bio":"Co-Founder, CTO www.chipax.com → Helping SMBs in Latam manage their finances.\n\nPontificia Universidad Católica de Chile, BS in IT Engineering, 2011","linkedin":"https://www.linkedin.com/in/fgdemussy/"},{"name":"Felipe Urzúa","title":"Founder","bio":"Felipe is the co-founder and Chief Revenue Officer of Chipax. An entrepreneur from early age, he is really passionate about business development and strategy. Prior to Chipax, he lead the expansion of a Proptech startup across Latam. Originally from Curico, Chile. Felipe graduated from Universidad Adolfo Ibáñez of BBA with a masters on Innovation for startups.","linkedin":"https://www.linkedin.com/in/felipe-urzua-toral/"}]</t>
  </si>
  <si>
    <t>Antonio</t>
  </si>
  <si>
    <t>https://bookface-images.s3.amazonaws.com/small_logos/3a88c695f80988b5eb6e20aa5e0200a956a2b299.png</t>
  </si>
  <si>
    <t>getchute.com</t>
  </si>
  <si>
    <t>Chute</t>
  </si>
  <si>
    <t>Discover the photos and videos people are taking of your brand or…</t>
  </si>
  <si>
    <t>cinapse.io</t>
  </si>
  <si>
    <t>Cinapse</t>
  </si>
  <si>
    <t>The Operating System of Hollywood</t>
  </si>
  <si>
    <t>[{"name":"Herman Phillips","title":"Founder","bio":"Co-founder and CEO @ Cinapse. Previously in the Assistant Directors department on major films and television series including Disney+'s The Mandalorian and The Book of Boba Fett; HBO's Silicon Valley, Euphoria, and Insecure; Steven Spielberg's The Fabelmans; and various other Netflix, HBO, Apple, Disney, and Hulu productions.","linkedin":"https://www.linkedin.com/in/hgphillipsiv/"},{"name":"Roger Tran","title":"Founder","bio":"COO @ Cinapse\nUX, Architecture, Real Estate Development, Locations Rentals, Stanford, Harvard.\nLos Angeles / San Francisco.","linkedin":"https://www.linkedin.com/in/rogerwtran/"}]</t>
  </si>
  <si>
    <t>Herman</t>
  </si>
  <si>
    <t>https://bookface-images.s3.amazonaws.com/small_logos/ddc4d4e8009e0c8d02d4de7f4bdf26587f0a8a7c.png</t>
  </si>
  <si>
    <t>cinder.co</t>
  </si>
  <si>
    <t>Cinder</t>
  </si>
  <si>
    <t>[{"name":"Glen Wise","title":"Founder","bio":"After graduating from Carnegie Mellon, Glen joined Facebook as a security engineer to lead the build out of their community threat intelligence platform, working directly with Phil Brennan for over 3 years. Glen started Cinder in 2021 to help other companies solve similar trust and safety problems.","linkedin":"https://www.linkedin.com/in/glenwise/"},{"name":"Phil Brennan","title":"Founder","bio":"Phil joined Facebook in 2017 to build out their community threat intelligence team, after running counterterrorism units for the US government. Phil worked with Glen Wise for several years at Facebook before joining him to co-found Cinder.","linkedin":"https://www.linkedin.com/in/philip-brennan-33598610a/"}]</t>
  </si>
  <si>
    <t>Glen</t>
  </si>
  <si>
    <t>https://bookface-images.s3.amazonaws.com/small_logos/11e79fdb615e4008b53b6d456fb9c93446ae9d40.png</t>
  </si>
  <si>
    <t>circa.co</t>
  </si>
  <si>
    <t>Circa</t>
  </si>
  <si>
    <t>Event marketing CRM</t>
  </si>
  <si>
    <t>Santa Fe, NM</t>
  </si>
  <si>
    <t>[{"name":"Alex Patriquin","title":"/CEO","bio":"Founder &amp; CEO of Circa YC S16","linkedin":"https://www.linkedin.com/in/alexpatriquin"}]</t>
  </si>
  <si>
    <t>https://bookface-images.s3.amazonaws.com/small_logos/bb1178c960492365b15c4498d7147f36cbde201f.png</t>
  </si>
  <si>
    <t>citusdata.com</t>
  </si>
  <si>
    <t>Citus Data</t>
  </si>
  <si>
    <t>Real-time. Big data. PostgreSQL</t>
  </si>
  <si>
    <t>[{"name":"Sumedh Pathak","title":"/Engineer","bio":"Founder at Citus Data, Acquired by Microsoft.\nhttps://blogs.microsoft.com/blog/2019/01/24/microsoft-acquires-citus-data-re-affirming-its-commitment-to-open-source-and-accelerating-azure-postgresql-performance-and-scale/","linkedin":"https://www.linkedin.com/in/umurc"}]</t>
  </si>
  <si>
    <t>Sumedh</t>
  </si>
  <si>
    <t>https://bookface-images.s3.amazonaws.com/small_logos/202e7e02db190c7ab3eef78d63f9fe5d31e43275.png</t>
  </si>
  <si>
    <t>claralabs.com</t>
  </si>
  <si>
    <t>Clara Labs</t>
  </si>
  <si>
    <t>Clara is a human-in-the-loop assistant that helps automate repetitive…</t>
  </si>
  <si>
    <t>clearbrain.com</t>
  </si>
  <si>
    <t>ClearBrain</t>
  </si>
  <si>
    <t>Causal Analytics for Growth Teams</t>
  </si>
  <si>
    <t>https://bookface-images.s3.amazonaws.com/small_logos/6d5c4995d4edc2612597ff2b00cf6cc4b969c502.png</t>
  </si>
  <si>
    <t>clerky.com</t>
  </si>
  <si>
    <t>Clerky</t>
  </si>
  <si>
    <t>Makes legal paperwork easy for startups and their attorneys.</t>
  </si>
  <si>
    <t>[{"name":"Chris Field","title":"Founder","bio":"I'm a co-founder of Clerky. I was a startup attorney at Orrick, Herrington &amp; Sutcliffe LLP. Before becoming an attorney, I worked in various management and operations roles at TippingPoint Technologies and Micron Electronics. I studied electrical engineering and history at Stanford University and I studied law at the University of Pennsylvania.","linkedin":"https://www.linkedin.com/in/fieldchris"},{"name":"Darby Wong","title":"/CEO","bio":"I'm a co-founder and the CEO of Clerky. I was a startup attorney at Orrick Herrington &amp; Sutcliffe LLP and have a law degree from Harvard Law School. Prior to law school, I majored in computer science at the University of Washington, where I worked on machine learning research.","linkedin":"https://www.linkedin.com/in/darbywong/"}]</t>
  </si>
  <si>
    <t>Chris</t>
  </si>
  <si>
    <t>https://bookface-images.s3.amazonaws.com/small_logos/0413dbdb2293e4b9ea1ccbeb3fd25e23c7e07440.png</t>
  </si>
  <si>
    <t>clickfacts.com</t>
  </si>
  <si>
    <t>Clickfacts</t>
  </si>
  <si>
    <t>[{"name":"Greg Gurevich","title":"Founder","bio":"Expert in Machine learning, Electronic trading and Market Microstructure","linkedin":"https://www.linkedin.com/in/greggurevich"},{"name":"Mikhail Gurevich","title":"Founder","bio":"Just an engineer trying to build cool stuff.","linkedin":"https://www.linkedin.com/in/mikhailgurevich/"},{"name":"Mikhail Ledvich","title":"Founder","bio":"","linkedin":"https://www.linkedin.com/in/mledvich"}]</t>
  </si>
  <si>
    <t>clickpass.com</t>
  </si>
  <si>
    <t>Clickpass</t>
  </si>
  <si>
    <t>close.com</t>
  </si>
  <si>
    <t>Close</t>
  </si>
  <si>
    <t>CRM and sales automation tools for startups and SMBs</t>
  </si>
  <si>
    <t>https://bookface-images.s3.amazonaws.com/small_logos/54e0a81b62b025aba369d098ad87caf559c7c1b4.png</t>
  </si>
  <si>
    <t>cloudant.com</t>
  </si>
  <si>
    <t>Cloudant</t>
  </si>
  <si>
    <t>NoSQL Database-aaS.  Acquired by IBM in 2014.  Now IBM Cloud Data…</t>
  </si>
  <si>
    <t>[{"name":"Michael Miller","title":"Founder","bio":"Recovering particle physicist and distributed systems developer.  CoFounder (Cloudant, acquired by IBM), CoFounder Liquid 2 Ventures.  Father or two sets of twins.  Main investing interests are new computing architectures, quantum computing, aerospace and climate tech, with a dash of dev tools.","linkedin":"https://www.linkedin.com/in/mlmilleratmit"},{"name":"Alan Hoffman","title":"Founder","bio":"","linkedin":"https://www.linkedin.com/in/alanmhoffman"},{"name":"Adam Kocoloski","title":"Founder","bio":"","linkedin":"https://www.linkedin.com/in/kocolosk"}]</t>
  </si>
  <si>
    <t>cloudkick.com</t>
  </si>
  <si>
    <t>Cloudkick</t>
  </si>
  <si>
    <t>clustrix.com</t>
  </si>
  <si>
    <t>Clustrix</t>
  </si>
  <si>
    <t>https://bookface-images.s3.amazonaws.com/small_logos/080d82509504fa711e8b698a0b2f1575b1ec8d4e.png</t>
  </si>
  <si>
    <t>trycoast.com</t>
  </si>
  <si>
    <t>Coast</t>
  </si>
  <si>
    <t>Solution Gateway for API-First Companies</t>
  </si>
  <si>
    <t>[{"name":"Spencer Levitt","title":"Founder","bio":"Co-founder at Coast","linkedin":"https://www.linkedin.com/in/spencer-levitt"},{"name":"Austin Pager","title":"Founder","bio":"Co-founder at Coast.","linkedin":"https://www.linkedin.com/in/austin-pager/"}]</t>
  </si>
  <si>
    <t>Spencer</t>
  </si>
  <si>
    <t>https://bookface-images.s3.amazonaws.com/small_logos/65cb3b99fd44f8b43727970a9cb034fbeee5d0df.png</t>
  </si>
  <si>
    <t>cococart.co</t>
  </si>
  <si>
    <t>Cococart</t>
  </si>
  <si>
    <t>Empowering local businesses to sell online.</t>
  </si>
  <si>
    <t>[{"name":"Derek Low","title":"Founder","bio":"Derek is the CEO &amp; founder of Cococart.\n\nHe founded Basecamp Bali, an award-winning hotel in Indonesia, which he ran as CEO from 2019-2021. The hotel achieved a 100% occupancy rate with perfect ratings on Booking.com and Airbnb.\n\nHe also created the Berkeley Ridiculously Automated Dorm with over 2 million views on YouTube. It has been featured in TIME, Forbes, CNN, BBC, Ellen TV, and hundreds of other media sources.\n\nDerek graduated from UC Berkeley in Electrical Engineering &amp; Computer Sciences.","linkedin":"https://www.linkedin.com/in/dereklmy/"}]</t>
  </si>
  <si>
    <t>Derek</t>
  </si>
  <si>
    <t>https://bookface-images.s3.amazonaws.com/small_logos/0231dbdea9ea0245b47c0551525efdd857307371.png</t>
  </si>
  <si>
    <t>codestream.com</t>
  </si>
  <si>
    <t>CodeStream</t>
  </si>
  <si>
    <t>CodeStream is a Developer Collaboration Platform designed to…</t>
  </si>
  <si>
    <t>[{"name":"Peter Pezaris","title":"/CEO","bio":"Peter Pezaris is New Relic’s Chief Strategy and Design Officer. Prior to New Relic, Pezaris was the Founder &amp; CEO of CodeStream, a developer productivity tool. Pezaris was Founder &amp; CEO of Glip, a team collaboration platform acquired by RingCentral in 2015, and Multiply.com, a social commerce platform acquired by Naspers in 2010. He also founded Commissioner.com, a fantasy sports company acquired by CBS in 1999. Pezaris holds BS degrees in Computer Science and Applied Mathematics from CMU.","linkedin":"https://www.linkedin.com/in/ppezaris/"},{"name":"Claudio Pinkus","title":"Founder","bio":"Executive, Investor and Strategist with over 30 years experience in the Internet and Software industries, both in consumer and enterprise markets. Founder of 5 startups with successful exits, president and CSO at public company Ask Jeeves.  Led turnarounds and rollups, in private and public environments.  Comfortable in multinational settings, fully bilingual English/Spanish. Established multiple partnerships, and carried out over a dozen acquisitions both domestically and internationally.","linkedin":"https://www.linkedin.com/in/claudiopinkus/"}]</t>
  </si>
  <si>
    <t>https://bookface-images.s3.amazonaws.com/small_logos/162cbcf64286492bd4d396c89184015bac491ca1.png</t>
  </si>
  <si>
    <t>cofactr.com</t>
  </si>
  <si>
    <t>Cofactr</t>
  </si>
  <si>
    <t>Cloud pre-factory logistics and procurement for electronics</t>
  </si>
  <si>
    <t>[{"name":"Matthew Haber","title":"Founder","bio":"Matthew Haber is the CEO and Co-Founder of Cofactr. He has a diverse background in engineering, technology leadership, and design with a focus on helping hardware teams working in new and emerging spaces. Prior to Cofactr, he co-founded and led an R&amp;D, product design, and experiential technology company called BeSide, ultimately exiting through a private-equity-backed strategic acquisition.","linkedin":"https://www.linkedin.com/in/matthew-haber-374903184/"},{"name":"Phillip Gulley","title":"Founder","bio":"Phillip Gulley is the Co-Founder and Chief Revenue Officer for Cofactr. He is most drawn to strategy and product development while obsessing on making great experiences for users. Prior to Cofactr he cofounded a R&amp;D, product design, and experiential company, seeing it though to acquisition. His experience ranges from collaboration with global tech brands to celebrated artist. Phil holds an MFA from Brooklyn College in Performance and Interactive Media Arts and a BA from USF in Theater.","linkedin":"https://www.linkedin.com/in/phillip-gulley-52801937/"}]</t>
  </si>
  <si>
    <t>Matthew</t>
  </si>
  <si>
    <t>https://bookface-images.s3.amazonaws.com/small_logos/39a586314e7bd62c08d22961d04f803a003c805f.png</t>
  </si>
  <si>
    <t>cognitionip.com</t>
  </si>
  <si>
    <t>Cognition IP</t>
  </si>
  <si>
    <t>Flat-fee patent &amp;amp; trademark counsel with top firm results</t>
  </si>
  <si>
    <t>https://bookface-images.s3.amazonaws.com/small_logos/bf409816d2f4636d78706b6a700030dc1353a6a2.png</t>
  </si>
  <si>
    <t>cognitohq.com</t>
  </si>
  <si>
    <t>Cognito</t>
  </si>
  <si>
    <t>Frictionless, modern identity verification that starts with just a…</t>
  </si>
  <si>
    <t>[{"name":"John Backus","title":"/CTO","bio":"CTO and Founder @ Cognito (Acquired by Plaid in 2022)","linkedin":""},{"name":"Alain Meier","title":"/CEO","bio":"","linkedin":"https://www.linkedin.com/in/alainmeier/"},{"name":"Christopher Morton","title":"/President and COO","bio":"","linkedin":"https://linkedin.com/in/mortonch"}]</t>
  </si>
  <si>
    <t>https://bookface-images.s3.amazonaws.com/small_logos/a1000d5d5bee5c940de394e0841af070cfa6e903.png</t>
  </si>
  <si>
    <t>cogram.com</t>
  </si>
  <si>
    <t>Cogram</t>
  </si>
  <si>
    <t>AI for the AEC industry—online and in the field.</t>
  </si>
  <si>
    <t>[{"name":"Alexander von Boetticher","title":"Founder","bio":"","linkedin":"https://www.linkedin.com/in/alexvboe/"},{"name":"Ricardo Wölker","title":"Founder","bio":"-","linkedin":"https://www.linkedin.com/in/rwolker/"}]</t>
  </si>
  <si>
    <t>Alexander</t>
  </si>
  <si>
    <t>https://bookface-images.s3.amazonaws.com/small_logos/61153d83e47c1914a8eed2b2b8b7f1813bf43dca.png</t>
  </si>
  <si>
    <t>command.ai</t>
  </si>
  <si>
    <t>Command AI</t>
  </si>
  <si>
    <t>AI-powered user assistance platform</t>
  </si>
  <si>
    <t>[{"name":"James Evans","title":"Founder","bio":"Co-founder at Command AI (acquired by Amplitude)","linkedin":"https://www.linkedin.com/in/james-evans-7086b3126/"},{"name":"Vinay Ayyala","title":"Founder","bio":"","linkedin":"https://www.linkedin.com/in/vinay-ayyala-976a3279/"},{"name":"Richard Freling","title":"Founder","bio":"","linkedin":"https://www.linkedin.com/in/richard-freling/"}]</t>
  </si>
  <si>
    <t>Mainly web apps, but it’s just as useful for blogs and marketing sites too. Anywhere you can embed an HTML snippet. Also works with Wordpress, Bubble, etc.</t>
  </si>
  <si>
    <t>James</t>
  </si>
  <si>
    <t>https://bookface-images.s3.amazonaws.com/small_logos/2bca198859e87cd196f78931db97af3133a90eee.png</t>
  </si>
  <si>
    <t>compgun.com</t>
  </si>
  <si>
    <t>Compgun</t>
  </si>
  <si>
    <t>Sales commission software that grows revenue.</t>
  </si>
  <si>
    <t>[{"name":"Jake Seip","title":"Founder","bio":"Started Compgun (YC W16) and then Aero.com.","linkedin":"http://linkedin.com/in/jakeseip"},{"name":"Tim Sze","title":"Founder","bio":"","linkedin":"http://www.linkedin.com/in/szetim/"}]</t>
  </si>
  <si>
    <t>complif.com</t>
  </si>
  <si>
    <t>Complif</t>
  </si>
  <si>
    <t>Compliance tools for financial companies in LatAm KYC &amp;amp; AML</t>
  </si>
  <si>
    <t>https://bookface-images.s3.amazonaws.com/small_logos/b058ab2c92aef24a0255569d8cf05427ba59231c.png</t>
  </si>
  <si>
    <t>mongohq.com</t>
  </si>
  <si>
    <t>Compose</t>
  </si>
  <si>
    <t>We make it easy to run databases.
PostgreSQL, Redis, MongoDB,…</t>
  </si>
  <si>
    <t>comprarapida.co</t>
  </si>
  <si>
    <t>Compra Rápida</t>
  </si>
  <si>
    <t>One-click checkout for LatAm.</t>
  </si>
  <si>
    <t>[{"name":"Mario Marcoccia","title":"Founder","bio":"An engineer from São Paulo that is passionate about technology and growth.","linkedin":"https://www.linkedin.com/in/mariomarcoccia/"}]</t>
  </si>
  <si>
    <t>Mario</t>
  </si>
  <si>
    <t>https://bookface-images.s3.amazonaws.com/small_logos/597b354ebabd4350f20655a359475ece57b2fd91.png</t>
  </si>
  <si>
    <t>confidentlims.com</t>
  </si>
  <si>
    <t>Confident LIMS</t>
  </si>
  <si>
    <t>Laboratory Information Management System (LIMS) serving…</t>
  </si>
  <si>
    <t>[{"name":"Steve Albarran","title":"/CEO","bio":"Steve is the CEO and Co-Founder of Confident LIMS, the leading laboratory information management system for quality assurance labs in highly-regulated industries in North America. Prior to founding Confident, Steve founded Left Lane Capital Partners, a growth equity investment firm focused on the health &amp; wellness industry. Previously, Steve was an M&amp;A investment banker at Sawaya Partners and Lehman Brothers in New York City.","linkedin":"https://www.linkedin.com/in/steve-albarran/"},{"name":"Miller Aaron","title":"Founder","bio":"","linkedin":"https://www.linkedin.com/in/jma3/"}]</t>
  </si>
  <si>
    <t>Steve</t>
  </si>
  <si>
    <t>https://bookface-images.s3.amazonaws.com/small_logos/33dbffe2b04c05f3f81daf8f724a1ad65f7cd311.png</t>
  </si>
  <si>
    <t>confidotech.com</t>
  </si>
  <si>
    <t>Confido</t>
  </si>
  <si>
    <t>AI-enabled financial automation and intelligence for CPG Brands</t>
  </si>
  <si>
    <t>[{"name":"Kara Holinski","title":"Founder","bio":"Previously APM at Schmidt Futures. Engineering at MIT","linkedin":"https://www.linkedin.com/in/kara-holinski-77b673b6/"},{"name":"Justin Hunter","title":"Founder","bio":"Justin - Previously a Senior Corporate Strategy Associate at Capital One.  In college, Justin played football at Harvard and studied Sociology.","linkedin":"https://www.linkedin.com/in/justin-hunter/"}]</t>
  </si>
  <si>
    <t>Kara</t>
  </si>
  <si>
    <t>https://bookface-images.s3.amazonaws.com/small_logos/29db94cccb8fb04c76b3795f179303c30d31cc11.png</t>
  </si>
  <si>
    <t>contalink.com</t>
  </si>
  <si>
    <t>Contalink</t>
  </si>
  <si>
    <t>We help Accountants automate work and serve their customers online</t>
  </si>
  <si>
    <t>[{"name":"Eduardo Williams","title":"Founder","bio":"Contalink cofounder and CEO","linkedin":"https://www.linkedin.com/in/eduardowilliams/"},{"name":"Carlos Salinas","title":"Founder","bio":"CTO at Contalink.","linkedin":"https://www.linkedin.com/in/carlos-salinas-a83a9493/"}]</t>
  </si>
  <si>
    <t>Eduardo</t>
  </si>
  <si>
    <t>https://bookface-images.s3.amazonaws.com/small_logos/2c56e9d679598dde2fac7eb56c0066090a29bcb2.png</t>
  </si>
  <si>
    <t>contraforce.com</t>
  </si>
  <si>
    <t>ContraForce</t>
  </si>
  <si>
    <t>Hyperautomated Incident Remediation Platform</t>
  </si>
  <si>
    <t>McKinney, TX</t>
  </si>
  <si>
    <t>[{"name":"Stanislav Golubchik","title":"Founder","bio":"Stan Golubchik is CEO and Co-Founder of ContraForce. He has been in the IT and Cybersecurity space for 15 years. Bringing extensive experience in executive roles at McAfee, and Armor Cloud Security. Stan started his career working in a NOC and found his footing in cybersecurity when joining Intel Security. He possess several certifications and is passionate of building future innovation and leaders within the space.","linkedin":"https://www.linkedin.com/in/stan-golubchik/"},{"name":"Ricky Melendez","title":"Founder","bio":"Ricky Melendez is CTO and Co-Founder of ContraForce. He has been in the IT and Cybersecurity space for 10 years. He brings extensive experience in building Security Operation Centers from the ground up in McAfee, and leading security teams in Armor Cloud. Ricky graduated from UT Austin with a focus on computation mathematics and computer science.","linkedin":"http://linkedin.com/in/ricky-melendez-9707a7b2"}]</t>
  </si>
  <si>
    <t>Stanislav</t>
  </si>
  <si>
    <t>https://bookface-images.s3.amazonaws.com/small_logos/5f62fbd0784e6b06ebda82ebc864cbb79338d6a4.png</t>
  </si>
  <si>
    <t>controlhub.com</t>
  </si>
  <si>
    <t>ControlHub</t>
  </si>
  <si>
    <t>Purchasing Software</t>
  </si>
  <si>
    <t>[{"name":"Rodrigo Santibanez","title":"Founder","bio":"Founder @ControlHub and @EATclub. Stanford GSB","linkedin":"https://www.linkedin.com/in/santiba/"},{"name":"Leonardo de la Cerda","title":"Founder","bio":"","linkedin":"https://www.linkedin.com/in/leonardodelacerda/"}]</t>
  </si>
  <si>
    <t>Rodrigo</t>
  </si>
  <si>
    <t>https://bookface-images.s3.amazonaws.com/small_logos/568af1dc427d20e5700ab4a31d90395b1ed9bdde.png</t>
  </si>
  <si>
    <t>convictional.com</t>
  </si>
  <si>
    <t>Convictional</t>
  </si>
  <si>
    <t>Convictional is reinventing business operations</t>
  </si>
  <si>
    <t>[{"name":"Chris Grouchy","title":"Founder","bio":"Helping startups figure out 0-1 GTM.","linkedin":"https://www.linkedin.com/in/chrisgrouchy/"},{"name":"Roger Kirkness","title":"CEO &amp;","bio":"CEO &amp; Founder at Convictional","linkedin":"https://www.linkedin.com/in/roger-kirkness/"}]</t>
  </si>
  <si>
    <t>https://bookface-images.s3.amazonaws.com/small_logos/d89913eef21655f3b6aca9e9962a1f6323dc2479.png</t>
  </si>
  <si>
    <t>gocopia.com</t>
  </si>
  <si>
    <t>Copia</t>
  </si>
  <si>
    <t>Copia&amp;#39;s a for-profit technology company that solves food waste &amp;amp;…</t>
  </si>
  <si>
    <t>[{"name":"Komal Ahmad","title":"Founder","bio":"As the founder of Copia, Komal intelligently solved the complex logistics associated with the redistribution of perishable excess food to nonprofits in need. Copia’s technology dramatically reduces food waste and ends hunger. Copia will feed 7M people and provide businesses and nonprofits with over $30M in savings.\n\nEntrepreneur magazine names Komal as one of the Most Powerful Women in the World. She is on Forbes 30 Under 30 and was recently honored with the Nelson Mandela Humanitarian Award.","linkedin":"https://www.linkedin.com/in/komalahmad"}]</t>
  </si>
  <si>
    <t>Komal</t>
  </si>
  <si>
    <t>https://bookface-images.s3.amazonaws.com/small_logos/802cdfaf69a7d1d62bfdf8c18810860104506f05.png</t>
  </si>
  <si>
    <t>copilot.com</t>
  </si>
  <si>
    <t>Copilot</t>
  </si>
  <si>
    <t>Shopify for Professional Services Businesses</t>
  </si>
  <si>
    <t>[{"name":"Marlon Misra","title":"/CEO","bio":"founder/ceo at Copilot","linkedin":"https://www.linkedin.com/in/marlonmisra/"},{"name":"Neil Raina","title":"Founder","bio":"Cofounder, CTO at Portal (YC W18). Former Software Engineer at Pinterest.","linkedin":"https://linkedin.com/in/rnraina/"}]</t>
  </si>
  <si>
    <t>Marlon</t>
  </si>
  <si>
    <t>https://bookface-images.s3.amazonaws.com/small_logos/46f9c21fd1ced46b7d072b793ac52b84cec57151.png</t>
  </si>
  <si>
    <t>cortex.io</t>
  </si>
  <si>
    <t>Cortex</t>
  </si>
  <si>
    <t>Cortex is the Internal Developer Portal eliminating “developer tax”…</t>
  </si>
  <si>
    <t>https://bookface-images.s3.amazonaws.com/small_logos/00bba81d8d6dbef5184de3d7c801a05f958ef1ec.png</t>
  </si>
  <si>
    <t>courier.com</t>
  </si>
  <si>
    <t>Courier</t>
  </si>
  <si>
    <t>The fastest way for developers to build notifications for their app.</t>
  </si>
  <si>
    <t>[{"name":"Troy Goode","title":"Founder","bio":"Founder &amp; CEO @ Courier (YC S19)","linkedin":"https://www.linkedin.com/in/troygoode"}]</t>
  </si>
  <si>
    <t>Troy</t>
  </si>
  <si>
    <t>https://bookface-images.s3.amazonaws.com/small_logos/947167fc07350afdc803e650746e6c0c278e9937.png</t>
  </si>
  <si>
    <t>coursedog.com</t>
  </si>
  <si>
    <t>Coursedog</t>
  </si>
  <si>
    <t>Higher Ed&amp;#39;s Best Friend - integrated academic operations software.</t>
  </si>
  <si>
    <t>[{"name":"Nicholas Diao","title":"&amp; CTO","bio":"Founder and CEO of Omega Strategies. \n\nCo-Founder and CTO of Coursedog (YC W19).","linkedin":"https://www.linkedin.com/in/nicholas-diao-400054122/"},{"name":"Justin Wenig","title":"Founder","bio":"","linkedin":"https://www.linkedin.com/in/justinwenig/"}]</t>
  </si>
  <si>
    <t>Nicholas</t>
  </si>
  <si>
    <t>https://bookface-images.s3.amazonaws.com/small_logos/0af39114e824d0749031a5cb538dced3cac1cb27.png</t>
  </si>
  <si>
    <t>cratejoy.com</t>
  </si>
  <si>
    <t>Cratejoy</t>
  </si>
  <si>
    <t>Cratejoy is the platform for subscriptions</t>
  </si>
  <si>
    <t>[{"name":"Amir Elaguizy","title":"/CEO","bio":"CEO Cratejoy\nCEO Fun Country\nChief Strategy Overmoon\nCTO MarketZero (Acq. Zynga, 2011)","linkedin":"https://www.linkedin.com/in/amirelaguizy/"}]</t>
  </si>
  <si>
    <t>Amir</t>
  </si>
  <si>
    <t>https://bookface-images.s3.amazonaws.com/small_logos/6bac116b447d560f931d3a25197be9f97f49ee58.png</t>
  </si>
  <si>
    <t>creatoros.co</t>
  </si>
  <si>
    <t>CreatorOS</t>
  </si>
  <si>
    <t>Building tools for verifying information consumed by AI agents</t>
  </si>
  <si>
    <t>[{"name":"Madhavan Malolan","title":"Founder","bio":"Madhavan, Co-Founder of CreatorOS\nBuilding tools for verifying information consumed by AI agents.\n\nWe help humans and AI agents figure : \n1. What to verify\n2. How to verify\n3. Actually execute verification\n\nYC Badge: 0xa2dDFc8a6C1F8868B80F2747D04532a6cDE9804d","linkedin":"https://www.linkedin.com/in/madhavan-malolan-8b129b42/"},{"name":"Sriharsha Karamchati","title":"Founder","bio":"Enabling the world to create more.","linkedin":"https://www.linkedin.com/in/sriharsha-karamchati-0730947b/"},{"name":"Subhash Karri","title":"Founder","bio":"Subhash is a senior start-up leader, entrepreneur, and ex-consultant. At CreatorOS, he leads business development, partnerships, and business operations. Previously, he established and grew a business vertical to a $400M AUM business and a 120 member team at Mytrah.","linkedin":"https://www.linkedin.com/in/subhash-karri/"}]</t>
  </si>
  <si>
    <t>Madhavan</t>
  </si>
  <si>
    <t>https://bookface-images.s3.amazonaws.com/small_logos/8b512ecb3301ab8d683bbd5d94982b605acc6da8.png</t>
  </si>
  <si>
    <t>credibook.com</t>
  </si>
  <si>
    <t>CrediBook</t>
  </si>
  <si>
    <t>Faire for Indonesia</t>
  </si>
  <si>
    <t>[{"name":"Gabriel Frans","title":"Founder","bio":"Co-founder and CEO of CrediBook. Product guy at heart.\nAn avid musician and music producer, also enjoy playing a lot of games (competitively).","linkedin":"https://www.linkedin.com/in/gbyfrans/"},{"name":"Dekha Anggareska","title":"Founder","bio":"Co-founder and CTO of CrediBook. 8+ experience in software engineering. Love to create product from scratch. Besides occasional tinkering with engineering, likes to play badminton and football.","linkedin":"https://www.linkedin.com/in/dekha-anggareska-5a27374b/"},{"name":"Christian Lie","title":"Founder","bio":"Christ is a Co-Founder &amp; COO at CrediBook who has 8+ years of experience in the SMEs area.\nFocus on handling Sales Operation &amp; Marketing. Prior to this company, he has worked as a Head of Regional manager at PAYFAZZ helped the company expand through all java. He also joined PAYFAZZ in the early days and assist the company to shape the product from the customer and build an initial sales strategy the company grows 10x within a year.","linkedin":"https://www.linkedin.com/in/christlie/"}]</t>
  </si>
  <si>
    <t>Gabriel</t>
  </si>
  <si>
    <t>https://bookface-images.s3.amazonaws.com/small_logos/eb805ecba168243d2e3eea815c494ceb319e9267.png</t>
  </si>
  <si>
    <t>crowdai.com</t>
  </si>
  <si>
    <t>CrowdAI</t>
  </si>
  <si>
    <t>CrowdAI is the world&amp;#39;s leading no-code platform for vision AI</t>
  </si>
  <si>
    <t>[{"name":"Nic Borensztein","title":"/CTO","bio":"Big data, cloud infrastructure and AI/machine learning.\nTech advisor to software startups.\nB.S. Columbia University\nFormer founder of Ember","linkedin":"https://www.linkedin.com/in/nicbor"},{"name":"Pablo Garcia","title":"Founder","bio":"","linkedin":"https://www.linkedin.com/in/pablogarciaortiz"},{"name":"Devaki Raj","title":"/CEO","bio":"","linkedin":"https://www.linkedin.com/in/devaki-raj-31205826"}]</t>
  </si>
  <si>
    <t>Nic</t>
  </si>
  <si>
    <t>https://bookface-images.s3.amazonaws.com/small_logos/65641ddd8516f01cc3bf87dd2c876cd999d398f0.png</t>
  </si>
  <si>
    <t>cuboh.com</t>
  </si>
  <si>
    <t>Cuboh</t>
  </si>
  <si>
    <t>We help restaurants manage their online orders.</t>
  </si>
  <si>
    <t>Victoria, Canada</t>
  </si>
  <si>
    <t>https://bookface-images.s3.amazonaws.com/small_logos/8cbb332fb00714e64d88c8a08f5dbea1b1555e66.png</t>
  </si>
  <si>
    <t>customeros.ai</t>
  </si>
  <si>
    <t>CustomerOS</t>
  </si>
  <si>
    <t>The only agent-first CRM, designed for humans and built for B2B SaaS.</t>
  </si>
  <si>
    <t>[{"name":"Matt Brown","title":"Founder","bio":"Matt Brown is a three-time entrepreneur with one successful exit.  As the VP of Product at Voxbone, he launched and grew the business across 38 countries and over 900 customers.  In October 2020 Voxbone was acquired by Bandwidth for $519.4 million.  \n\nMatt was also the co-founder and CEO of Tengo Inc., a fintech platform serving the unbanked in ascending economies, and VP of Product at Prove, a digital identity platform trusted by 1000+ Enterprises and 500+ Financial Institutions globally.","linkedin":"https://www.linkedin.com/in/mateocafe/"},{"name":"Vasi Coscotin","title":"Founder","bio":"Vasi is a technical and people leader having 10+ years of experience building complex distributed systems developed and managed by distributed teams all over the globe. Vasi started in software for education sector, then tried to build a couple of startups that failed. Joined Voxbone for a 7 years jurney to scaled up the systems and the tech teams to support the accelerated growth from a start-up to a global communication network that is behind most used communication platforms.","linkedin":"https://www.linkedin.com/in/vasilica-coscotin-2755b153/"},{"name":"Jonty Knox","title":"Founder","bio":"Jonty is a natural tech leader, after cutting his teeth closing $1B+ contracts with BT while at Huawei, he went on to build several product and tech teams in the communications space that built $100M's of value. Prior to founding CustomerOS, he exited Voxbone in a $500M+ acquisition by Bandwidth, and then set fintech startup Otto on the path to success, being selected for Sequoia Arc's first ever batch in 2022.","linkedin":"https://www.linkedin.com/in/jontyknox/"}]</t>
  </si>
  <si>
    <t>https://bookface-images.s3.amazonaws.com/small_logos/02b255dba5cc6178830e11a1fe8f76f6d0c86367.png</t>
  </si>
  <si>
    <t>customily.com</t>
  </si>
  <si>
    <t>Customily</t>
  </si>
  <si>
    <t>Making it easy to sell personalized products online.</t>
  </si>
  <si>
    <t>St. Louis, MO</t>
  </si>
  <si>
    <t>[{"name":"Martina Möring","title":"Founder","bio":"Martina Möring is the Co-Founder of Customily, a design tool that makes it easy for e-commerce stores to sell personalized products. Originally from Uruguay, she moved to St. Louis in 2020. Martina has a background in architecture and design, and she previously co-founded Sur3D, focusing on 3D printing technology for product personalization. She has a dynamic and adventurous spirit, loves exploring new places with her family.","linkedin":"http://uy.linkedin.com/in/martinamoring"},{"name":"Alejandro Lozdziejski","title":"Founder","bio":"Creator of the first open-source 3D printer in Southamerica.\nMIT TR Innovator under 35","linkedin":"https://www.linkedin.com/in/alelozd/"}]</t>
  </si>
  <si>
    <t>Martina</t>
  </si>
  <si>
    <t>https://bookface-images.s3.amazonaws.com/small_logos/c8057663fa98c67ad45f460aa90f60f3fb6495bb.png</t>
  </si>
  <si>
    <t>custora.com</t>
  </si>
  <si>
    <t>Custora</t>
  </si>
  <si>
    <t>Custora is a predictive analytics platform for e-commerce marketing…</t>
  </si>
  <si>
    <t>cymmetria.com</t>
  </si>
  <si>
    <t>Cymmetria</t>
  </si>
  <si>
    <t>Shifting the asymmetry of cyber security.</t>
  </si>
  <si>
    <t>Tel Aviv-Yafo, Israel</t>
  </si>
  <si>
    <t>cypherhq.io</t>
  </si>
  <si>
    <t>Cypher</t>
  </si>
  <si>
    <t>Banking built with on-chain primitives for web3 founders and teams</t>
  </si>
  <si>
    <t>[{"name":"Kuberan Marimuthu","title":"Founder","bio":"Currently building Cypher (crypto on-chain banking), Ex-Engineering Leader at Coinbase, Amazon &amp; Zenefits. Built spoturtrain.com and scaled it to 2 million active users a month. 3rd time founder.","linkedin":"https://www.linkedin.com/in/kuberanmarimuthu/"}]</t>
  </si>
  <si>
    <t>Kuberan</t>
  </si>
  <si>
    <t>https://bookface-images.s3.amazonaws.com/small_logos/9c93afdca59e284c9f7ffb0e5af75d2830c485d1.png</t>
  </si>
  <si>
    <t>d-id.com</t>
  </si>
  <si>
    <t>D-ID</t>
  </si>
  <si>
    <t>Enable creators and developers to generate realistic AI personas</t>
  </si>
  <si>
    <t>https://bookface-images.s3.amazonaws.com/small_logos/0bfa35a853487ffdadce50500de098ce5beb965d.png</t>
  </si>
  <si>
    <t>dagger.io</t>
  </si>
  <si>
    <t>Dagger</t>
  </si>
  <si>
    <t>Develop your CI/CD pipelines as code and run them anywhere</t>
  </si>
  <si>
    <t>https://bookface-images.s3.amazonaws.com/small_logos/a64005bed7a505fdb8ec6767c1f1c599ebf660ca.png</t>
  </si>
  <si>
    <t>daily.co</t>
  </si>
  <si>
    <t>Daily</t>
  </si>
  <si>
    <t>Conversational Voice and Multimodal AI built with Open Source</t>
  </si>
  <si>
    <t>https://bookface-images.s3.amazonaws.com/small_logos/927c390a496a781ceefe9112931064f3f4b058ea.png</t>
  </si>
  <si>
    <t>darrow.ai</t>
  </si>
  <si>
    <t>Darrow</t>
  </si>
  <si>
    <t>Bring Justice to Light</t>
  </si>
  <si>
    <t>https://bookface-images.s3.amazonaws.com/small_logos/a315fec23343c70a7ff5db47daaacb878c366bac.png</t>
  </si>
  <si>
    <t>datanitro.com</t>
  </si>
  <si>
    <t>DataNitro</t>
  </si>
  <si>
    <t>We speed up Excel.</t>
  </si>
  <si>
    <t>[{"name":"Ben Lerner","title":"Founder","bio":"Currently working on Espresso AI. We use ML to optimize compute, starting with Snowflake bills.","linkedin":"https://www.linkedin.com/in/ben-lerner-21341223/"},{"name":"Victor Jakubiuk","title":"Founder","bio":"","linkedin":"https://linkedin.com/in/jakubiuk"}]</t>
  </si>
  <si>
    <t>datamechanics.co</t>
  </si>
  <si>
    <t>Data Mechanics</t>
  </si>
  <si>
    <t>Spark-on-Kubernetes Data Engineering Platform</t>
  </si>
  <si>
    <t>[{"name":"Jean Yves Stephan","title":"Founder","bio":"2019-2021: Co-Founder &amp; CEO at Data Mechanics (YC S19 Batch, B2B Data Engineering Platform). Acquired by Spot in 2021, worked as a PM there until September 2022. \n\nNow working on something new, with a special interest in climate tech, sustainability, environmental and social impact. Also getting involved as a BA or startup advisor, whenever I can add value. Reach out to me :)!","linkedin":"https://www.linkedin.com/in/jystephan/"},{"name":"Julien Dumazert","title":"Founder","bio":"","linkedin":"https://www.linkedin.com/in/julien-dumazert-5b46a485/"}]</t>
  </si>
  <si>
    <t>Jean</t>
  </si>
  <si>
    <t>https://bookface-images.s3.amazonaws.com/small_logos/041cd41aaf413fd601a958566433246e70084357.png</t>
  </si>
  <si>
    <t>datafold.com</t>
  </si>
  <si>
    <t>Datafold</t>
  </si>
  <si>
    <t>Deal with analytical data quality in the pull request</t>
  </si>
  <si>
    <t>[{"name":"Gleb Mezhanskiy","title":"Founder","bio":"In the past five years, I’ve designed and built data platforms for three very different companies: Autodesk, Lyft &amp; Phantom Auto, a mature public corporation, an exponentially growing marketplace, and a seed-stage startup at the time respectively. I've experienced first-hand the challenges of having poor data quality and observability in a data-driven environment and built multiple internal tools for data monitoring, data cataloging, and lineage.","linkedin":"https://www.linkedin.com/in/glebmezh/"},{"name":"Alex Morozov","title":"Founder","bio":"","linkedin":"https://www.linkedin.com/in/alex-morozov-54b5081aa"}]</t>
  </si>
  <si>
    <t>Gleb</t>
  </si>
  <si>
    <t>https://bookface-images.s3.amazonaws.com/small_logos/196898f11a9311436ed24d99e2972511f8433f5d.png</t>
  </si>
  <si>
    <t>dataform.co</t>
  </si>
  <si>
    <t>Dataform</t>
  </si>
  <si>
    <t>Manage data in Snowflake, BigQuery, and Redshift</t>
  </si>
  <si>
    <t>[{"name":"Lewis Hemens","title":"Founder","bio":"Ex CTO @ Dataform (Acquired)\nGoogle Engineering Manager in Data Analytics until 2024\nInterested in data, AI, ML, can write small checks","linkedin":"https://www.linkedin.com/in/lewishemens/"},{"name":"Guillaume-Henri Huon","title":"Founder","bio":"","linkedin":""}]</t>
  </si>
  <si>
    <t>Lewis</t>
  </si>
  <si>
    <t>https://bookface-images.s3.amazonaws.com/small_logos/46c81a7dc1e9ec184f2bab776059e6e905b81100.png</t>
  </si>
  <si>
    <t>dataherald.com</t>
  </si>
  <si>
    <t>Dataherald</t>
  </si>
  <si>
    <t>Embed NL-to-SQL into your Product 📈</t>
  </si>
  <si>
    <t>[{"name":"Anuj Saigal","title":"Founder","bio":"Prior to Dataherald, I led Revenue Ops at Nauto, an AI company focused on the transportation industry. I also held roles in cleantech and finance: GM at EVgo (EV fast charging), SunEdison, the Dept of Energy, and JPMorgan.","linkedin":"https://www.linkedin.com/in/anujsaigal/"},{"name":"Amir Zohrenejad","title":"Founder","bio":"CTO/Co-Founder of Dataherald. Prior to Dataherald, Amir worked as a PM at Microsoft, founded a mobile messaging startup and led his family business. He studied EECS and Applied Mathematics at UC Berkeley.","linkedin":"https://www.linkedin.com/in/amir-zohrenejad-72a517184"}]</t>
  </si>
  <si>
    <t>Dataherald enables you to embed Natural Language to SQL (“NL-to-SQL”) into your product. The NL-to-SQL API, built with an LLM (such as GPT), allows users to conduct no-code data analytics, pull reports, and conduct complex data queries using just natural language.</t>
  </si>
  <si>
    <t>Anuj</t>
  </si>
  <si>
    <t>https://bookface-images.s3.amazonaws.com/small_logos/5c93e96c934069a8ed8555602a5fa1924663bdd0.png</t>
  </si>
  <si>
    <t>datarank.com</t>
  </si>
  <si>
    <t>Datarank</t>
  </si>
  <si>
    <t>Making sense of social data. 
(Acquired by SimplyMeasured.)</t>
  </si>
  <si>
    <t>Fayetteville, AR</t>
  </si>
  <si>
    <t>datasaur.ai</t>
  </si>
  <si>
    <t>Datasaur</t>
  </si>
  <si>
    <t>Datasaur builds a data labeling workforce management platform for NLP.</t>
  </si>
  <si>
    <t>Livermore, CA</t>
  </si>
  <si>
    <t>[{"name":"Ivan Lee","title":"Founder","bio":"Ivan serves as the Founder and CEO of Datasaur.ai. Datasaur builds data labeling software for ML teams working on NLP.\nAfter graduating from Stanford with a Computer Science degree, Ivan has spent his career working in the machine learning, search and gaming industries. He's driven by building cohesive teams and crafting technological breakthroughs into meaningful user experiences.","linkedin":"https://www.linkedin.com/in/iylee"}]</t>
  </si>
  <si>
    <t>We create smart and efficient data labeling tools.</t>
  </si>
  <si>
    <t>Ivan</t>
  </si>
  <si>
    <t>https://bookface-images.s3.amazonaws.com/small_logos/b034ae95d0987f25f5a158decefc230711671261.png</t>
  </si>
  <si>
    <t>datlo.com</t>
  </si>
  <si>
    <t>Datlo</t>
  </si>
  <si>
    <t>Datlo helps companies increase sales and expand through data</t>
  </si>
  <si>
    <t>Maringá, Brazil</t>
  </si>
  <si>
    <t>https://bookface-images.s3.amazonaws.com/small_logos/ff8ea6145bd2655e4c3aad9c3d5e8252e1b412d0.png</t>
  </si>
  <si>
    <t>datree.io</t>
  </si>
  <si>
    <t>Datree</t>
  </si>
  <si>
    <t>Datree prevents Kubernetes misconfigurations from reaching production</t>
  </si>
  <si>
    <t>[{"name":"Shimon Tolts","title":"Founder","bio":"CNCF Ambassador, AWS Hero, Co-Founder of Datree. ex-ironSource GM of Platform Engineering","linkedin":"https://linkedin.com/in/tolts"},{"name":"Eyar (Epic) Zilberman","title":"Founder","bio":"In law school, I researched open-source licensing, fell in love with the technology and became active in the development community. Through open-source, I have grown into the professional I am today, leading my startup. The purpose of Datree is to equip developers with the tools they need to succeed. I intend to remain developer-focused, and to continue giving back to the community that gave me so much back when I began my journey.","linkedin":"https://www.linkedin.com/in/eyar-zilberman/"}]</t>
  </si>
  <si>
    <t>Shimon</t>
  </si>
  <si>
    <t>https://bookface-images.s3.amazonaws.com/small_logos/6fc4eed9550a66ab0a862b8bee8e561d3be5134a.png</t>
  </si>
  <si>
    <t>dealls.com</t>
  </si>
  <si>
    <t>Dealls – Jobs &amp;amp; Mentoring</t>
  </si>
  <si>
    <t>Indonesia&amp;#39;s #1 ATS &amp;amp; Job Portal to match top talents &amp;amp; companies</t>
  </si>
  <si>
    <t>[{"name":"Andhika Sudarman","title":"Founder","bio":"Andhika is one of the 24 people who ever attended Harvard Law School from Indonesia, and is the first-ever from South East Asia to have delivered a commencement speech. In just 14 months, he built SejutaCita, a community of ambitious local and international graduates that generated over $300K in annual revenue and achieved profitability with more than 1.4M QAU. SejutaCita also won the Best App of 2021 award in the Indonesia category on Google Play.","linkedin":"https://www.linkedin.com/in/andhikasudarman/"}]</t>
  </si>
  <si>
    <t>Andhika</t>
  </si>
  <si>
    <t>https://bookface-images.s3.amazonaws.com/small_logos/aa9178d0b014c641d94c14957d7103e94f2bda01.png</t>
  </si>
  <si>
    <t>decentro.tech</t>
  </si>
  <si>
    <t>Decentro</t>
  </si>
  <si>
    <t>API Platform for Banking Integrations (Plaid for India and APAC)</t>
  </si>
  <si>
    <t>[{"name":"Rohit Taneja","title":"Founder","bio":"My aim in life is to contribute to the world by solving some of the toughest problems that exist. \n\nI believe that to run a technology venture, the culture needs to be set from the foundation and only a highly knowledgeable and passionate person can get it right. That is why I strive to be a polymath. \n\nThe domains that I am planning to work on (sequentially over the course of my lifetime) are - \n1. Digital payments \n2. Block-chain \n3. Sustainability &amp; Climate Change","linkedin":"https://www.linkedin.com/in/rohit-taneja-69b30b13/"}]</t>
  </si>
  <si>
    <t>Rohit</t>
  </si>
  <si>
    <t>https://bookface-images.s3.amazonaws.com/small_logos/26546d4be80e83088bea9fc9e77f6aa3cd234174.png</t>
  </si>
  <si>
    <t>joindeed.com</t>
  </si>
  <si>
    <t>Deed</t>
  </si>
  <si>
    <t>Making it easy for employees to donate and volunteer with good causes.</t>
  </si>
  <si>
    <t>[{"name":"Deevee Kashi","title":"Founder","bio":"At age 24, I helped lead a top hospitality brand, generating $14 million in revenue a year before expanding the brand around the world. Feeling empty after ten years in the industry, I sought to give back but found it incredibly difficult to volunteer. It was then that I had the crazy idea of making doing good both easy and exciting!","linkedin":"https://www.linkedin.com/in/deeveekashi"},{"name":"Aske Ertmann","title":"Founder","bio":"More than 15 years experience architecting and building applications for MM and enterprise organizations. Former partner at web agency and release manager of Neos CMS. Applying these skills to build tools that help people do good.","linkedin":"https://www.linkedin.com/in/aske-ertmann-816a07101/"},{"name":"Steve Liu","title":"Founder","bio":"Prior to Deed, I spent 17 years creating new products, trading new markets, and generating over $120M of revenue at Merrill, Lehman, and Jefferies. Also built a boutique investment bank from scratch in the aftermath of the financial crisis. Stanford MS (Management Science and Engineering) and BA (Economics).","linkedin":"https://www.linkedin.com/in/stevenliu98/"}]</t>
  </si>
  <si>
    <t>Deevee</t>
  </si>
  <si>
    <t>https://bookface-images.s3.amazonaws.com/small_logos/1b80a4df0b9154b81c10f1f6293cdab63dc635a1.png</t>
  </si>
  <si>
    <t>deepsource.com</t>
  </si>
  <si>
    <t>DeepSource</t>
  </si>
  <si>
    <t>The Code Health Platform</t>
  </si>
  <si>
    <t>[{"name":"Jai Pradeesh","title":"Founder","bio":"Founder, DeepSource","linkedin":"https://www.linkedin.com/in/jaipradeesh/"},{"name":"Sanket Saurav","title":"Founder","bio":"Co-founder/CEO at DeepSource (W20). Passionate about building developer tools. Part designer, part developer.","linkedin":"https://in.linkedin.com/in/sanketsaurav"}]</t>
  </si>
  <si>
    <t>Jai</t>
  </si>
  <si>
    <t>https://bookface-images.s3.amazonaws.com/small_logos/40895f9d8f2b40522c600e5eaad2d50a265b76ca.png</t>
  </si>
  <si>
    <t>delineate.pro</t>
  </si>
  <si>
    <t>Delineate</t>
  </si>
  <si>
    <t>Extract meaningful data from research literature and patents at…</t>
  </si>
  <si>
    <t>[{"name":"Jawad Iqbal","title":"Founder","bio":"Co-Founder and CTO of Delineate. Masters thesis in Robotics/AI with 2 research publications. Former technical project manager for high impact digital transformation projects within Skunkworks (Advanced Development) division at Lockheed Martin.","linkedin":"https://www.linkedin.com/in/jawad-iqbal/"},{"name":"Emily Nieves","title":"Founder","bio":"Co-founder at Delineate. Previously she was an MIT PhD Candidate in Biological Engineering and worked at Pfizer and AstraZeneca where she focused on applying AI to modeling and simulation for drug development optimization.","linkedin":"https://www.linkedin.com/in/emily-nieves-a67b90144/"}]</t>
  </si>
  <si>
    <t>90% of drug candidates fail despite billions in pharmaceutical R&amp;amp;D. Making evidence based decisions is crucial to the success of $2B drug pipelines. However to aggregate evidence across hundreds of research papers and patents can take research scientists months of hard labor.</t>
  </si>
  <si>
    <t>Jawad</t>
  </si>
  <si>
    <t>https://bookface-images.s3.amazonaws.com/small_logos/157ef705774b4b91cf62de3244f82d80101e257a.png</t>
  </si>
  <si>
    <t>demandsphere.com</t>
  </si>
  <si>
    <t>DemandSphere</t>
  </si>
  <si>
    <t>SEO &amp;amp; Content Marketing Intelligence</t>
  </si>
  <si>
    <t>Columbus, OH</t>
  </si>
  <si>
    <t>[{"name":"Ray Grieselhuber","title":"/CEO","bio":"Founder &amp; CEO of DemandSphere, an analytics and automation platform for ecommerce and programmatic SEO teams, in-house and agency.","linkedin":"https://www.linkedin.com/in/raygrieselhuber/"}]</t>
  </si>
  <si>
    <t>Ray</t>
  </si>
  <si>
    <t>https://bookface-images.s3.amazonaws.com/small_logos/0a6238d6a169f2a7cfa9e5f25562e94956a1e0f5.png</t>
  </si>
  <si>
    <t>depict.ai</t>
  </si>
  <si>
    <t>Depict</t>
  </si>
  <si>
    <t>Merchandising for fashion e-commerce</t>
  </si>
  <si>
    <t>Stockholm, Sweden</t>
  </si>
  <si>
    <t>https://bookface-images.s3.amazonaws.com/small_logos/ab7c0b045e631107c80e1bfa7e008c9c211f8bb9.png</t>
  </si>
  <si>
    <t>devcycle.com</t>
  </si>
  <si>
    <t>DevCycle</t>
  </si>
  <si>
    <t>Feature Flag Management Built for Developers</t>
  </si>
  <si>
    <t>[{"name":"Andrew Norris","title":"/COO","bio":"COO and Co-Founder, here to help with anything B2B sales, A/B testing, Finance, Operations, etc.","linkedin":"https://www.linkedin.com/in/andrewsnorris/"},{"name":"Jonathan Norris","title":"/CTO","bio":"Co-Founder &amp; CTO @ DevCycle + Taplytics W14","linkedin":"https://www.linkedin.com/in/jonathantnorris"},{"name":"Cobi Druxerman","title":"/CPO","bio":"","linkedin":"https://www.linkedin.com/in/druxerman/"}]</t>
  </si>
  <si>
    <t>https://bookface-images.s3.amazonaws.com/small_logos/d251539438cb0eef66e90304a3ff25d30dfcf607.png</t>
  </si>
  <si>
    <t>dimorder.com</t>
  </si>
  <si>
    <t>DimOrder</t>
  </si>
  <si>
    <t>Toast for Southeast Asia</t>
  </si>
  <si>
    <t>[{"name":"Tim Lee","title":"Founder","bio":"Co-founder of DimOrder. Oversees sales, strategy and direction at DimOrder. Previous life in running a cafe and a Japanese restaurant, after years in the financial field doing wealth management. Graduated from University of Warwick, studying economics. \n\nA food lover, tennis player and F1 fan.","linkedin":"https://www.linkedin.com/in/tim-lee-a8676896/"},{"name":"Ben Wong","title":"Founder","bio":"Founder of DimOrder. Oversees operation and direction of DimOrder.  Ben has been in F&amp;B industry for over 5 years, ran a 20-staff 3000sq. ft. Japanese restaurant and bubble tea shops.\nBen has expertise in the financial ecosystem, especially in payment clearing, loan model, and cash management.","linkedin":"https://www.linkedin.com/in/dobenwong/"}]</t>
  </si>
  <si>
    <t>Tim</t>
  </si>
  <si>
    <t>https://bookface-images.s3.amazonaws.com/small_logos/a0a68dcf9898cd2ec07ae77181dd232dfe03396f.png</t>
  </si>
  <si>
    <t>disqus.com</t>
  </si>
  <si>
    <t>Disqus</t>
  </si>
  <si>
    <t>Add comments to your website.</t>
  </si>
  <si>
    <t>[{"name":"Daniel Ha","title":"/CEO","bio":"Cofounder Disqus, YC07. Now investing, advising, tinkering.","linkedin":"http://linkedin.com/in/danielha"},{"name":"Jason Yan","title":"/CTO","bio":"","linkedin":"https://www.linkedin.com/in/jasonyan"}]</t>
  </si>
  <si>
    <t>https://bookface-images.s3.amazonaws.com/small_logos/fb718afca7b940f8fcefff5f61a1eb17f9bbc3c0.png</t>
  </si>
  <si>
    <t>dittowords.com</t>
  </si>
  <si>
    <t>Ditto</t>
  </si>
  <si>
    <t>Manage the words across your team’s product from design to production.</t>
  </si>
  <si>
    <t>https://bookface-images.s3.amazonaws.com/small_logos/74c7e5700b37d004a21b21f411b10e188028b085.png</t>
  </si>
  <si>
    <t>dojah.io</t>
  </si>
  <si>
    <t>Dojah Inc</t>
  </si>
  <si>
    <t>Prevent Fraud and Onboard Users Faster</t>
  </si>
  <si>
    <t>[{"name":"Tobi Ololade","title":"Founder","bio":"Tobi Ololade is the Founder and CEO of Dojah. Tobi plays a leading role in driving key strategic initiatives across the global business. Previously he was the CTO of Tradebua, a data and API infrastructure for agriculture finance. Tobi became an entrepreneur in his early days as a student, running a business that served clients in multiple countries.","linkedin":"https://www.linkedin.com/in/ololaday/"},{"name":"Ayomide Oso","title":"Founder","bio":"Ayomide is the co-founder and Head of product. Ayomide's tech journey started at Elta Solutions, a dev shop providing a range of services for building digital products. This gave her a good understanding of major problems innovators across the continent face.\nAyomide worked on several products, including Ropay (https://ropay.ng/). While at this, she faced similar problem innovators across sectors are dealing with in \"sourcing API's and necessary data\" and decided to solve it once and for all.","linkedin":"https://www.linkedin.com/in/ayomideoso/"}]</t>
  </si>
  <si>
    <t>Tobi</t>
  </si>
  <si>
    <t>https://bookface-images.s3.amazonaws.com/small_logos/efe7334aa351791d82bb37028b9f9bc229817771.png</t>
  </si>
  <si>
    <t>doppler.com</t>
  </si>
  <si>
    <t>Doppler</t>
  </si>
  <si>
    <t>The first SecretOps Platform.</t>
  </si>
  <si>
    <t>[{"name":"Brian Vallelunga","title":"Founder","bio":"CEO of Doppler. Previously engineering lead at Uber.","linkedin":"http://linkedin.com/in/vallelungabrian"}]</t>
  </si>
  <si>
    <t>Brian</t>
  </si>
  <si>
    <t>https://bookface-images.s3.amazonaws.com/small_logos/66a107c5c83003596991722f8d3d73d13a0b6da2.png</t>
  </si>
  <si>
    <t>doublerobotics.com</t>
  </si>
  <si>
    <t>Double Robotics</t>
  </si>
  <si>
    <t>Telepresence robots</t>
  </si>
  <si>
    <t>Burlingame, CA</t>
  </si>
  <si>
    <t>Contract and negotiation AI built for lawyers</t>
  </si>
  <si>
    <t>[{"name":"James Ding","title":"/CEO","bio":"CEO and co-founder of DraftWise","linkedin":"https://www.linkedin.com/in/jamding/"},{"name":"Emre Ozen","title":"/CTO","bio":"Co-Founder &amp; CTO @ DraftWise \n\n ex-Palantir | Cybersecurity | Data-Intensive Applications | Enterprise Software","linkedin":"https://www.linkedin.com/in/ozenemre"},{"name":"Ozan Yalti","title":"/CSO","bio":"Founder at DraftWise","linkedin":"https://www.linkedin.com/in/ozan-yalti-b64005b"}]</t>
  </si>
  <si>
    <t>https://bookface-images.s3.amazonaws.com/small_logos/718046638373d3ceab63b7430c6b668859bb2cc2.png</t>
  </si>
  <si>
    <t>draftbit.com</t>
  </si>
  <si>
    <t>Draftbit</t>
  </si>
  <si>
    <t>Build mobile apps visually. Source-code included.</t>
  </si>
  <si>
    <t>[{"name":"Brian Luerssen","title":"/CEO","bio":"Hey there -- I'm one of the co-founders of Draftbit, a new way to visually design, build, and iterate on cross-platform mobile applications. https://draftbit.com\n\nBefore Draftbit, I created and was General Manager of OkCupid Labs, based in San Francisco. OkCupid Labs is the new business creation arm of Match.com and IAC Personals (NASDAQ: IACI). Prior to working at OkCupid, I co-founded Quantitative Insights, a machine-learning focused medical imaging and healthcare IT company (acquired).","linkedin":"http://www.linkedin.com/in/brianluerssen/"}]</t>
  </si>
  <si>
    <t>https://bookface-images.s3.amazonaws.com/small_logos/d17a0ed990c48104bc90127a4fb06f01edc52a17.png</t>
  </si>
  <si>
    <t>The complete toolkit to sell travel.</t>
  </si>
  <si>
    <t>https://bookface-images.s3.amazonaws.com/small_logos/7ed3effeac481fb858f8cf67828524e20b606b12.png</t>
  </si>
  <si>
    <t>dynamo.ai</t>
  </si>
  <si>
    <t>Dynamo AI</t>
  </si>
  <si>
    <t>Compliant-Ready AI for the Enterprise</t>
  </si>
  <si>
    <t>[{"name":"Christian Lau","title":"Founder","bio":"Co-founder @ Dynamo AI (YC W22) | EECS Ph.D. at MIT | Secure and Compliant AI","linkedin":"https://www.linkedin.com/in/christian-lau-18055546"},{"name":"Vaikkunth Mugunthan","title":"Founder","bio":"Co-Founder/CEO - DynamoFL | MIT CS SM'19 PhD'22 | Differential Privacy and Federated Learning","linkedin":"https://www.linkedin.com/in/vaikkunth/"}]</t>
  </si>
  <si>
    <t>https://bookface-images.s3.amazonaws.com/small_logos/3304eb7be6e1ef3c98fcc797f946b15b44191759.png</t>
  </si>
  <si>
    <t>dyspatch.io</t>
  </si>
  <si>
    <t>Dyspatch</t>
  </si>
  <si>
    <t>Two products to help everyone email better. Dyspatch.io - Email…</t>
  </si>
  <si>
    <t>dyte.io</t>
  </si>
  <si>
    <t>Dyte</t>
  </si>
  <si>
    <t>Real-time audio &amp;amp; video SDKs, ready to launch 🚀</t>
  </si>
  <si>
    <t>[{"name":"Abhishek Kankani","title":"Founder","bio":"Busy building dyte.io\n\nHappy to help with Product, Hiring &amp; GTM 😃","linkedin":"http://www.linkedin.com/in/abhishekkankani"},{"name":"Palash Golecha","title":"Founder","bio":"Bengaluru, India","linkedin":"https://linkedin.com/in/palash-golecha-827a78145/"},{"name":"Kushagra Vaish","title":"Founder","bio":"//TODO: Add some meaningful intro","linkedin":"https://www.linkedin.com/in/kushagra-vaish-9437b3110/"}]</t>
  </si>
  <si>
    <t>https://bookface-images.s3.amazonaws.com/small_logos/770e5b3b347dbbb7f635ee0bda4a8e6f8f4a3f14.png</t>
  </si>
  <si>
    <t>earbits.com</t>
  </si>
  <si>
    <t>Earbits</t>
  </si>
  <si>
    <t>Google AdWords for music.  Allowing bands and labels to bid for…</t>
  </si>
  <si>
    <t>[{"name":"Benjamin Bryant","title":"Founder","bio":"Earbits (W11), Pebble (W11), Angel Investor","linkedin":"https://www.linkedin.com/in/bhbryant"},{"name":"Joey Flores","title":"Founder","bio":"In startups since 1998. Co-founding CEO of Earbits (yc w11), acquired by You42. I am currently the Founder and Managing Director of Inversion Art, a Y Combinator-inspired accelerator for high profile fine artists.","linkedin":"https://linkedin.com/in/joeyjflores"},{"name":"Yotam Rosenbaum","title":"Founder","bio":"Musician turned founder turned investor","linkedin":"https://www.linkedin.com/in/yotamrosenbaum/"}]</t>
  </si>
  <si>
    <t>https://bookface-images.s3.amazonaws.com/small_logos/7c80ed0df2139f0c86b3495949b5e539365d8a02.png</t>
  </si>
  <si>
    <t>easol.com</t>
  </si>
  <si>
    <t>Easol</t>
  </si>
  <si>
    <t>Shopify for experiences</t>
  </si>
  <si>
    <t>https://bookface-images.s3.amazonaws.com/small_logos/9ced7b33328e934d0dba3f16b4bd312b431da86b.png</t>
  </si>
  <si>
    <t>easypost.com</t>
  </si>
  <si>
    <t>EasyPost</t>
  </si>
  <si>
    <t>The shipping infrastructure of the internet.</t>
  </si>
  <si>
    <t>[{"name":"Jarrett Streebin","title":"/Title","bio":"Founder and CEO of EasyPost","linkedin":"https://www.linkedin.com/in/jstreebin"}]</t>
  </si>
  <si>
    <t>Jarrett</t>
  </si>
  <si>
    <t>https://bookface-images.s3.amazonaws.com/small_logos/37f58af9ede41176af776f779ec507cd820dd514.png</t>
  </si>
  <si>
    <t>edenworkplace.com</t>
  </si>
  <si>
    <t>Eden</t>
  </si>
  <si>
    <t>Workplace software for people-centric companies.</t>
  </si>
  <si>
    <t>[{"name":"Joe Du Bey","title":"/CEO","bio":"Co-founder and CEO at Eden, workplace software for people-centric companies. Our suite of tools includes all the products needed to manage your physical office, including desk booking, room scheduling, visitor management, and more. \n\nPrior to Eden, I worked as an investor.","linkedin":"https://linkedin.com/in/joedubey"},{"name":"Kyle Wilkinson","title":"/CTO","bio":"","linkedin":"https://www.linkedin.com/in/kyledwilkinson/en"},{"name":"Guy Morita","title":"Founder","bio":"Eden S15","linkedin":"http://www.linkedin.com/in/guymorita"}]</t>
  </si>
  <si>
    <t>Joe</t>
  </si>
  <si>
    <t>https://bookface-images.s3.amazonaws.com/small_logos/6f59a6cd72ad7a541111cd58bd8a38bbd6fb95f4.png</t>
  </si>
  <si>
    <t>eivod.com</t>
  </si>
  <si>
    <t>Eivod</t>
  </si>
  <si>
    <t>[{"name":"Wei An Wang","title":"Founder","bio":"Looking for the next big thing!","linkedin":"https://linkedin.com/in/weian"},{"name":"Joe Damato","title":"/CEO","bio":"","linkedin":"https://www.linkedin.com/in/joe-damato-683b053/"},{"name":"Bob Dimaggio","title":"Founder","bio":"","linkedin":"https://www.linkedin.com/in/robertdimaggio"}]</t>
  </si>
  <si>
    <t>Wei</t>
  </si>
  <si>
    <t>elementary-data.com</t>
  </si>
  <si>
    <t>Elementary</t>
  </si>
  <si>
    <t>Open-source data observability for data teams</t>
  </si>
  <si>
    <t>[{"name":"Maayan Salom","title":"Founder","bio":"Ex-8200, Formerly Incident Response engagement manager at Sygnia (acquired by Temasek).\nOver 10 years in data analysis and managing teams of analysts and researchers. \nValidating data since 2010.","linkedin":"https://www.linkedin.com/in/maayansa/"},{"name":"Or Avidov","title":"Founder","bio":"Ex-8200 (Israeli intelligence unit), formerly Director of engineering at Singular.\nOver 10 years in software and data engineering. \nM.Sc. in Computer Science and Machine learning.\nBuilding data pipelines since 2010.","linkedin":"https://www.linkedin.com/in/oravidov/"}]</t>
  </si>
  <si>
    <t>Maayan</t>
  </si>
  <si>
    <t>https://bookface-images.s3.amazonaws.com/small_logos/45aadc83c7554b356da35bb6d48a350f575804b2.png</t>
  </si>
  <si>
    <t>getelucify.com</t>
  </si>
  <si>
    <t>Elucify</t>
  </si>
  <si>
    <t>Elucify is an API that plugs into your CRM which automatically cleans…</t>
  </si>
  <si>
    <t>[{"name":"Mihir Deo","title":"/COO","bio":"Currently CEO @ Invoice Butler. Former Founder of Elucify, acquired by Circleback.","linkedin":"https://www.linkedin.com/in/mihirdeo"},{"name":"Gerald Fong","title":"/CEO","bio":"","linkedin":"https://www.linkedin.com/in/geraldfong"},{"name":"Naveen Krishnamurthi","title":"Founder","bio":"","linkedin":"https://www.linkedin.com/in/naveen401"}]</t>
  </si>
  <si>
    <t>Mihir</t>
  </si>
  <si>
    <t>embeddables.com</t>
  </si>
  <si>
    <t>Embeddables (formerly Savvy)</t>
  </si>
  <si>
    <t>Custom, embeddable user flows for your website or app</t>
  </si>
  <si>
    <t>[{"name":"Jeremy Evans","title":"Founder","bio":"Co-founder of Embeddables (YC S18, embeddables.com), formerly Savvy. Embeddables is a no-code platform for building online experiences like onboarding flows and calculators, as well as democracy tools like voter quizzes. Background in journalism, teaching and politics, having built tools helping millions with their vote in the UK. Passionate about building tech for a better democracy.","linkedin":"https://www.linkedin.com/in/jeremynevans/"},{"name":"Matthew Morley","title":"/CEO","bio":"co-Founder and CEO of Embeddables. Talk to me about go-to-market, democracy and civic tech.","linkedin":"https://www.linkedin.com/in/matthew-morley-96951170/"}]</t>
  </si>
  <si>
    <t>Jeremy</t>
  </si>
  <si>
    <t>https://bookface-images.s3.amazonaws.com/small_logos/e2e7cc961daf91fd34139f65969fe6d1eb62c853.png</t>
  </si>
  <si>
    <t>embrace.io</t>
  </si>
  <si>
    <t>Embrace</t>
  </si>
  <si>
    <t>Modern mobile observability built on OpenTelemetry</t>
  </si>
  <si>
    <t>[{"name":"Eric Futoran","title":"and CEO","bio":"Founder of Embrace, the only observability platform purpose-built for mobile. We proactively discover errors and instantly resolve issues for UX and Engineers, while delivering 100% of sessions and enriched data for Data Science.\n\nPreviously founder of Scopely, the #1 mobile games publisher with Yahtzee, Walking Dead, and Star Trek. Built the first DMP at Aggregate Knowledge.  First job was at Trilogy.","linkedin":"https://www.linkedin.com/in/futoran/"},{"name":"Fredric Newberg","title":"Founder","bio":"","linkedin":"https://www.linkedin.com/in/fredricnewberg/"}]</t>
  </si>
  <si>
    <t>https://bookface-images.s3.amazonaws.com/small_logos/6c5df7e755694ec01e6b16cfc307e0ddf5712e43.png</t>
  </si>
  <si>
    <t>emilabs.ai</t>
  </si>
  <si>
    <t>Emi Labs</t>
  </si>
  <si>
    <t>Helping great teams hire better frontline workers, faster.</t>
  </si>
  <si>
    <t>https://bookface-images.s3.amazonaws.com/small_logos/25a8aa23cfff119b7471947d3dd11822c805174e.png</t>
  </si>
  <si>
    <t>enableus.com</t>
  </si>
  <si>
    <t>Enable Us</t>
  </si>
  <si>
    <t>Digital Sales Rooms (Acquired by MindTickle)</t>
  </si>
  <si>
    <t>https://bookface-images.s3.amazonaws.com/small_logos/d44c347d2423e9e5111ff1d951050b1e74ca9883.png</t>
  </si>
  <si>
    <t>encord.com</t>
  </si>
  <si>
    <t>Encord</t>
  </si>
  <si>
    <t>The data development platform for AI teams</t>
  </si>
  <si>
    <t>[{"name":"Ulrik Stig Hansen","title":"Co- &amp; President","bio":"Co-Founder &amp; President, Encord","linkedin":"https://www.linkedin.com/in/ulrik-stig-hansen-2658273b/"},{"name":"Eric Landau","title":"Founder","bio":"Senior Quantitative Researcher | DRW \nSM Applied Physics | Harvard University\nMS Electrical Engineering, BS Physics  |  Stanford University","linkedin":"https://www.linkedin.com/in/eric-landau-40992ab0/"}]</t>
  </si>
  <si>
    <t>Ulrik</t>
  </si>
  <si>
    <t>https://bookface-images.s3.amazonaws.com/small_logos/b0c0b8150edc64332f4d529343a9096db99002e1.png</t>
  </si>
  <si>
    <t>ensoanalytics.com</t>
  </si>
  <si>
    <t>Enso</t>
  </si>
  <si>
    <t>Self-Service Data Prep and Blend Built for Data Teams.</t>
  </si>
  <si>
    <t>Kraków, Poland</t>
  </si>
  <si>
    <t>[{"name":"Wojciech Danilo","title":"Founder","bio":"Author of data processing tools used by Pixar and Dreamworks.  Haskeller, experienced in building compilers and GPU computing. Passionate about visual programming, aesthetics, and ergonomics. On a mission to empower people with tools to innovate and advance. Loves dogs.","linkedin":"http://linkedin.com/in/wojciechdanilo/"},{"name":"Sylwia Brodacka","title":"Founder","bio":"Leader, software developer, physicist. Used to design materials to build 🚀  Now creates tools to open up new possibilities for people.\nAddicted to sports, 🐕 lover.","linkedin":"https://www.linkedin.com/in/sylwia-brodacka/"}]</t>
  </si>
  <si>
    <t>Wojciech</t>
  </si>
  <si>
    <t>https://bookface-images.s3.amazonaws.com/small_logos/b6759a6164c3fd0594119ff78b7d4a6206f80f1b.png</t>
  </si>
  <si>
    <t>epsilon3.io</t>
  </si>
  <si>
    <t>Epsilon3</t>
  </si>
  <si>
    <t>The OS for spacecraft and complex operations</t>
  </si>
  <si>
    <t>[{"name":"Laura Crabtree","title":"Founder","bio":"15+ years satellite and spacecraft operations, lead trainer + CORE operator for SpaceX Demo-2 Astronauts. Leader, innovator &amp; deeply passionate about space, exploration and the future of mankind.","linkedin":"https://www.linkedin.com/in/lauracrabtree/"},{"name":"Max Mednik","title":"Founder","bio":"4x entrepreneur, software engineer, and angel investor. Stanford and UCLA Anderson grad. Magician, scuba diver, and student of life.","linkedin":"https://www.linkedin.com/in/maxmednik"}]</t>
  </si>
  <si>
    <t>Laura</t>
  </si>
  <si>
    <t>https://bookface-images.s3.amazonaws.com/small_logos/6bb6677a8475d7e45f3bdaa25abe71e53f68ffca.png</t>
  </si>
  <si>
    <t>escape.tech</t>
  </si>
  <si>
    <t>Escape</t>
  </si>
  <si>
    <t>Discover and secure all your APIs, SPAs and Microservices</t>
  </si>
  <si>
    <t>[{"name":"Tristan Kalos","title":"Founder","bio":"Building Escape (YC W23) to help AppSec and Engineering teams secure their Single Page Apps, APIs, and Microservices. Previously ML engineer at source{d} and researcher at UC Berkeley. Passionate about solving complex business problems with creative technology or user experiences.","linkedin":"https://linkedin.com/in/tkalos"},{"name":"Antoine Carossio","title":"Founder","bio":"🇫🇷 • Engineer • UC Berkeley • Apple","linkedin":"https://linkedin.com/in/acarossio"}]</t>
  </si>
  <si>
    <t>Tristan</t>
  </si>
  <si>
    <t>https://bookface-images.s3.amazonaws.com/small_logos/b4f2dd64a7e6eed13a24457daafdaa5723f661a7.png</t>
  </si>
  <si>
    <t>estimote.com</t>
  </si>
  <si>
    <t>Estimote, Inc.</t>
  </si>
  <si>
    <t>Location intelligence platform</t>
  </si>
  <si>
    <t>[{"name":"Lukasz Kostka","title":"/CTO","bio":"Co-Founder &amp; CTO @ Estimote","linkedin":"https://www.linkedin.com/in/lukaszkostka/"},{"name":"Jakub Krzych","title":"/CEO","bio":"Co-Founder and CEO of Estimote, Inc (YC S13), a location intelligence platform and pioneer of beacons.\nJakub has graduated Physics and Computer Science on Jagiellonian University in Kraków, Poland.","linkedin":"https://www.linkedin.com/in/krzych"}]</t>
  </si>
  <si>
    <t>Lukasz</t>
  </si>
  <si>
    <t>https://bookface-images.s3.amazonaws.com/small_logos/b1022b189da1170d9d3a55d289c07ace6650eb51.png</t>
  </si>
  <si>
    <t>estoca.com.br</t>
  </si>
  <si>
    <t>Estoca</t>
  </si>
  <si>
    <t>Logistics Operating System for E-commerces in Latam</t>
  </si>
  <si>
    <t>[{"name":"Caio Almeida","title":"Founder","bio":"Entrepreneur &amp; mechanical engineer, I have been working with Tech companies since 2015. Founded Alugalogo in 2015, a marketplace for construction equipment (chosen as the best Startup of Google Campus' 2016 Batch).\nLed Uber Eats' partnership team in Brazil from 2018 to early 2020, contributing to the expansion to more than 70 cities in 2 years.\nFounded Estoca in 2020, a technology company focused on logistics for e-commerce.","linkedin":"https://www.linkedin.com/in/caioborgesalmeida/"},{"name":"Rodrigo Cava","title":"Founder","bio":"Technical Founder who loves to build products and solve real-world problems. Experienced in Marketplaces such as Uber &amp; Rappi with Data Analytics, Ops and CX, and also with Consulting, with Project Management, Development and Design","linkedin":"https://www.linkedin.com/in/rodrigocava"}]</t>
  </si>
  <si>
    <t>Caio</t>
  </si>
  <si>
    <t>https://bookface-images.s3.amazonaws.com/small_logos/71f341b6c5d940dbe7bcf499c6b92a8ee3fdb1f4.png</t>
  </si>
  <si>
    <t>etleap.com</t>
  </si>
  <si>
    <t>Etleap</t>
  </si>
  <si>
    <t>Etleap is an ETL solution for creating perfect data pipelines.</t>
  </si>
  <si>
    <t>https://bookface-images.s3.amazonaws.com/small_logos/07c9b19241da3d7897596f5f34b6c9baa7c7518e.png</t>
  </si>
  <si>
    <t>explorex.co</t>
  </si>
  <si>
    <t>Explorex</t>
  </si>
  <si>
    <t>Ecosystem Platform for Restaurants in India</t>
  </si>
  <si>
    <t>[{"name":"Mainak Sarkar","title":"Founder","bio":"Hardcore product guy with core focus on UX and Practicality. Leading Explorex - A company that aims to revolutionise the dining out industry through tech. We at Explorex are building a full-stack solution for the 30 million+ restaurants in India, by solving order management, operations management, online delivery, payment processing, reports &amp; analytics, and guest identification and re-engagement all using one system!","linkedin":"https://www.linkedin.com/in/mainak-sarkar-679546107/"},{"name":"Pritam Khan","title":"Founder","bio":"Tech enthusiast | Ex LinkedIn","linkedin":"https://www.linkedin.com/in/iampkhan"}]</t>
  </si>
  <si>
    <t>Mainak</t>
  </si>
  <si>
    <t>https://bookface-images.s3.amazonaws.com/small_logos/b038a5e905f1f6cf97ad14baa85b93658ffe2791.png</t>
  </si>
  <si>
    <t>expo.dev</t>
  </si>
  <si>
    <t>Expo</t>
  </si>
  <si>
    <t>Expo brings together the best of web and native app development</t>
  </si>
  <si>
    <t>[{"name":"Charlie Cheever","title":"Founder","bio":"Grew up in Pittsburgh, went to Harvard, worked at Amazon, worked at Facebok, cofounded Quora, working on Expo (YCS16).","linkedin":"https://www.linkedin.com/in/ccheever"},{"name":"James Ide","title":"Founder","bio":"","linkedin":"https://www.linkedin.com/in/idejames/"}]</t>
  </si>
  <si>
    <t>Charlie</t>
  </si>
  <si>
    <t>https://bookface-images.s3.amazonaws.com/small_logos/3628951a3d0760d9fcc3099d4360ec712d6f72b3.png</t>
  </si>
  <si>
    <t>ezewholesale.com</t>
  </si>
  <si>
    <t>Eze</t>
  </si>
  <si>
    <t>B2B Marketplace for new &amp;amp; used electronics</t>
  </si>
  <si>
    <t>https://bookface-images.s3.amazonaws.com/small_logos/928742dd0ca5d162febb2be4f4103878aab7ce52.png</t>
  </si>
  <si>
    <t>firstdelivery.com</t>
  </si>
  <si>
    <t>FIRST</t>
  </si>
  <si>
    <t>The best way for any business to offer delivery.</t>
  </si>
  <si>
    <t>Philadelphia, PA</t>
  </si>
  <si>
    <t>[{"name":"Andrew Nakkache","title":"Founder","bio":"Hey, I'm Andrew! I originally got into YC for a business called Habitat Logistics, where we delivered orders from Grubhub, Uber, and DoorDash.  In having to build our own software, we realized that…everyone is having to build their own software. Before starting Habitat and now FIRST, I graduated from Temple University in Philadelphia and graduated with a degree in economics. I'm particularly fascinated by behavioral economics. I also enjoy playing tennis and skiing.","linkedin":"https://www.linkedin.com/in/andrewnakkache"},{"name":"Michael Paszkiewicz","title":"Founder","bio":"","linkedin":"https://linkedin.com/mikepaszkiewicz"}]</t>
  </si>
  <si>
    <t>https://bookface-images.s3.amazonaws.com/small_logos/cb7fe1b3f89d693041018270e2cb671fb9b106d6.png</t>
  </si>
  <si>
    <t>factoredquality.com</t>
  </si>
  <si>
    <t>Factored Quality</t>
  </si>
  <si>
    <t>Helping 100+ brands bring all quality and compliance operations…</t>
  </si>
  <si>
    <t>[{"name":"Prince Ghosh","title":"Founder","bio":"Founder - Factored Quality","linkedin":"https://www.linkedin.com/in/princeghosh/"}]</t>
  </si>
  <si>
    <t>Prince</t>
  </si>
  <si>
    <t>https://bookface-images.s3.amazonaws.com/small_logos/8eabc6dba9b2a0e33f2d5e33a93d1f2d97e03940.png</t>
  </si>
  <si>
    <t>fanchatter.com</t>
  </si>
  <si>
    <t>Fanchatter</t>
  </si>
  <si>
    <t>FanChatter aggregates, amplifies and empowers fan content on every…</t>
  </si>
  <si>
    <t>Minneapolis, MN</t>
  </si>
  <si>
    <t>fathom.video</t>
  </si>
  <si>
    <t>Fathom</t>
  </si>
  <si>
    <t>Never take notes again with the #1 AI Meeting Assistant</t>
  </si>
  <si>
    <t>[{"name":"Richard White","title":"Founder","bio":"First employee and lead designer of Kiko (S05) with Justin Kan and Emmett Shear. Founder and former long-time CEO of UserVoice. I love to design low-friction SAAS products for B2B.","linkedin":"https://www.linkedin.com/in/rrwhite/"}]</t>
  </si>
  <si>
    <t>Richard</t>
  </si>
  <si>
    <t>https://bookface-images.s3.amazonaws.com/small_logos/008e65b3fdfccde7a316a6c0911fd59301ff1025.png</t>
  </si>
  <si>
    <t>buildwithfern.com</t>
  </si>
  <si>
    <t>Fern</t>
  </si>
  <si>
    <t>Input OpenAPI. Output SDKs and API documentation.</t>
  </si>
  <si>
    <t>[{"name":"Danny Sheridan","title":"Founder","bio":"Hey- I'm a co-founder and CEO at Fern. In my previous role at AWS, I saw how code generation for APIs saved engineering time and offered a best-in-class developer experience. I'm a people person who is happiest at work when collaborating in person or when hearing customer love first-hand.","linkedin":"https://www.linkedin.com/in/sheridandanny/"},{"name":"Deep Singhvi","title":"Founder","bio":"Deep is a YAML engineer at Fern. Before Fern, he worked as a software engineer at Palantir focusing on data integration at the Department of Defense and US Army.","linkedin":"https://www.linkedin.com/in/deep-singhvi-1432659b/"}]</t>
  </si>
  <si>
    <t>Danny</t>
  </si>
  <si>
    <t>https://bookface-images.s3.amazonaws.com/small_logos/4f48c426b67826bae7fd3fded6bfc3e891fd72d2.png</t>
  </si>
  <si>
    <t>feroot.com</t>
  </si>
  <si>
    <t>Feroot Security</t>
  </si>
  <si>
    <t>AI-powered Compliance Platform for PCI 4, CCPA, HIPAA, CIPA, 50+ laws</t>
  </si>
  <si>
    <t>[{"name":"Ivan Tsarynny","title":"Founder","bio":"Ivan is the CEO and Co-Founder of Feroot Security. An Intelligent and automated security testing and run-time protection of the client-side of web applications. It provides an early warning, detection and management of data assets and risks. Feroot Security was awarded a number the NextAI Top Venture Award by NextCanada, 2019 Comet TOP 5 Cybersecurity Startups in Canada by Ingram Micro and Microsoft.","linkedin":"https://www.linkedin.com/in/ivantsarynny/"},{"name":"Vitaliy Lim","title":"Founder","bio":"","linkedin":"https://linkedin.com/in/vitaliylim"}]</t>
  </si>
  <si>
    <t>https://bookface-images.s3.amazonaws.com/small_logos/1070c02900596bd056caf454feb7a0bd8add2715.png</t>
  </si>
  <si>
    <t>fiboapp.com</t>
  </si>
  <si>
    <t>Fibo</t>
  </si>
  <si>
    <t>SaaS calendar and messaging for SMBs</t>
  </si>
  <si>
    <t>[{"name":"Zane Salim","title":"/CEO","bio":"Building things that solve problems for people","linkedin":"https://www.linkedin.com/in/zanesalim"}]</t>
  </si>
  <si>
    <t>Zane</t>
  </si>
  <si>
    <t>https://bookface-images.s3.amazonaws.com/small_logos/3192e22ad8bcecbda29689a9c3165d08802d21e8.png</t>
  </si>
  <si>
    <t>fieldguide.io</t>
  </si>
  <si>
    <t>Fieldguide</t>
  </si>
  <si>
    <t>Vertical AI for Audit &amp;amp; Advisory Firms</t>
  </si>
  <si>
    <t>[{"name":"Jin Chang","title":"Founder","bio":"CEO/cofounder at Fieldguide, a vertical AI platform for audit and advisory firms. \nPreviously Chief of Staff at Atrium and founded a cryptocurrency tax automation company while in grad school at UC Berkeley. 5 years at EY in audit &amp; advisory.","linkedin":"https://www.linkedin.com/in/jinwchang/"},{"name":"Chris Szymansky","title":"Founder","bio":"I'm an engineering, product, and design leader. Previous roles include VP EPD at Atrium (YC W18) and CTO at JazzHR.","linkedin":"https://www.linkedin.com/in/chrisszymansky/"}]</t>
  </si>
  <si>
    <t>Jin</t>
  </si>
  <si>
    <t>https://bookface-images.s3.amazonaws.com/small_logos/44c799568df44fb4f129df3ebec9417b8d588116.png</t>
  </si>
  <si>
    <t>filestack.com</t>
  </si>
  <si>
    <t>FileStack</t>
  </si>
  <si>
    <t>Acquired by Xenon Ventures.We enable website developers to hook into…</t>
  </si>
  <si>
    <t>San Antonio, TX</t>
  </si>
  <si>
    <t>[{"name":"Liyan David Chang","title":"Founder","bio":"Filepicker S12. MIT CS. Healthcare.gov rescue. Obama White House. US Digital Service\n\nNow at Devoted Health - health insurance startup","linkedin":"https://www.linkedin.com/in/liyanchang/"},{"name":"Brett van Zuiden","title":"Founder","bio":"http://brettcvz.com","linkedin":"https://www.linkedin.com/in/brettcvz/"},{"name":"Anand Dass","title":"Founder","bio":"","linkedin":"https://linkedin.com/in/ananddass"},{"name":"Thomas Georgiou","title":"Founder","bio":"","linkedin":""}]</t>
  </si>
  <si>
    <t>Liyan</t>
  </si>
  <si>
    <t>tryfinch.com</t>
  </si>
  <si>
    <t>Finch</t>
  </si>
  <si>
    <t>Finch is the universal API for payroll and HR</t>
  </si>
  <si>
    <t>[{"name":"Jeremy Zhang","title":"Founder","bio":"CEO/Co-founder of Finch","linkedin":"https://www.linkedin.com/in/jeremyziyuzhang/"},{"name":"Ansel Parikh","title":"Founder","bio":"","linkedin":"https://www.linkedin.com/in/ansel-parikh/"}]</t>
  </si>
  <si>
    <t>https://bookface-images.s3.amazonaws.com/small_logos/204c5a234c0f203a89d58c1407d93894d494118d.png</t>
  </si>
  <si>
    <t>finmark.com</t>
  </si>
  <si>
    <t>Finmark</t>
  </si>
  <si>
    <t>Financial planning software for startups</t>
  </si>
  <si>
    <t>Raleigh, NC</t>
  </si>
  <si>
    <t>[{"name":"Rami Essaid","title":"Founder","bio":"Founder of Distil. Grew to $25M+ in revenue, raised $70M in venture capital, sold to Imperva.","linkedin":"https://www.linkedin.com/in/ramiessaid/"},{"name":"Greg Lissy","title":"Founder","bio":"B2B Product exec with prior experience at Microsoft, Red Hat, Citrix, and SolarWinds.  Co-founder and CPO at Finmark (S20).  Acquired by BILL in November 2022.","linkedin":"https://www.linkedin.com/in/greglissy/"},{"name":"Jeremy Neuberger","title":"Founder","bio":"Technology leader with a decade of experience leading teams in various areas including B2B2C, B2B, Travel, eCommerce, AIOps, etc","linkedin":"https://www.linkedin.com/in/jeremy-neuberger/"}]</t>
  </si>
  <si>
    <t>Rami</t>
  </si>
  <si>
    <t>https://bookface-images.s3.amazonaws.com/small_logos/71ea8566db212df8f6c23e62b0d21ec93eedd66d.png</t>
  </si>
  <si>
    <t>firstbase.io</t>
  </si>
  <si>
    <t>Firstbase.io</t>
  </si>
  <si>
    <t>The all-in-one startup operating system</t>
  </si>
  <si>
    <t>[{"name":"Mark Milastsivy","title":"Founder","bio":"Founder&amp;CEO of Firstbase.io. Based in NYC.","linkedin":"https://www.linkedin.com/in/markmilastsivy/"}]</t>
  </si>
  <si>
    <t>Why it’s important: to give an example, if you hire an employee in a new state and need payroll accounts, your payroll tax registration partner will typically work with a network of registered agents in different states and won’t really have control over anything. They’ll often need that third party to sign off on forms, which slows things down and often leads to operational nightmares.</t>
  </si>
  <si>
    <t>Mark</t>
  </si>
  <si>
    <t>https://bookface-images.s3.amazonaws.com/small_logos/e25b587ba0f496e6716664e7fc54e10f8b437fdb.png</t>
  </si>
  <si>
    <t>flagright.com</t>
  </si>
  <si>
    <t>Flagright</t>
  </si>
  <si>
    <t>AI-native AML compliance platform for fintechs &amp;amp; banks</t>
  </si>
  <si>
    <t>Singapore</t>
  </si>
  <si>
    <t>[{"name":"Baran Özkan","title":"Founder","bio":"Baran is co-founder and CEO of Flagright. He defines the product strategy at Flagright for making compliance &amp; fraud prevention infrastructure more accessible for fintechs and banks. He has previously worked in various domains including healthcare, marketing, e-commerce, logistics, and most recently fintech. Baran is a Certified Anti Money Laundering Specialist (CAMS).","linkedin":"https://www.linkedin.com/in/baranozkan/"},{"name":"Madhu G Nadig","title":"Founder","bio":"Madhu is co-founder and CTO of Flagright. He leads engineering and design, building the compliance &amp; fraud prevention infrastructure for startups. He has previously worked in various domains including data analytics and integration for pharmaceuticals and social media marketing, core cloud computing infrastructure and real time systems for logistics &amp; fintech.","linkedin":"https://www.linkedin.com/in/madhugnadig/"}]</t>
  </si>
  <si>
    <t>At Flagright, we've created a powerhouse tool that enhances the speed and quality of financial crime investigations. By blending natural language processing with robust AI agents, we transform how fintechs and banks stay compliant and prevent financial crime.</t>
  </si>
  <si>
    <t>Baran</t>
  </si>
  <si>
    <t>https://bookface-images.s3.amazonaws.com/small_logos/09c76f2c8efc3d34c7d5faf491ca2acdfa542fb7.png</t>
  </si>
  <si>
    <t>flextock.com</t>
  </si>
  <si>
    <t>Flextock</t>
  </si>
  <si>
    <t>Tech-enabled fulfillment provider in the Middle East &amp;amp; Africa</t>
  </si>
  <si>
    <t>Cairo, Egypt</t>
  </si>
  <si>
    <t>[{"name":"Mohamed Mossaad","title":"Founder","bio":"Mohamed is the co-founder and CEO of Flextock. He has an experience combining building and scaling tech startups in the Middle East with corporate management consulting from his time at Bain &amp; Company. He studied business at Stanford GSB and has an Engineering degree from AUC.","linkedin":"https://www.linkedin.com/in/mohamed-mossaad-50903438/"},{"name":"Enas Siam","title":"Founder","bio":"I have 10 years experience working across large multinational companies and start-ups in the areas of commercial, operations and general management. I'm passionate about solving complex problems and making an impact in my community.","linkedin":"https://www.linkedin.com/in/enas-siam-18150115/"}]</t>
  </si>
  <si>
    <t>Mohamed</t>
  </si>
  <si>
    <t>https://bookface-images.s3.amazonaws.com/small_logos/e59a010ccf4743c6fdc551ce25a5ef996c764b2b.png</t>
  </si>
  <si>
    <t>flightfox.com</t>
  </si>
  <si>
    <t>Flightfox</t>
  </si>
  <si>
    <t>A platform to plan, book and manage global and group travel.</t>
  </si>
  <si>
    <t>[{"name":"Todd Sullivan","title":"/CEO","bio":"CEO of Flightfox","linkedin":"https://www.linkedin.com/in/todsul/"},{"name":"Lauren Sullivan","title":"Founder","bio":"Founder and Product leader with 12+ years of tech and marketplace experience.\nCo-founder + CTO of Float Health (YC W22).\nCo-founder of Flightfox (YC S12).","linkedin":"https://www.linkedin.com/in/lozsul/"}]</t>
  </si>
  <si>
    <t>Todd</t>
  </si>
  <si>
    <t>https://bookface-images.s3.amazonaws.com/small_logos/61d73a23ca8d3531ce9851a776298327d051ac1d.png</t>
  </si>
  <si>
    <t>florecruit.com</t>
  </si>
  <si>
    <t>Flo Recruit</t>
  </si>
  <si>
    <t>We help law firms hire the best legal talent faster</t>
  </si>
  <si>
    <t>[{"name":"Katherine Allen","title":"Founder","bio":"Founded Flo Recruit at The University of Texas at Austin with Atreya. Currently growing the business in Austin, Texas.","linkedin":"https://www.linkedin.com/in/katherine-allen-flo/"},{"name":"Atreya Misra","title":"Founder","bio":"Founded Flo Recruit at The University of Texas at Austin with Katherine. Currently growing the business in Austin, Texas.","linkedin":"https://www.linkedin.com/in/atreya-misra-009b1a133/"}]</t>
  </si>
  <si>
    <t>Katherine</t>
  </si>
  <si>
    <t>https://bookface-images.s3.amazonaws.com/small_logos/784e322314b424b51a956f67ca758620ef053f13.png</t>
  </si>
  <si>
    <t>flockjay.com</t>
  </si>
  <si>
    <t>Flockjay</t>
  </si>
  <si>
    <t>AI-driven learning, content, and coaching for sales teams</t>
  </si>
  <si>
    <t>https://bookface-images.s3.amazonaws.com/small_logos/e8335edd9d00bd8491042a36ce074c09859358b3.png</t>
  </si>
  <si>
    <t>flower.ai</t>
  </si>
  <si>
    <t>Flower</t>
  </si>
  <si>
    <t>Train AI on distributed data</t>
  </si>
  <si>
    <t>[{"name":"Daniel J. Beutel","title":"Founder","bio":"Daniel is one of the creators of Flower, the first fully agnostic federated learning framework, which is now being used at many Fortune 500 companies and most top universities worldwide. He previously held roles as Head of AI and CTO and has considerable experience in running and scaling engineering teams. Daniel is a CS PhD candidate at the University of Cambridge and has an MSc (with distinction) in Software Engineering from the University of Oxford.","linkedin":"https://www.linkedin.com/in/daniel-janes/"},{"name":"Nic Lane","title":"Founder","bio":"Nic Lane is a co-founder of Flower Labs, and has been working on Flower since its creation. Nic is also a full Professor in Machine Learning Systems at the University of Cambridge . Previously, he has been on the faculty of Oxford and UCL. Nic additionally has 12-years experience in industrial research (including Microsoft Research and Nokia Bell Labs). Most recently as co-founder and Head of the Samsung AI Center in Cambridge; a 50-staff AI lab started in 2018.","linkedin":"https://www.linkedin.com/in/niclane/"},{"name":"Taner Topal","title":"Founder","bio":"Taner is one of the creators of Flower, the first fully agnostic federated learning framework, which is now being used at many Fortune 500 companies and most top universities worldwide. He previously held roles as Head of Engineering and CTO in two prior startups. Some companies using products he helped build include Porsche, Lufthansa, and Vattenfall. Taner is also a Visiting Researcher at the University of Cambridge.","linkedin":"https://www.linkedin.com/in/taner-topal/"}]</t>
  </si>
  <si>
    <t>Why is that? The reason is simple: most data is sensitive and distributed across organizational silos or user devices. It cannot be collected in a central place, which prevents us from training state-of-the-art models for many important use cases:</t>
  </si>
  <si>
    <t>https://bookface-images.s3.amazonaws.com/small_logos/fd58b70bf08ebd04681433b867e55d90f1a18a12.png</t>
  </si>
  <si>
    <t>floworks.ai</t>
  </si>
  <si>
    <t>Floworks</t>
  </si>
  <si>
    <t>Hire the best AI Sales employees</t>
  </si>
  <si>
    <t>[{"name":"Sarthak Shrivastava","title":"Founder","bio":"An 2X entrepreneur and problem solver with experience in the e-commerce, logistics, and financial services industries of India, Singapore, and Philippines markets. I have built and scaled multiple business verticals in now unicorn startups in India with annual revenues of over US$30M.","linkedin":"https://www.linkedin.com/in/sarthak-shrivastava/"},{"name":"Sudipta Biswas","title":"Founder","bio":"I'm a startup junkie, who loves to build stuffs. I'm passionate about physics and technology, I previously built an AI referee, holds a patent and journal publication.\n\nI am a graduate of Indian Institute of Technology Kharagpur (IIT Kgp). I started my career at Goldman Sachs as a Quantitative Strat. My first startup was Engphile Labs where I utilised AI to solve umpiring errors in live sports. I have also built multiple tax filing products for India’s business at Cleartax.","linkedin":"https://www.linkedin.com/in/sudipta-biswas/"}]</t>
  </si>
  <si>
    <t>Alisha AI SDR goes beyond traditional spray and paint approach. With a ChatGPT like interface, you can instruct Alisha to find and pinpoint the exact lead persona.\</t>
  </si>
  <si>
    <t>Sarthak</t>
  </si>
  <si>
    <t>https://bookface-images.s3.amazonaws.com/small_logos/b971472cf0d2638ad01eeaaf35f5a56a8abd2541.png</t>
  </si>
  <si>
    <t>flow.space</t>
  </si>
  <si>
    <t>Flowspace</t>
  </si>
  <si>
    <t>The operating system powering ecommerce fulfillment</t>
  </si>
  <si>
    <t>https://bookface-images.s3.amazonaws.com/small_logos/5327a1b9de06d3ab5f954ccf40f13fc5fa417cb8.png</t>
  </si>
  <si>
    <t>flutterflow.io</t>
  </si>
  <si>
    <t>FlutterFlow</t>
  </si>
  <si>
    <t>Application Development Platform (Native Mobile + Web Apps)</t>
  </si>
  <si>
    <t>[{"name":"Abel Mengistu","title":"Founder","bio":"Founder at FlutterFlow (W21)\nabel@flutterflow.io","linkedin":"https://www.linkedin.com/in/asmengistu/"},{"name":"Alex Greaves","title":"Founder","bio":"Founder at FlutterFlow (W21)\nalex@flutterflow.io","linkedin":"https://www.linkedin.com/in/alex-greaves-6880b19b/"}]</t>
  </si>
  <si>
    <t>Abel</t>
  </si>
  <si>
    <t>https://bookface-images.s3.amazonaws.com/small_logos/3df7b6e09c2fda2538b0426203b84e4e92ca7471.png</t>
  </si>
  <si>
    <t>fly.io</t>
  </si>
  <si>
    <t>Fly.io</t>
  </si>
  <si>
    <t>Run full stack apps close to your users.</t>
  </si>
  <si>
    <t>Global Heroku</t>
  </si>
  <si>
    <t>https://bookface-images.s3.amazonaws.com/small_logos/1f45b27d4d49f4a54250a3f57030ed625d633c74.png</t>
  </si>
  <si>
    <t>fond.co</t>
  </si>
  <si>
    <t>Fond</t>
  </si>
  <si>
    <t>Rewards and recognition SaaS for HR leaders</t>
  </si>
  <si>
    <t>[{"name":"Taro Fukuyama","title":"/CEO","bio":"Angel investor. Founder at Fond.","linkedin":"https://www.linkedin.com/in/tarof/"},{"name":"Sunny Tsang 🌞","title":"/Chief Designer","bio":"https://www.sunnytsang.net/","linkedin":"https://www.linkedin.com/in/sunnyxtsang/"}]</t>
  </si>
  <si>
    <t>Taro</t>
  </si>
  <si>
    <t>https://bookface-images.s3.amazonaws.com/small_logos/38affe0570d352e64345559689e7af680bfb0493.png</t>
  </si>
  <si>
    <t>tryfondo.com</t>
  </si>
  <si>
    <t>Fondo</t>
  </si>
  <si>
    <t>Bookkeeping, tax, &amp;amp; tax credits on autopilot for 1,000+ startups</t>
  </si>
  <si>
    <t>[{"name":"David J. Phillips","title":"/CEO","bio":"CEO at Fondo — accounting on autopilot for 1,000+ startups. Angel investor: Flexport, LiquidDeath, Rippling, 85+.\n\nStarted my career as an accountant at Deloitte, then learned to code. I was previously co-founder &amp; CEO at Hackbright Academy, a 3 month coding school, where we trained 1,000+ software engineers and helped them get jobs at Uber, Google, Lyft, Meta, Disney and others. We bootstrapped to $3.6M per year in revenue were acquired by Capella University (NASDAQ: $CPLA) for $18M.","linkedin":"https://linkedin.com/in/davjphillips"}]</t>
  </si>
  <si>
    <t>Hi everyone 👋</t>
  </si>
  <si>
    <t>https://bookface-images.s3.amazonaws.com/small_logos/2f0b5fe4e91dafcccff1f484b17acd3b14006850.png</t>
  </si>
  <si>
    <t>fontawesome.com</t>
  </si>
  <si>
    <t>Font Awesome</t>
  </si>
  <si>
    <t>Icons and social logos for your website.</t>
  </si>
  <si>
    <t>Bentonville, AR</t>
  </si>
  <si>
    <t>[{"name":"Dave Gandy","title":"/CEO","bio":"I make Font Awesome and other things. YC S15, MIT Course 2, MO, MA alum. Journey before pancakes.","linkedin":"https://linkedin.com/in/davegandy"},{"name":"Travis Chase","title":"Founder","bio":"","linkedin":"http://www.linkedin.com/in/supercodepoet"}]</t>
  </si>
  <si>
    <t>Dave</t>
  </si>
  <si>
    <t>https://bookface-images.s3.amazonaws.com/small_logos/fa479320e3d153a191f13fca9e3c89b631a02350.png</t>
  </si>
  <si>
    <t>theforage.com</t>
  </si>
  <si>
    <t>Forage</t>
  </si>
  <si>
    <t>Online job simulations for companies to train, and then hire, students</t>
  </si>
  <si>
    <t>[{"name":"Pasha Rayan","title":"Founder","bio":"CoFounder of A1Base. CoFounder of Forage (YCW19). \nPreviously growth &amp; senior product manager at Freelancer.com.","linkedin":"https://www.linkedin.com/in/pasharayan"},{"name":"Thomas Brunskill","title":"Founder","bio":"","linkedin":"https://www.linkedin.com/in/thomas-brunskill-68889a7a/"}]</t>
  </si>
  <si>
    <t>Pasha</t>
  </si>
  <si>
    <t>https://bookface-images.s3.amazonaws.com/small_logos/6ec4d2785125c906ed8554bdfaca38ba13097af0.png</t>
  </si>
  <si>
    <t>joinformal.com</t>
  </si>
  <si>
    <t>Formal</t>
  </si>
  <si>
    <t>Take control of your data in real-time.</t>
  </si>
  <si>
    <t>[{"name":"Mokhtar Bacha","title":"Founder","bio":"At 17 Mokhtar Bacha became the youngest employee at ConsenSys, hired by Ethereum co-founder Joseph Lubin. There, he gained expertise in cryptography, consensus algorithms, and distributed systems.\nMokhtar launched Formal in 2022 with the mission to secure the world's data. Today thanks to an incredible team, we are proud to secure the data of customers like Notion.com, Ramp.com, and Gusto.com","linkedin":"https://www.linkedin.com/in/ahmb84"}]</t>
  </si>
  <si>
    <t>Mokhtar</t>
  </si>
  <si>
    <t>https://bookface-images.s3.amazonaws.com/small_logos/66941efea1bbb96c0037b8eb01cd10d72092895c.png</t>
  </si>
  <si>
    <t>foxpass.com</t>
  </si>
  <si>
    <t>Foxpass</t>
  </si>
  <si>
    <t>Making enterprise security practices available for all companies.</t>
  </si>
  <si>
    <t>https://bookface-images.s3.amazonaws.com/small_logos/3c5bf5efdae9a1f09f6bf09d6ac33cf2461c3698.png</t>
  </si>
  <si>
    <t>freshfactory.id</t>
  </si>
  <si>
    <t>Fresh Factory</t>
  </si>
  <si>
    <t>Smart Cold Chain Fulfillment Platform</t>
  </si>
  <si>
    <t>[{"name":"Larry Ridwan","title":"Founder","bio":"Acta non verba !\n- 20 years of job experience with verifiable year-after-year success\n- Recepeint of Indonesia's medal of honor for Contributing in the National Development\n- A proud father of 3 impressive kids and a husband of 1 very supporting wife","linkedin":"https://www.linkedin.com/in/larry-ridwan-22671228/"},{"name":"Widijastoro Nugroho","title":"Founder","bio":"Never too late to start.., don’t start too late.. \n\n25 years of working experience. \n\nWorked in Unilever Indonesia and UBF Italia SRL, managing ice cream and Frozen products for HoReCa\n\nLaunch AirAsia in Indonesia, starting with 2 planes, expand AirAsia Indonesia up to 24 New AirBus A320\n\nWorked in GroupM part of WPP, as Media Trading Head managing USD 350Mn of media buying for global clients such as Unilever, Nestle, XL Axiata, GSK and many more","linkedin":"https://www.linkedin.com/in/widijastoro-nugroho-7b686b/"},{"name":"Andre Septiano","title":"Founder","bio":"Oppourtunist, business enthusiasts, and always hungry of new things.","linkedin":"https://www.linkedin.com/in/andre-septiano-b69a40114/"}]</t>
  </si>
  <si>
    <t>Larry</t>
  </si>
  <si>
    <t>https://bookface-images.s3.amazonaws.com/small_logos/68a34b0a86ae2d3f1b2df61f609c0c41bb4ae9e6.png</t>
  </si>
  <si>
    <t>freshpaint.io</t>
  </si>
  <si>
    <t>Freshpaint</t>
  </si>
  <si>
    <t>Customer data collection, safeguarding, &amp;amp; activation for healthcare</t>
  </si>
  <si>
    <t>[{"name":"Michael Malis","title":"Founder","bio":"After graduating high school in 2015, I joined Heap. While there I worked on scaling their cluster of Postgres instances that has around a Petabyte of data. I eventually took over and lead the database team there.\n\nWhile at Heap I shipped a large number of performance improvements and cost savings. You could say I was the primary person who scaled Heap. Due to the number of cost reduction projects I shipped, I was given the nickname \"Michael Margins\".","linkedin":"https://www.linkedin.com/in/michael-malis-270354150/"}]</t>
  </si>
  <si>
    <t>https://bookface-images.s3.amazonaws.com/small_logos/5f64879cc9b2e90a8ad210fd47f7c8d59390ff5a.png</t>
  </si>
  <si>
    <t>freterium.com</t>
  </si>
  <si>
    <t>Freterium</t>
  </si>
  <si>
    <t>Real-Time Collaborative Transport Management Platform</t>
  </si>
  <si>
    <t>Casablanca, Morocco</t>
  </si>
  <si>
    <t>[{"name":"Mehdi Cherif Alami","title":"Founder","bio":"","linkedin":"https://www.linkedin.com/in/mehdi-ca/"},{"name":"Omar El Kouhene","title":"Founder","bio":"Work experience\n\nLogistics consultant &amp; Shipping Broker\nFreelance\n05/2015 - 12/2018\n\nShipping &amp; Supply Chain Manager\nOCP Group\n12/2011 - 05/2015\n\nConsultant\nMcKinsey &amp; Company\n02/2011 - 10/2011\n\nEducation\n\nMaster of Engineering\nCentraleSupelec\n2007-2011\n\nMaths &amp; Info Preparatory classes\nLycee Sainte Geneviève \n2005-2007","linkedin":"https://www.linkedin.com/in/omar-el-kouhene-981b0412/"}]</t>
  </si>
  <si>
    <t>Mehdi</t>
  </si>
  <si>
    <t>https://bookface-images.s3.amazonaws.com/small_logos/52fd123ee789698d9312aae73f8fa198328173e7.png</t>
  </si>
  <si>
    <t>getfuell.com</t>
  </si>
  <si>
    <t>Fuell</t>
  </si>
  <si>
    <t>Fuell is a leading Expense Management solution that modernizes…</t>
  </si>
  <si>
    <t>[{"name":"Eduardo Ortiz de Lanzagorta Gonzalez","title":"Founder","bio":"Eduardo started his first VC-backed fintech while finishing his engineering degree. After that, he co-founded what became the most active seed fund in Spain, backing over 40 companies. Throughout these years, he suffered the pain of managing and controlling company expenses and decided to build Fuell: the corporate card with expense management software built-in he wanted for himself.","linkedin":"https://www.linkedin.com/in/eddelan/"}]</t>
  </si>
  <si>
    <t>https://bookface-images.s3.amazonaws.com/small_logos/c3b9795e229abf871658c50860feea60e62240de.png</t>
  </si>
  <si>
    <t>gaiia.com</t>
  </si>
  <si>
    <t>Gaiia</t>
  </si>
  <si>
    <t>all-in-one operating system (OS) for telcos</t>
  </si>
  <si>
    <t>Remote, OR</t>
  </si>
  <si>
    <t>https://bookface-images.s3.amazonaws.com/small_logos/3f33f5c2c6c8f8eae4c79b3afb782709b112e4b8.png</t>
  </si>
  <si>
    <t>garagemobility.com</t>
  </si>
  <si>
    <t>Garage</t>
  </si>
  <si>
    <t>Auto parts marketplace for Africa</t>
  </si>
  <si>
    <t>Accra, Ghana</t>
  </si>
  <si>
    <t>[{"name":"Gwanygha’a Gana","title":"Founder","bio":"Gana in an ex-founder with experience building and investing in companies in the US and Africa. He holds a BS in Electrical Engineering and an MS in Data Science from Georgia Tech, and an MBA from Harvard Business School. He is a casual bartender.","linkedin":"https://www.linkedin.com/in/ggana/"},{"name":"Cedric Foudjet","title":"Founder","bio":"Cedric is an ex-founder and Venture Capitalist with experience building and investing in companies in Africa and South East Asia. Cedric is also a self-taught cloud computing  engineer with experience helping major fortune 500 companies execute digital transformations and build a new cloud native applications. On his free time he geeks over crypto and watches shows like Billions and Succession. Cedric holds a Bachelors of Science degree from Concordia College and an MBA from Wharton.","linkedin":"https://www.linkedin.com/in/cedric-foudjet-0470064b/"}]</t>
  </si>
  <si>
    <t>Hello YC Family</t>
  </si>
  <si>
    <t>Gwanygha’a</t>
  </si>
  <si>
    <t>https://bookface-images.s3.amazonaws.com/small_logos/d2c73e5062e24e6ab706d5a4ca96f1004cb7ca20.png</t>
  </si>
  <si>
    <t>gemnote.com</t>
  </si>
  <si>
    <t>Gemnote</t>
  </si>
  <si>
    <t>Gemnote is the easiest way to design, create and send custom products.</t>
  </si>
  <si>
    <t>San Leandro, CA</t>
  </si>
  <si>
    <t>https://bookface-images.s3.amazonaws.com/small_logos/083acf84edb567678955a3853f652e2b1328fea3.png</t>
  </si>
  <si>
    <t>gogenuity.com</t>
  </si>
  <si>
    <t>Genuity</t>
  </si>
  <si>
    <t>SaaS Platform to manage IT and buy business software</t>
  </si>
  <si>
    <t>[{"name":"Colum Donahue","title":"Founder","bio":"I’m a serial entrepreneur with a history of building technology companies that have collectively done over $1b in revenue. Previously the co-founder of GlobalNet International, a NASDAQ publicly traded telecommunications company purchased by the Titan Corporation, an NYSE defense company, and the founder of Visseo, Inc., a leading Voice-over-IP provider that completed millions of phone calls daily for the world’s biggest telecom companies and earned company investors a 12X return.","linkedin":"https://www.linkedin.com/in/colum-p-donahue/"},{"name":"Jason Noble","title":"Founder","bio":"Got my technology start as an IT Specialist in the United States Navy. Technology expert with experience ranging from Enterprise/Government networks to the challenges faced by SMBs managing and implementing tech. Previously the Chief Operating Officer of Xerillion and the Founder of Stratum, Inc. Currently, the Co-Founder of Genuity (gogenuity.com), empowering businesses with technology through software and community.","linkedin":"www.linkedin.com/in/jason-noble-chicago"},{"name":"Zaeem asif","title":"Founder","bio":"I am a programmer specializing in web development with almost 2 decades of software development experience and over 50k contributions on Github alone. I have a bachelor’s degree in computer science from LUMS and received my master’s from Stanford, I have also led the team that built the enterprise application integration tier for the largest telecom operator, VEON, serving millions of network messages every second between different enterprise systems.","linkedin":"https://www.linkedin.com/in/zaeem-asif/"}]</t>
  </si>
  <si>
    <t>Colum</t>
  </si>
  <si>
    <t>https://bookface-images.s3.amazonaws.com/small_logos/2af07bc05265ab98710e52ec7c714c24063df621.png</t>
  </si>
  <si>
    <t>georgettepackaging.com</t>
  </si>
  <si>
    <t>Georgette Packaging</t>
  </si>
  <si>
    <t>Carbon neutral packaging for ambitious businesses.</t>
  </si>
  <si>
    <t>Kitchener, Canada</t>
  </si>
  <si>
    <t>[{"name":"Sarah Landstreet","title":"/CEO","bio":"Mechanical engineer, professionally certified sheep shearer, former bakery owner, MBA, cares for the planet and just wants to make things better.","linkedin":"https://ca.linkedin.com/pub/sarah-landstreet/11/667/a59"}]</t>
  </si>
  <si>
    <t>https://bookface-images.s3.amazonaws.com/small_logos/1929026faf3c4064b3cb414a5ef1d62b2ee8021b.png</t>
  </si>
  <si>
    <t>geosite.io</t>
  </si>
  <si>
    <t>Geosite</t>
  </si>
  <si>
    <t>Geosite is an enterprise SaaS platform for spatial data.</t>
  </si>
  <si>
    <t>https://bookface-images.s3.amazonaws.com/small_logos/89a7b53fb2d9e4a5231c362b84c71fe445c95d99.png</t>
  </si>
  <si>
    <t>gigs.com</t>
  </si>
  <si>
    <t>Gigs</t>
  </si>
  <si>
    <t>Stripe for phone plans.</t>
  </si>
  <si>
    <t>[{"name":"Hermann Frank","title":"Co-founder","bio":"Co-Founder, CEO - Gigs","linkedin":"https://www.linkedin.com/in/hermannfrank"},{"name":"Dennis Bauer","title":"Founder","bio":"Co-founder, Gigs","linkedin":"https://www.linkedin.com/in/dennisjbauer/"}]</t>
  </si>
  <si>
    <t>Hermann</t>
  </si>
  <si>
    <t>https://bookface-images.s3.amazonaws.com/small_logos/4f444340e9c64c3d358ff850ab1b009ff8af62d7.png</t>
  </si>
  <si>
    <t>gigster.com</t>
  </si>
  <si>
    <t>Gigster</t>
  </si>
  <si>
    <t>Build and manage distributed teams</t>
  </si>
  <si>
    <t>https://bookface-images.s3.amazonaws.com/small_logos/90a19b69d83b8dcb66c12aababed617ce677be87.png</t>
  </si>
  <si>
    <t>gigwell.com</t>
  </si>
  <si>
    <t>Gigwell</t>
  </si>
  <si>
    <t>Building the Future of Live Event Bookings.</t>
  </si>
  <si>
    <t>[{"name":"Jeremie Habib","title":"/CEO","bio":"Jeremie Habib is the Co-Founder and CEO of Gigwell, a digital booking platform that streamlines the booking process between live entertainers and event venues. The company has streamlined over $1.5B in gigs for DJs, musicians, comedians, and public speakers. Prior to launching Gigwell, Jeremie held senior Sales &amp; BD positions at Cisco and several early-stage SaaS companies like OpenDNS where he helped grow the company from 0 - $100 m in revenue.","linkedin":"https://www.linkedin.com/in/jeremiehabib/"},{"name":"Glade Luco","title":"/CTO","bio":"","linkedin":"https://www.linkedin.com/in/gladeluco"},{"name":"Antonio Sierra","title":"/Vice President","bio":"","linkedin":"https://www.linkedin.com/in/antonioasierra"}]</t>
  </si>
  <si>
    <t>Jeremie</t>
  </si>
  <si>
    <t>https://bookface-images.s3.amazonaws.com/small_logos/410acaf649ddb5822f7639caa9757423b17424c5.png</t>
  </si>
  <si>
    <t>gimbooks.com</t>
  </si>
  <si>
    <t>GimBooks</t>
  </si>
  <si>
    <t>GimBooks makes Bookkeeping Easy for small business owners</t>
  </si>
  <si>
    <t>Raipur, India</t>
  </si>
  <si>
    <t>gitstart.com</t>
  </si>
  <si>
    <t>GitStart</t>
  </si>
  <si>
    <t>Pull Requests as a Service</t>
  </si>
  <si>
    <t>https://bookface-images.s3.amazonaws.com/small_logos/26fef31f4719ab5a8c2e4a0ba8f081e756d63f0d.png</t>
  </si>
  <si>
    <t>glideapps.com</t>
  </si>
  <si>
    <t>Glide</t>
  </si>
  <si>
    <t>Create the app your business needs, without coding.</t>
  </si>
  <si>
    <t>https://bookface-images.s3.amazonaws.com/small_logos/43d2fbfbaba3aeb673e435f9035b2a74c1dc35d7.png</t>
  </si>
  <si>
    <t>glowing.io</t>
  </si>
  <si>
    <t>Glowing.io</t>
  </si>
  <si>
    <t>Unified, enterprise messaging platform for leading brands of the world</t>
  </si>
  <si>
    <t>Las Vegas, NV</t>
  </si>
  <si>
    <t>https://bookface-images.s3.amazonaws.com/small_logos/1c92df8bc210fd186d92f28cce482984f5f181d3.png</t>
  </si>
  <si>
    <t>golinks.io</t>
  </si>
  <si>
    <t>GoLinks</t>
  </si>
  <si>
    <t>Intuitive, easy-to-remember short links - powered by AI.</t>
  </si>
  <si>
    <t>We combined the best parts of employee directories and peer recognition to build a totally new kind of people platform. Increase employee productivity and collaboration through GoProfiles.</t>
  </si>
  <si>
    <t>https://bookface-images.s3.amazonaws.com/small_logos/afc06ceb5b91f55a715f39051c3426043e5094c8.png</t>
  </si>
  <si>
    <t>golorry.com</t>
  </si>
  <si>
    <t>GoLorry</t>
  </si>
  <si>
    <t>Mobile marketplace for inter-city trucking in India</t>
  </si>
  <si>
    <t>[{"name":"ZJ Lin","title":"Founder","bio":"Co-founder and CPO of GoLorry (YC W16): 2015 - 2022\nCo-founder and CPO of Landeed (YC W22): 2022 - present","linkedin":"https://www.linkedin.com/in/zjlin/"},{"name":"Sanjay Mandava","title":"/CEO","bio":"2x YC founder. First time with GoLorry and now Landeed. Before startups, I worked as proprietary trader/investment analyst at Knight Vinke (Activist Hedge Fund) and as a real estate developer. Currently, I am CEO and Founder of Landeed with focus on building India's (later for the developing world) fastest and most comprehensive property title search engine.","linkedin":"https://www.linkedin.com/pub/sanjay-mandava/24/6aa/206"},{"name":"J Richards","title":"Founder","bio":"","linkedin":"https://www.linkedin.com/in/jonathan-richards-26259bb6/"}]</t>
  </si>
  <si>
    <t>ZJ</t>
  </si>
  <si>
    <t>https://bookface-images.s3.amazonaws.com/small_logos/40376bae8f7c53265c200ad111505e5a76251905.png</t>
  </si>
  <si>
    <t>goodkind.com</t>
  </si>
  <si>
    <t>Goodkind</t>
  </si>
  <si>
    <t>Student communications platform for higher education</t>
  </si>
  <si>
    <t>[{"name":"Justin Rotman","title":"Founder","bio":"justin@goodkind.com","linkedin":"https://www.linkedin.com/in/jrotman/"},{"name":"Michael Warshafsky","title":"Founder","bio":"Michael Warshafsky is the co-founder &amp; CTO of Goodkind. Michael is an alumni of Next Canada and Venture for Canada. Before Goodkind, Michael was an early employee at Toronto based medical devices firm, eSight. Michael played a key role in building eSight's video based crowdfunding platform resulting in 10s of millions of views online driving the company's revenue. eSight was named one of the Best 25 Inventions in 2017 by Time Magazine.","linkedin":"https://www.linkedin.com/in/michael-warshafsky-b8946033/"}]</t>
  </si>
  <si>
    <t>Justin</t>
  </si>
  <si>
    <t>https://bookface-images.s3.amazonaws.com/small_logos/19b2d3b1ab50845c2cb174d05f4201d30e698595.png</t>
  </si>
  <si>
    <t>goodybag.com</t>
  </si>
  <si>
    <t>Goodybag</t>
  </si>
  <si>
    <t>An online tool for companies to order food from restaurants and…</t>
  </si>
  <si>
    <t>[{"name":"Jay Panchal","title":"/CEO","bio":"AlphaMap (current), Alpha Cognition (current), Goodybag (Acquired), P&amp;A Products (Acquired), Capital Factory (Partner, Mentor), Georgia Tech - Systems Engineering, Y-Combinator YCW16 Batch","linkedin":"https://www.linkedin.com/pub/jay-panchal/13/2b2/25a"},{"name":"Om Panchal","title":"Founder","bio":"","linkedin":"https://www.linkedin.com/pub/om-panchal/33/213/640"},{"name":"Jag Santha","title":"Founder","bio":"","linkedin":"https://www.linkedin.com/pub/jag-santha/2a/b12/682"}]</t>
  </si>
  <si>
    <t>Jay</t>
  </si>
  <si>
    <t>gordiansoftware.com</t>
  </si>
  <si>
    <t>Gordian Software</t>
  </si>
  <si>
    <t>Building software to remove friction in travel</t>
  </si>
  <si>
    <t>Bellevue, WA</t>
  </si>
  <si>
    <t>https://bookface-images.s3.amazonaws.com/small_logos/bba37502ba38f42df1df621e97c2d5fffd434c73.png</t>
  </si>
  <si>
    <t>greatquestion.co</t>
  </si>
  <si>
    <t>Great Question</t>
  </si>
  <si>
    <t>User research on autopilot.</t>
  </si>
  <si>
    <t>[{"name":"Ned Dwyer","title":"/ CEO","bio":"Founder of Great Question - the customer research platform to streamline interviews, surveys and prototype tests with your own customers.\n\nPreviously built Elto (acquired by GoDaddy).\n\nAustralian living in Oakland.","linkedin":"https://www.linkedin.com/in/neddwyer"},{"name":"PJ Murray","title":"Founder","bio":"CTO &amp; Founder of Great Question. Previously founded &amp; sold Elto (with Ned)\n\nSoftware development for 10 years. Primarily working with early start startups. Mostly Rails. \n\nSouth African born Kiwi living in Australia.","linkedin":"http://www.linkedin.com/in/pjmurraynz/"}]</t>
  </si>
  <si>
    <t>Ned</t>
  </si>
  <si>
    <t>https://bookface-images.s3.amazonaws.com/small_logos/cbc38c395f4f32191dcaac60013ed038a0a40611.png</t>
  </si>
  <si>
    <t>grepdata.com</t>
  </si>
  <si>
    <t>GrepData</t>
  </si>
  <si>
    <t>Big Data Analytics</t>
  </si>
  <si>
    <t>[{"name":"Viral Bajaria","title":"Founder","bio":"CTO and Co-Founder 6sense.\n\nWe help B2B Companies identify their TAM. Once identified we help them focus on who's in-market OR help them market to those companies via advertising and personalization. Our platform ensures that your AdTech, MarTech and SalesTech tools are targeting the right audiences.\n\nIn addition to above, I invest in startups and mentor 1st time founders. My areas of expertise are big data, scaling machine learning systems, enterprise SaaS, Product Pricing, GTM.","linkedin":"https://www.linkedin.com/in/viralbajaria/"}]</t>
  </si>
  <si>
    <t>Viral</t>
  </si>
  <si>
    <t>growthbook.io</t>
  </si>
  <si>
    <t>GrowthBook</t>
  </si>
  <si>
    <t>Open source feature flagging and A/B testing</t>
  </si>
  <si>
    <t>[{"name":"Graham McNicoll","title":"Founder","bio":"Graham is the Co-founder and CEO of GrowthBook. Previously he was the CTO of Education.com for 6 years. He helped grow Education.com into one of the largest Ed-tech platforms, helping millions with access to quality educational material, and led to a successful exit in 2019. Graham is a three times startup founder, including starting an international non-profit to increase access to communication in the developing world, particularly sub Saharan Africa. He has a degree in Physics from CMU.","linkedin":"https://www.linkedin.com/in/grahammcnicoll/"},{"name":"Jeremy Dorn","title":"Founder","bio":"Jeremy is the Co-founder and CTO of GrowthBook.  Prior to that, he was Chief Architect at Education.com where he scaled the web application to over 1 billion requests per month. Jeremy is also heavily involved in the open source community and speaks at conferences on the importance of building great developer experiences.","linkedin":"https://www.linkedin.com/in/jeremy-dorn-6198a09/"}]</t>
  </si>
  <si>
    <t>Graham</t>
  </si>
  <si>
    <t>https://bookface-images.s3.amazonaws.com/small_logos/4c060531ea33b3550b25532f59de594cc620f374.png</t>
  </si>
  <si>
    <t>hokali.com</t>
  </si>
  <si>
    <t>HOKALI</t>
  </si>
  <si>
    <t>After School &amp;amp; Enrichment Activities Marketplace</t>
  </si>
  <si>
    <t>[{"name":"Ignacio Viau","title":"/CEO","bio":"Ignacio Viau is a driven entrepreneur and a qualified lawyer with a strong background in business development and sales. As the CEO of HOKALI, he leads a platform that streamlines after-school programs and enrichment activities in the U.S. Ignacio has launched three startups and successfully managed the strategic releases of new products, showcasing his talent for building and scaling ventures. His unique combination of legal expertise and entrepreneurial spirit positions him to navigate complex","linkedin":"https://www.linkedin.com/in/ignacio-javier-viau-4567b459/"},{"name":"Tomas Bisi","title":"Founder","bio":"Waterman &amp; sports enthusiast, Tech Entrepreneur, CTO, Product Manager, Software Developer, and Consultant. Passionate about new technologies. Experienced professional with a demonstrated history of working in the computer software industry. Strong engineering professional with a Master's degree focused in Computer Science from 42 Silicon Valley University.","linkedin":"https://www.linkedin.com/in/tomasbisi/"}]</t>
  </si>
  <si>
    <t>Ignacio</t>
  </si>
  <si>
    <t>https://bookface-images.s3.amazonaws.com/small_logos/3d5766f94f07a2964ca9e00f65bd78d8b7a53ded.png</t>
  </si>
  <si>
    <t>hackermeter.com</t>
  </si>
  <si>
    <t>Hackermeter</t>
  </si>
  <si>
    <t>Replacing resume screening with code challenges.</t>
  </si>
  <si>
    <t>handl.ai</t>
  </si>
  <si>
    <t>Handl</t>
  </si>
  <si>
    <t>Handl converts documents (invoices, income stabs, custom forms, etc.)…</t>
  </si>
  <si>
    <t>https://bookface-images.s3.amazonaws.com/small_logos/3900f12b2f8432e71839e72a5168f6cb6ad06454.png</t>
  </si>
  <si>
    <t>happyrobot.ai</t>
  </si>
  <si>
    <t>HappyRobot</t>
  </si>
  <si>
    <t>AI Communication. Built for Logistics.</t>
  </si>
  <si>
    <t>[{"name":"Pablo Palafox","title":"Founder","bio":"Cofounder of Happyrobot (S23). Previously PhD Candidate @ TU Munich working on Computer Vision (https://pablopalafox.github.io/), research intern at Reality Labs (Meta).","linkedin":"https://linkedin.com/in/pablorpalafox"},{"name":"Luis Paarup","title":"Founder","bio":"Co-founder of Happyrobot (happyrobot.ai), working on AI agents that speak on the phone.","linkedin":"https://linkedin.com/in/luispaarup"},{"name":"Javier Palafox","title":"Founder","bio":"Javi is the co-founder and COO of Happyrobot. Previously, he served as CFO for a $300M CPG brand.","linkedin":"https://linkedin.com/in/javierpalafox"}]</t>
  </si>
  <si>
    <t>Pablo (CEO) and Javi (COO) are siblings. Luis (CTO) met Pablo on their second day of their Robotics and Electronics undergraduate program. Later, they both pursued a Masters in Mechanical Engineering at the Technical University of Munich (TUM). It was also at TUM where Pablo pursued his PhD in Computer Vision at one of the top 3D AI Labs in the world.</t>
  </si>
  <si>
    <t>Pablo</t>
  </si>
  <si>
    <t>https://bookface-images.s3.amazonaws.com/small_logos/fd3e59db650540efed4a5b4af9e1693188ca3a4d.png</t>
  </si>
  <si>
    <t>usehatchapp.com</t>
  </si>
  <si>
    <t>Hatch</t>
  </si>
  <si>
    <t>SMS for Contact Centers</t>
  </si>
  <si>
    <t>Richmond, VA</t>
  </si>
  <si>
    <t>https://bookface-images.s3.amazonaws.com/small_logos/8490dae3dafb5e213b1c6281bb3561f426bf994f.png</t>
  </si>
  <si>
    <t>headstart.io</t>
  </si>
  <si>
    <t>Headstart</t>
  </si>
  <si>
    <t>Headstart uses Machine Learning to help companies decide on who to…</t>
  </si>
  <si>
    <t>[{"name":"Nicholas Shekerdemian","title":"/CEO","bio":"Founder at Headstart AI (acq. Silverback United). Founding Partner at TVC.","linkedin":"https://uk.linkedin.com/in/nicholasshekerdemian"},{"name":"Jeremy Hindle","title":"Founder","bio":"I ♥️ solving difficult problems.\nFounder \n@fundament_gg,\n@custodian_club,\n@verse_works,\nCloudline,\n\nPrev: \n@headstart_io,\n@Forbes 30u30 , \n@YCombinator S17","linkedin":"https://www.linkedin.com/in/jeremyhindle/"}]</t>
  </si>
  <si>
    <t>https://bookface-images.s3.amazonaws.com/small_logos/ac3d6ebaf0dfdd9434b6a3dd78182d498f7b6587.png</t>
  </si>
  <si>
    <t>hellosign.com</t>
  </si>
  <si>
    <t>HelloSign</t>
  </si>
  <si>
    <t>eSignature software for small and mid-market businesses.</t>
  </si>
  <si>
    <t>https://bookface-images.s3.amazonaws.com/small_logos/251df7a6d1d16ee11aac63b910791aca861aff29.png</t>
  </si>
  <si>
    <t>herondata.io</t>
  </si>
  <si>
    <t>Heron Data</t>
  </si>
  <si>
    <t>We automate document-heavy workflows in financial services and beyond</t>
  </si>
  <si>
    <t>[{"name":"Johannes Jaeckle","title":"Founder","bio":"Johannes is the CEO of Heron Data. Before starting Heron Data with two friends, he was an early team member and UK MD for Segovia Technology and most recently led the fast-growing remittance company Taptap Send. Johannes holds a BA in PPE and a Master’s degree in Development Economics, both from Oxford University.","linkedin":"https://www.linkedin.com/in/johannes-jaeckle-614b567b/"},{"name":"Dominic Kwok","title":"Founder","bio":"Dom is the CTO of Heron Data. Before Heron Data, he worked in data science at Revolut, Spotify, and Meta. Dom holds a BS in Physics from Yale, and is originally from Hong Kong","linkedin":"https://www.linkedin.com/in/dominickwok/"},{"name":"Jamie Parker","title":"Founder","bio":"Jamie is the COO of Heron Data. Before starting Heron Data with two friends he worked at Knowledge Search firm, AlphaSights. Jamie started and scaled a new commercial function at AlphaSights to $xxm ARR and 20+ people globally in 18 months. Prior to this Jamie was an avid AirBnB host and used his rental income to fund a white tie hire company at the University of Oxford with Johannes (CEO of Heron Data) which they sold in 2016.","linkedin":"https://www.linkedin.com/in/jamie-parker-1068a414/"}]</t>
  </si>
  <si>
    <t>Johannes</t>
  </si>
  <si>
    <t>https://bookface-images.s3.amazonaws.com/small_logos/390e7f2f1ec123f79b81c83239389cb870fd0235.png</t>
  </si>
  <si>
    <t>hickorytraining.com</t>
  </si>
  <si>
    <t>Hickory</t>
  </si>
  <si>
    <t>Hickory turns your employees into experts.</t>
  </si>
  <si>
    <t>higherme.com</t>
  </si>
  <si>
    <t>HigherMe</t>
  </si>
  <si>
    <t>Helping restaurant employers find &amp;amp; hire better employees faster</t>
  </si>
  <si>
    <t>[{"name":"Rob Hunter","title":"/CEO","bio":"Entrepreneurial Adventures:\n\n- eBay account @ 12 years old, selling Japanese pro-wrestling VHS tapes + DVD's (yep!)\n- Mini student housing real estate empire while at Ivey Business School\n- 7-unit franchisee @ Marble Slab Creamery -- &gt; bankruptcy @ 29!\n- Founder @ HigherMe (YC W15) --&gt; 8-figure acquisition @ 36\n- Founder @ Reset Button - tried to solve student debt crisis\n- Prof @ Ivey Business School, just for fun","linkedin":"https://www.linkedin.com/in/robhunter7/"},{"name":"Jef Chedeville","title":"/CTO","bio":"","linkedin":"http://www.linkedin.com/in/jean-francois-chedeville"}]</t>
  </si>
  <si>
    <t>https://bookface-images.s3.amazonaws.com/small_logos/94e9b636b74d579c5321c7c9dcd9349d3ca2685b.png</t>
  </si>
  <si>
    <t>hightouch.com</t>
  </si>
  <si>
    <t>Hightouch</t>
  </si>
  <si>
    <t>Sync data from your warehouse into the tools your business teams rely…</t>
  </si>
  <si>
    <t>[{"name":"Kashish Gupta","title":"Founder","bio":"Founder of https://hightouch.com (YC S19).","linkedin":"https://www.linkedin.com/in/guptakashish/"},{"name":"Tejas Manohar","title":"Founder","bio":"Early engineer at Segment. YCS19. Founder of https://hightouch.io","linkedin":"https://linkedin.com/in/tejasmanohar"},{"name":"Joshua Curl","title":"Founder","bio":"","linkedin":"https://www.linkedin.com/in/joshcurl/"}]</t>
  </si>
  <si>
    <t>Kashish</t>
  </si>
  <si>
    <t>https://bookface-images.s3.amazonaws.com/small_logos/b36436bcb84be8e217d46771a3d924ea6ba393a8.png</t>
  </si>
  <si>
    <t>hireart.com</t>
  </si>
  <si>
    <t>HireArt</t>
  </si>
  <si>
    <t>Gives businesses everything needed to hire &amp;amp; manage W2 contractors.</t>
  </si>
  <si>
    <t>https://bookface-images.s3.amazonaws.com/small_logos/1313424ffcccb181d4a78eec0cde6b8bcab2da6d.png</t>
  </si>
  <si>
    <t>hiresweet.com</t>
  </si>
  <si>
    <t>HireSweet</t>
  </si>
  <si>
    <t>A talent acquisition software built for data-driven recruiting teams.</t>
  </si>
  <si>
    <t>https://bookface-images.s3.amazonaws.com/small_logos/7cf9657613db14a7e4f2038b460049ae160568bc.png</t>
  </si>
  <si>
    <t>hiro.so</t>
  </si>
  <si>
    <t>Hiro Systems</t>
  </si>
  <si>
    <t>Hiro Systems build developer tools for Bitcoin L1 and the Stacks L2</t>
  </si>
  <si>
    <t>[{"name":"Muneeb Ali","title":"Founder","bio":"Co-founder of the Stacks project, CEO of Trust Machines.","linkedin":""}]</t>
  </si>
  <si>
    <t>Muneeb</t>
  </si>
  <si>
    <t>https://bookface-images.s3.amazonaws.com/small_logos/96d6585dd5c6970a5bdb324b4a4d6e71b977b149.png</t>
  </si>
  <si>
    <t>hive.co</t>
  </si>
  <si>
    <t>Hive</t>
  </si>
  <si>
    <t>Email and SMS marketing platform</t>
  </si>
  <si>
    <t>https://bookface-images.s3.amazonaws.com/small_logos/badfb865d3956c905328a893ade1fc0f2253e57b.png</t>
  </si>
  <si>
    <t>hona.com</t>
  </si>
  <si>
    <t>Hona</t>
  </si>
  <si>
    <t>The Domino&amp;#39;s Pizza Tracker for service businesses and their clients.</t>
  </si>
  <si>
    <t>Orem, UT</t>
  </si>
  <si>
    <t>[{"name":"Manny Griffiths","title":"Founder","bio":"After studying Finance at BYU, I did B2B SaaS sales for a legal tech company in Utah. While selling that software, my clients asked for a specific feature, they wanted \"a dominos pizza tracker for legal cases\". I left that company to create that tool so that all businesses can update and educate their clients on their services.","linkedin":"https://www.linkedin.com/in/manny-griffiths-b5876884/"},{"name":"Josh Christensen","title":"Founder","bio":"While studying Mechanical Engineering at BYU, I started an e-commerce sandal company called J-Slips Hawaii which I scaled to $1M+ in revenue in 2 years. I turned it over to my family to run so I could pursue a career in tech. I taught myself how to code and became a software engineer working at extremely fast growing tech companies, first Qualtrics and then Route, before co-founding Hona.","linkedin":"https://www.linkedin.com/in/joshua-n-christensen/"},{"name":"Matt McClellan","title":"Founder","bio":"","linkedin":"https://www.linkedin.com/in/matthew-mcclellan22/"}]</t>
  </si>
  <si>
    <t>We’re Milestones, and we’re building the bridge between businesses CRM and their clients.</t>
  </si>
  <si>
    <t>Manny</t>
  </si>
  <si>
    <t>https://bookface-images.s3.amazonaws.com/small_logos/7796601cb8c746f78b720f5509beb20c0e6fd6c1.png</t>
  </si>
  <si>
    <t>hub.la</t>
  </si>
  <si>
    <t>Hubla</t>
  </si>
  <si>
    <t>All-in-one platform for creators to sell courses and subscriptions</t>
  </si>
  <si>
    <t>Brazil</t>
  </si>
  <si>
    <t>[{"name":"Arthur Alvarenga","title":"Founder","bio":"Software engineer and product design.","linkedin":"https://www.linkedin.com/in/arthur-alvarenga-0623b193/"},{"name":"Breno Oliveira","title":"Founder","bio":"Breno is co-founder of Hubla (YCombinator S20). Breno has a large experience (since 1993) in product and software development. He was the creator of nFlog (2004) converting more than 15k users in the first month. His project RemotePark, app for finding parking lot available nearby, gave him the StartupFarm award in 2011. Breno also was co-founder of RBM Solutions, a performance marketing company, the first using pay per install (PPI) in Brazil.","linkedin":"https://linkedin.com/in/breno-lima-38a09922"},{"name":"Bernardo Reis","title":"Founder","bio":"Always looking for a better way to solve real life problem with software, I'm passionate about creating tools and services that improve people's lives. To do that I'm always looking for the techinical knowledge to create and use good architectures so that systems can grow in a healthy way.\n\nI am an Android, but I also have a wide experience in developing servers in Kotlin, Java and Python. I have also used Flutter for Android and iOS applications and React for web apps.","linkedin":"https://www.linkedin.com/in/bernardo-reis-22255659/"},{"name":"Raphael Capelão","title":"Founder","bio":"","linkedin":"https://www.linkedin.com/in/raphael-capel%C3%A3o-052759135/"}]</t>
  </si>
  <si>
    <t>https://bookface-images.s3.amazonaws.com/small_logos/f2774c90b6477ab8f737e3b9ae637d15847ea8de.png</t>
  </si>
  <si>
    <t>hudu.com</t>
  </si>
  <si>
    <t>Hudu</t>
  </si>
  <si>
    <t>The Most-Loved IT Documentation Platform</t>
  </si>
  <si>
    <t>Fort Collins, CO</t>
  </si>
  <si>
    <t>[{"name":"Jacob Hart","title":"Founder","bio":"Occasionally witty.","linkedin":"https://www.linkedin.com/in/jacob-hart-22499a105/"},{"name":"John Hart","title":"Founder","bio":"","linkedin":"https://www.linkedin.com/in/john-hart-86270120"}]</t>
  </si>
  <si>
    <t>Jacob</t>
  </si>
  <si>
    <t>https://bookface-images.s3.amazonaws.com/small_logos/fe59bf79400d08cf1699c0ed05913ffda85a5b89.png</t>
  </si>
  <si>
    <t>letshum.com</t>
  </si>
  <si>
    <t>Hum</t>
  </si>
  <si>
    <t>A chat program that integrates with email, with presence.</t>
  </si>
  <si>
    <t>humaans.io</t>
  </si>
  <si>
    <t>Humaans</t>
  </si>
  <si>
    <t>The fastest way to onboard and manage employees</t>
  </si>
  <si>
    <t>[{"name":"Giovanni Luperti","title":"Founder","bio":"CEO and co-founder of Humaans. Prev. Director of Product Design at Qubit.","linkedin":"https://www.linkedin.com/in/gluperti/"},{"name":"Karolis Narkevicius","title":"Founder","bio":"Building the product at Humaans using React/Node.js/Postgres/Redis/Kube/GCP.","linkedin":"https://www.linkedin.com/in/karolisnarkevicius/"}]</t>
  </si>
  <si>
    <t>Giovanni</t>
  </si>
  <si>
    <t>https://bookface-images.s3.amazonaws.com/small_logos/5d9d92284da5e0578d6ae11b390f879ee72085b9.png</t>
  </si>
  <si>
    <t>Humanloop is the LLM evals platform for enterprises.</t>
  </si>
  <si>
    <t>[{"name":"Raza Habib","title":"Founder","bio":"Ex-MonolithAI and Google. ML PhD @ UCL and MSc in Physics @ Cambridge.","linkedin":"https://www.linkedin.com/in/raza-habib-7b21ba4b/"},{"name":"Jordan Burgess","title":"Founder","bio":"Cofounder at Humanloop.\n\nNLU research @ Alexa,\nMPhil Machine Learning Cambridge\nUndergrad at Cambridge and MIT.","linkedin":"https://www.linkedin.com/in/jordanburgess/"},{"name":"Peter Hayes","title":"Founder","bio":"Co-founder and CTO @Humanloop. Previously Co-founder @Certua. ML PhD at UCL and BSc Mathematics at Trinity.","linkedin":"https://www.linkedin.com/in/peter-hayes-2366591a4/"}]</t>
  </si>
  <si>
    <t>Raza</t>
  </si>
  <si>
    <t>https://bookface-images.s3.amazonaws.com/small_logos/364a02bb6e0092111a4c8bbb119301d2264c7ace.png</t>
  </si>
  <si>
    <t>humanly.io</t>
  </si>
  <si>
    <t>Humanly</t>
  </si>
  <si>
    <t>We empower the world’s hiring teams to grow engaged, high-performing…</t>
  </si>
  <si>
    <t>High-volume hiring is extremely broken - it is inefficient, ineffective, and biased. Our mission is to fix what is broken. We believe great hiring processes are centered around quality conversations between candidates and employers and a future where every candidate’s journey starts with a conversation - a future where candidates are considered without bias or archaic artifacts like resumes and cover letters. We also believe diverse teams are better teams. Diverse teams are better positioned to understand their customers, execute, and win their markets. And we believe technology can help provide consistency and eliminate bias. Technology is non-discerning at its core, and can help things move faster and more efficiently, but without the proper guardrails technology can drive negative outcomes - our goal is to help our customers in this journey.</t>
  </si>
  <si>
    <t>https://bookface-images.s3.amazonaws.com/small_logos/8f8784d91cd57dc68a051e2c674bfe829b9aaefc.png</t>
  </si>
  <si>
    <t>hypercontext.com</t>
  </si>
  <si>
    <t>Hypercontext</t>
  </si>
  <si>
    <t>Meeting agendas, notes, &amp;amp; goals that tie back to your OKRs</t>
  </si>
  <si>
    <t>[{"name":"Brennan McEachran","title":"Founder","bio":"Co-founder, CEO at Hypercontext\n🚀 Manage your teams via meetings\n🐦  @i_am_brennan \n👨‍💻 Passionate: startup/tech/product/frontend","linkedin":"https://www.linkedin.com/in/brennanmceachran/"},{"name":"Graham McCarthy","title":"Founder","bio":"Co-founder, CTO at Hypercontext.  Tech leader with 15+ years in SaaS, AI, and product strategy. Co-Founder &amp; CTO at Hypercontext, building AI-powered tools for high-performing teams. Scaled solutions for Fortune 500 clients at SoapBox Innovations. Passionate about tech-driven growth, team culture, and impactful innovation.","linkedin":"https://www.linkedin.com/in/grahammccarthy"}]</t>
  </si>
  <si>
    <t>Brennan</t>
  </si>
  <si>
    <t>https://bookface-images.s3.amazonaws.com/small_logos/e341d51ab4846625abc0f683c15083bfa5785f1a.png</t>
  </si>
  <si>
    <t>hypermile.ai</t>
  </si>
  <si>
    <t>Hypermile</t>
  </si>
  <si>
    <t>Driver co-pilot to make trucking more efficient</t>
  </si>
  <si>
    <t>[{"name":"Jakub Langr","title":"Founder","bio":"Jakub has worked in data &amp; AI for over a decade. He is the CTO for Tenderd (YC S18). Previously, he founded AI startup Hypermile (YC S20). He wrote a best-selling book on an area of Generative AI and he guest lectures at the University of Oxford. He worked for global tech companies (Palantir), as well as consultancies (Brainpool, Mudano, where he grew the ML team from 1 to 15) and startups (as ML Tech Lead at Filtered and a consultant at Founders Factory). Jakub graduated from Oxford.","linkedin":"http://linkedin.com/in/jakublangr"},{"name":"James Hennessey","title":"Founder","bio":"Founder and CEO of Hypermile (S20). Background in computer vision and computer graphics. Former Head of Computer Vision at Pupil, ex-Adobe, ex-Disney, Entrepreneur First (EF1) alum. Computer Vision and Computer Graphics PhD from University College London.","linkedin":"https://www.linkedin.com/in/james-hennessey-2357391a/"}]</t>
  </si>
  <si>
    <t>Jakub</t>
  </si>
  <si>
    <t>https://bookface-images.s3.amazonaws.com/small_logos/b25c7b5a70e0fab68abb8837d04d772f89ba6623.png</t>
  </si>
  <si>
    <t>hypotenuse.ai</t>
  </si>
  <si>
    <t>Hypotenuse AI</t>
  </si>
  <si>
    <t>Manage, create &amp;amp; optimize your ecommerce product content using AI</t>
  </si>
  <si>
    <t>[{"name":"Joshua Wong","title":"Founder","bio":"Founder &amp; CEO @ Hypotenuse AI. Formerly applied research scientist (machine learning) and software engineer at Amazon's AI team. CS grad from Cambridge University.","linkedin":"https://www.linkedin.com/in/jwonged/"}]</t>
  </si>
  <si>
    <t>Joshua</t>
  </si>
  <si>
    <t>https://bookface-images.s3.amazonaws.com/small_logos/db128807c45c4e66979161cb1469269d81323e67.png</t>
  </si>
  <si>
    <t>iomete.com</t>
  </si>
  <si>
    <t>IOMETE</t>
  </si>
  <si>
    <t>The Self-hosted Data Lakehouse Platform</t>
  </si>
  <si>
    <t>[{"name":"Vusal Dadalov","title":"Founder","bio":"Vusal Dadalov is cofounder &amp; CEO at iomete, the first complete data infrastructure delivered as a single platform.\n\nMy background is Distributed Systems Engineer. Previously worked at Uber, Careem, OLX Group, Azercell Telecom","linkedin":"https://www.linkedin.com/in/vusaldadalov/"},{"name":"Piet Jan de Bruin","title":"Founder","bio":"Co-founder IOMETE | The Next-Gen Data Lakehouse Platform for AI and Analytics.\n\nFrom 2016 to 2020 I was CFO and CEO of Tuft &amp; Needle (www.tn.com) which we grew to $200m in revenue while remaining bootstrapped and profitable (exit to Advent International late 2018).","linkedin":"https://www.linkedin.com/in/pietjandebruin/"}]</t>
  </si>
  <si>
    <t>Vusal</t>
  </si>
  <si>
    <t>https://bookface-images.s3.amazonaws.com/small_logos/4e52952fdb211b49817df2113a24373bf56b70ef.png</t>
  </si>
  <si>
    <t>impraise.com</t>
  </si>
  <si>
    <t>Impraise</t>
  </si>
  <si>
    <t>Enable managers to create an effective work environment for their team</t>
  </si>
  <si>
    <t>[{"name":"Bas Kohnke","title":"/CEO","bio":"Living in Amsterdam and Lisbon. Former Founder/CEO of Impraise (acquired by BetterUp). Angel investor in several tech companies. Coach to Founders on self-awareness and emotional well-being. \n\nExtensive experience in B2B SaaS, Edtech, Product Management, Enterprise Sales, Culture Building.","linkedin":"https://www.linkedin.com/in/baskohnke/"},{"name":"Filipe Dobreira","title":"/CTO","bio":"","linkedin":"https://www.linkedin.com/in/filipe-dobreira/"}]</t>
  </si>
  <si>
    <t>Bas</t>
  </si>
  <si>
    <t>https://bookface-images.s3.amazonaws.com/small_logos/3737c187775ea558bbe68c57b6fedb1145dcace9.png</t>
  </si>
  <si>
    <t>infracost.io</t>
  </si>
  <si>
    <t>Infracost</t>
  </si>
  <si>
    <t>Shift FinOps Left: tell engineers how much code changes will cost…</t>
  </si>
  <si>
    <t>Edinburgh, United Kingdom</t>
  </si>
  <si>
    <t>[{"name":"Hassan Khajeh-Hosseini","title":"Founder","bio":"Currently working on making it easier for developers to understand how their code changes are going to affect their cloud bills before launching resources. Prior to that, founded other startups and took them through acquisitions. I like to surf, snowboard, skydive and eat! I make a vlog now and then on YouTube :)","linkedin":"https://www.linkedin.com/in/hassanhosseini/"},{"name":"Ali Khajeh-Hosseini","title":"Founder","bio":"Co-founder of Infracost.io - helping engineering teams reduce their cloud costs with open source tools. I did my PhD looking at cloud costs ~10 years ago.\n\nI take my mind off work by heading into the mountains, playing football (soccer, not the other kind) and volleyball.","linkedin":"https://www.linkedin.com/in/alikhajeh1/"},{"name":"Alistair Scott","title":"Founder","bio":"Co-founder of Infracost. Developer at heart. Love to ski and cook. Currently on a mission to cook a dish from every country in the world.","linkedin":"https://www.linkedin.com/in/aiscott/"}]</t>
  </si>
  <si>
    <t>Our YC group keeps a monthly check-in going. It has been great to meetup on zoom once a month to talk about any main issues, questions, learnings that any of the companies have had.</t>
  </si>
  <si>
    <t>Hassan</t>
  </si>
  <si>
    <t>https://bookface-images.s3.amazonaws.com/small_logos/fe6b97eef16a2d22e437f6cf663c11b64b223fc8.png</t>
  </si>
  <si>
    <t>inklingmarkets.com</t>
  </si>
  <si>
    <t>Inkling</t>
  </si>
  <si>
    <t>inokyo.com</t>
  </si>
  <si>
    <t>Inokyo</t>
  </si>
  <si>
    <t>We bring physical stores to the digital age with cashierless checkout.</t>
  </si>
  <si>
    <t>[{"name":"Tony Francis","title":"/CEO","bio":"Tony is a two-time YC founder. His previous company, Inokyo (YC S18), built the first AI-checkout retail stores. Later he lead the development of the ML platform at Clubhouse. Currently, he is the founder &amp; CEO of Dream3D (W23), building generative models to simulate virtual worlds.","linkedin":"http://linkedin.com/in/tony-f"}]</t>
  </si>
  <si>
    <t>Tony</t>
  </si>
  <si>
    <t>https://bookface-images.s3.amazonaws.com/small_logos/dc7d9010a87027e6273b47d80643278ca2e03619.png</t>
  </si>
  <si>
    <t>inscribe.ai</t>
  </si>
  <si>
    <t>Inscribe</t>
  </si>
  <si>
    <t>Risk Ops Automation</t>
  </si>
  <si>
    <t>https://bookface-images.s3.amazonaws.com/small_logos/4c333bc20547915ff3daa523d6f51721837974bc.png</t>
  </si>
  <si>
    <t>instrumentl.com</t>
  </si>
  <si>
    <t>Instrumentl</t>
  </si>
  <si>
    <t>Instrumentl automates grant discovery and management for nonprofits.</t>
  </si>
  <si>
    <t>https://bookface-images.s3.amazonaws.com/small_logos/e054eb9c71bc1227e5948307d9af61a46a784d79.png</t>
  </si>
  <si>
    <t>invoid.co</t>
  </si>
  <si>
    <t>Invoid</t>
  </si>
  <si>
    <t>Create identity verification workflows the way you want</t>
  </si>
  <si>
    <t>Gurugram, India</t>
  </si>
  <si>
    <t>[{"name":"Kunwar Raj Sethi","title":"Founder","bio":"After building a community of 1.5 million+ on Instagram, 50k+ on LinkedIn and garnering 100mn+ views, we're now helping people create viral content on LinkedIn using superpen.io.\n\nWe are in a new era of Go to Market. Outbound channels are dead. Building a personal brand on LinkedIn is more important than ever. \n\nStart creating viral content on LinkedIn using Superpen :)","linkedin":"https://www.linkedin.com/in/kunwarraj01/"},{"name":"Sarthak Goel","title":"Founder","bio":"Computer scientist who loves to work on impactful ideas. \n- Have coded for India's top travel marketplace with 3M+ DAUs. \n- Sold my one of my projects to the government. \nI love dev tools and believe that developers are the new influencers.","linkedin":"https://www.linkedin.com/in/iamsarthakgoel"}]</t>
  </si>
  <si>
    <t>Kunwar</t>
  </si>
  <si>
    <t>https://bookface-images.s3.amazonaws.com/small_logos/d2e3c9b022819f2037f731e715774474465db9c7.png</t>
  </si>
  <si>
    <t>iotflows.com</t>
  </si>
  <si>
    <t>IoTFlows Inc</t>
  </si>
  <si>
    <t>AI-Powered Machine Performance Monitoring</t>
  </si>
  <si>
    <t>Atlanta, GA</t>
  </si>
  <si>
    <t>[{"name":"Mahmoud Parto","title":"Founder","bio":"Co-Founder and CEO at IoTFlows Inc","linkedin":"https://www.linkedin.com/in/mahmoudp/"},{"name":"Ulises Carrasco","title":"Founder","bio":"Building the next generation of industrial machine connectivity.","linkedin":"https://www.linkedin.com/in/ulises-carrasco1/"}]</t>
  </si>
  <si>
    <t>Mahmoud</t>
  </si>
  <si>
    <t>https://bookface-images.s3.amazonaws.com/small_logos/db834b21af4ce2705ca320994110533bc0a0b2c6.png</t>
  </si>
  <si>
    <t>jopwell.com</t>
  </si>
  <si>
    <t>Jopwell</t>
  </si>
  <si>
    <t>Career advancement for Black, Latinx &amp;amp; Native American professionals.</t>
  </si>
  <si>
    <t>[{"name":"Porter Braswell","title":"/CEO","bio":"Porter Braswell is the co-founder and Executive Chairman of Jopwell (YC S'15). Porter is also the founder of 2045 Studio, launching Spring 2023. \n\nPorter's work centers around diversity in the workplace and supporting corporations in building inclusive cultures where communities of color can thrive.","linkedin":"https://www.linkedin.com/in/porter-braswell-7a097560/"},{"name":"Ryan Williams","title":"/President","bio":"","linkedin":"https://www.linkedin.com/in/ryan-williams-10601134/"}]</t>
  </si>
  <si>
    <t>Porter</t>
  </si>
  <si>
    <t>https://bookface-images.s3.amazonaws.com/small_logos/3dd0767f5aa369853ca43c4cfdc902eda25965f9.png</t>
  </si>
  <si>
    <t>journey.io</t>
  </si>
  <si>
    <t>Journey</t>
  </si>
  <si>
    <t>No code platform for sales to tell better stories and win more deals.</t>
  </si>
  <si>
    <t>[{"name":"Peter Clark","title":"Founder","bio":"Spent past 15 years doing Growth — especially for B2B companies\n\npeterclark@me.com","linkedin":"https://www.linkedin.com/in/peter-clark-51990a8a/"},{"name":"Anil Sevim","title":"Founder","bio":"previously - founding engineer @udemy ($UDMY), director of engineering @juullabs @adroll","linkedin":"https://www.linkedin.com/in/anilsevim"},{"name":"Brendan Weitz","title":"Founder","bio":"I'm currently the co-founder &amp; cbo at Journey and previously was GM @ Quora, Sr Director @AdRoll, and early Sales @ Facebook.","linkedin":"https://www.linkedin.com/in/brendanlweitz/"}]</t>
  </si>
  <si>
    <t>Send a Journey when you want to win a deal:</t>
  </si>
  <si>
    <t>https://bookface-images.s3.amazonaws.com/small_logos/14a1841964a7b67a276aa01bfe4416451177ed93.png</t>
  </si>
  <si>
    <t>jutsoo.com</t>
  </si>
  <si>
    <t>Jutsoo</t>
  </si>
  <si>
    <t>All your corporate bank accounts connected under one platform</t>
  </si>
  <si>
    <t>[{"name":"Mario Gaw","title":"Founder","bio":"Mario Gaw is the co-founder and CEO of Bananas. Together with Kristian Sinaulan, he wanted to change how people do groceries in today's world where spare time is better spent on quality time with family rather than doing weekly grocery shopping. He has extensive experience in e-commerce from his days in Lazada Indonesia (Rocket Internet venture acquired by Alibaba), payments in helloPay Indonesia (merged with Alipay), and building products like Cashbac (an instant rewards loyalty mobile app).","linkedin":"https://www.linkedin.com/in/mariogaw/"},{"name":"Kristian F H Sinaulan","title":"Founder","bio":"Kristian Sinaulan is the co-founder and CTO of Bananas. Together with Mario Gaw, he wanted to change how people do groceries in today's world where spare time is better spent on quality time with family rather than doing weekly grocery shopping. He has been building teams and products in several industries ranging from Telcos, E-Commerce, Payments, Loyalty Systems.","linkedin":"https://www.linkedin.com/in/kristian-frits-harris-sinaulan-04610744"}]</t>
  </si>
  <si>
    <t>https://bookface-images.s3.amazonaws.com/small_logos/69eb01b9a77c8101b0acffcb7de83b989be1a2ed.png</t>
  </si>
  <si>
    <t>juzibot.com</t>
  </si>
  <si>
    <t>JuziBot</t>
  </si>
  <si>
    <t>Intercom for WeChat, help companies to acquire,  engage, retain…</t>
  </si>
  <si>
    <t>Beijing, China</t>
  </si>
  <si>
    <t>[{"name":"Yuan Gao","title":"Founder","bio":"Yuan Gao, co-founder &amp; CTO of BotOrange, one of the founding sponsors of Bot Friday Club. Yuan plays a very active role in the open source community, he is the core contributor of Wechaty, a chatbot SDK open source framework with close to 8,000 stars recognition on Github. Yuan is also the author of wechaty-puppet-padpro and the core contributor of wechaty-puppet-padplus. Yuan has accumulated many years of internet technology development experience.","linkedin":"https://www.linkedin.com/in/yuan-gao--/"},{"name":"Huan Li","title":"Founder","bio":"Huan Li is a serial entrepreneur with 20+ years of programming experience. Huan is a widely recognized technical leader in conversational AI and open-source cloud architectures. He co-authored the books \"Chatbot 0 to 1\" and \"Concise Handbook of TensorFlow 2\" and has been recognized by Microsoft and Google as MVP/GDE. Huan is a Chatbot Architect and speaks regularly at technical conferences worldwide. Find out more about his open-source work at https://github.com/huan/","linkedin":"https://linkedin.com/in/zixia"},{"name":"Jiarui Li","title":"Founder","bio":"","linkedin":"https://www.linkedin.com/in/%E4%BD%B3%E8%8A%AE-%E6%9D%8E-710277b6/"}]</t>
  </si>
  <si>
    <t>Yuan</t>
  </si>
  <si>
    <t>https://bookface-images.s3.amazonaws.com/small_logos/f06ad45b7f49712e329e6cfd50db0616164f6ce0.png</t>
  </si>
  <si>
    <t>kalibrr.com</t>
  </si>
  <si>
    <t>Kalibrr</t>
  </si>
  <si>
    <t>Kalibrr connects SEAsian talent to your local &amp;amp; global jobs.</t>
  </si>
  <si>
    <t>Makati, Philippines</t>
  </si>
  <si>
    <t>[{"name":"Danny Castonguay","title":"Founder","bio":"Danny has been designing and building products since the 1990s. In early 2000s, he wrote his first machine learning algorithms to play board games, to control articulated arms, and to trade on the financial markets. As a consultant, he has advised leaders across multiple industries (mining, energy, hospitality, retail, finance, and transportation). Danny is Y-Combinator founder with a Masters in Comp. Eng. from McGill (machine learning) and an MBA from MIT. He has 3 kids and practices+coaches Ji","linkedin":"https://www.linkedin.com/in/dannycastonguay/"},{"name":"Dexter Ligot-Gordon","title":"/COO","bio":"Led product at Kalibrr (YC W13) building our design, product management, and engineering teams from the ground up.  Kalibrr became the leading tech hiring platform in the Philippines and Indonesia.","linkedin":"https://www.linkedin.com/in/ligotgordon/"},{"name":"Paul Rivera","title":"/CEO","bio":"","linkedin":"https://ph.linkedin.com/in/paulvrivera"}]</t>
  </si>
  <si>
    <t>https://bookface-images.s3.amazonaws.com/small_logos/6c8f5c4943929604147699496cec762e6182921b.png</t>
  </si>
  <si>
    <t>kamion.co</t>
  </si>
  <si>
    <t>Kamion</t>
  </si>
  <si>
    <t>Uber for Trucks for Turkey</t>
  </si>
  <si>
    <t>Istanbul, Turkey</t>
  </si>
  <si>
    <t>[{"name":"Berkay Adlim","title":"Founder","bio":"Berkay is the Founder and CEO of Kamion, the Uber for Trucks for Turkey. His background includes working in logistics from an early age to becoming a published researcher at Columbia. Berkay holds a BS in Industrial Engineering from the University of Illinois at Urbana-Champaign and an MS in Applied Analytics from Columbia University.","linkedin":"https://www.linkedin.com/in/badlim/"}]</t>
  </si>
  <si>
    <t>Turkey is MENA’s largest economy, with ~850,000 independent truckers and a logistics TAM of 73 Billion USD. However, in its current state, freight forwarding for trucking faces two main challenges:</t>
  </si>
  <si>
    <t>Berkay</t>
  </si>
  <si>
    <t>https://bookface-images.s3.amazonaws.com/small_logos/3a973399e59c8f4e8a780a1b7de322e6fff79878.png</t>
  </si>
  <si>
    <t>kaso.ai</t>
  </si>
  <si>
    <t>Kaso</t>
  </si>
  <si>
    <t>B2B platform connecting restaurants with food suppliers</t>
  </si>
  <si>
    <t>United Arab Emirates</t>
  </si>
  <si>
    <t>https://bookface-images.s3.amazonaws.com/small_logos/3c79d80de8f1c859dfa1ed888601f47888bb8f4b.png</t>
  </si>
  <si>
    <t>keeper.app</t>
  </si>
  <si>
    <t>Keeper</t>
  </si>
  <si>
    <t>We make software for bookkeepers.</t>
  </si>
  <si>
    <t>[{"name":"Ben Stein","title":"Founder","bio":"CEO of Keeper\n\nPreviously:\n* CFO @ Mira (enterprise AR startup)\n* Operations @ SpaceX\n* Business Analytics @ Amazon","linkedin":"https://www.linkedin.com/in/benfstein/"},{"name":"Kenny Song","title":"Founder","bio":"CTO of Keeper. Loves bookkeeping, React, and rugby.","linkedin":"https://www.linkedin.com/in/kennysong1/"}]</t>
  </si>
  <si>
    <t>https://bookface-images.s3.amazonaws.com/small_logos/e62eb8fc8bb104db629027f029c23e342c23d7f2.png</t>
  </si>
  <si>
    <t>keynua.com</t>
  </si>
  <si>
    <t>Keynua</t>
  </si>
  <si>
    <t>E-signatures with identity verification for Latin America</t>
  </si>
  <si>
    <t>Lima, Peru</t>
  </si>
  <si>
    <t>[{"name":"Alfredo Granda","title":"Founder","bio":"Founder and CTO with experience creating software products and expanding them throughout Latin America to millions of users. Designed and implemented the Cinepapaya platform which eventually was acquired in 2016 by NBC Universal through its Fandango Media LLC division. Then i became the VP of IT for Fandango Latam until i left the company to start Keynua.","linkedin":"https://www.linkedin.com/in/alfredo-granda-02a95992/"},{"name":"Manuel Olguin","title":"Founder","bio":"Founder and CEO with experience developing digital products and expanding them throughout Latin America. Co-founded Cinepapaya in 2012 and led its growth for 4 years, taking it to 12 countries and 80% of all movie theaters in the region. The company was acquired in 2016 by NBC Universal through its Fandango Media LLC division.","linkedin":"https://www.linkedin.com/in/manuel-olguin-82a352/"},{"name":"Luis Alban","title":"Founder","bio":"","linkedin":"https://www.linkedin.com/in/luis-alban-90a09ab6"},{"name":"Inma Canadas","title":"Founder","bio":"","linkedin":""}]</t>
  </si>
  <si>
    <t>Alfredo</t>
  </si>
  <si>
    <t>https://bookface-images.s3.amazonaws.com/small_logos/8fbed2b65acfc0ba30a15ec3e34a5585d8624b9c.png</t>
  </si>
  <si>
    <t>kimonolabs.com</t>
  </si>
  <si>
    <t>Kimono Labs</t>
  </si>
  <si>
    <t>Create APIs where they don&amp;#39;t exist. With kimono you can quickly…</t>
  </si>
  <si>
    <t>kodexglobal.com</t>
  </si>
  <si>
    <t>Kodex</t>
  </si>
  <si>
    <t>Easiest way for companies to process data requests from governments</t>
  </si>
  <si>
    <t>[{"name":"Matt Donahue","title":"Founder","bio":"Formerly Counterterrorism Intelligence for the FBI. While in the FBI, Matt often saw multi-billion dollar companies struggle to comply with legal orders. He left the FBI in order to fix the way in which the public and private sectors engage/collaborate with one another by creating Kodex.","linkedin":"https://www.linkedin.com/in/matt-donahue-9bb60188/"},{"name":"Danny Mendoza","title":"Founder","bio":"Co-founder and CTO @ Kodex","linkedin":"https://www.linkedin.com/in/jdmendoza1/"}]</t>
  </si>
  <si>
    <t>https://bookface-images.s3.amazonaws.com/small_logos/3663c3ac728bfa42632af932ea3bfd56b28a9239.png</t>
  </si>
  <si>
    <t>kombo.dev</t>
  </si>
  <si>
    <t>Kombo</t>
  </si>
  <si>
    <t>Unified API for HR, payroll and recruiting software</t>
  </si>
  <si>
    <t>[{"name":"Alexander Kübel","title":"Founder","bio":"Status: 429 Too Many Requests","linkedin":"https://www.linkedin.com/in/alexander-kuebel-8b8351180/"},{"name":"Aike Hillbrands","title":"Founder","bio":"Co-Founder &amp; VP Engineering at Kombo","linkedin":"https://www.linkedin.com/in/aike-hillbrands-5a54061b6/"},{"name":"Fabian Rothfuß","title":"Founder","bio":"-","linkedin":"https://www.linkedin.com/in/fabian-rothfu%C3%9F-3b772b1b1/"}]</t>
  </si>
  <si>
    <t>https://bookface-images.s3.amazonaws.com/small_logos/1ea96f644bc25cfeaa1198b5db442e95f63b56b4.png</t>
  </si>
  <si>
    <t>konta.com</t>
  </si>
  <si>
    <t>Konta.com</t>
  </si>
  <si>
    <t>Turbotax for México and LATAM</t>
  </si>
  <si>
    <t>Monterrey, Mexico</t>
  </si>
  <si>
    <t>[{"name":"jose menendez","title":"Founder","bio":"Computer engineer.\nStarted 5 different companies.\n7 years working in software, and product.","linkedin":"https://www.linkedin.com/in/jose-antonio-menendez-80a872102/"},{"name":"Pablo Icaza","title":"Founder","bio":"","linkedin":"https://www.linkedin.com/in/pablo-icaza/"}]</t>
  </si>
  <si>
    <t>jose</t>
  </si>
  <si>
    <t>https://bookface-images.s3.amazonaws.com/small_logos/622d1a1575c6b2aa9e5581889aff53e6bd867289.png</t>
  </si>
  <si>
    <t>kular.ai</t>
  </si>
  <si>
    <t>Kular</t>
  </si>
  <si>
    <t>Replacing 20 Million Salespeople With AI</t>
  </si>
  <si>
    <t>[{"name":"Nelson Jones","title":"Founder","bio":"Nelson is the cofounder of Kula and an entrepreneur by background, having started a profitable business in his last year of university. Before Kula, he sold software to top lawyers at Luminance, and studied law at Oxford University.","linkedin":"https://www.linkedin.com/in/nelson-jones-238487194/"},{"name":"Saaras Mehan","title":"Founder","bio":"Saaras Mehan is the cofounder and CTO of Kular. Saaras leads the technical team and single-handedly built an MVP used by over 100 lawyers. Saaras competed in international chess as a child, before patenting a machine learning algorithm as a teenager, and joining Microsoft Research’s Azure Sphere team as a young adult. He earned a degree in computer science from the University of Cambridge.","linkedin":"https://www.linkedin.com/in/saaras-mehan"}]</t>
  </si>
  <si>
    <t>Nelson</t>
  </si>
  <si>
    <t>https://bookface-images.s3.amazonaws.com/small_logos/c20d11e986368dc6d97c924d4d62583ec9585a01.png</t>
  </si>
  <si>
    <t>getlago.com</t>
  </si>
  <si>
    <t>Lago</t>
  </si>
  <si>
    <t>Open Source Metering and Usage Based Billing</t>
  </si>
  <si>
    <t>[{"name":"Anh-Tho CHUONG","title":"Founder","bio":"Anh-Tho leads the business side of Lago. \nShe genuinely thinks \"SaaS is beautiful\" and therefore spent 10 years in go-to-market and product led growth roles in B2B SaaS startups.\nAfter a stint in consulting at McKinsey &amp; Co, she joined Mailjet (acq. by Mailgun) as Head of Strategic projects. \nShe then launched Weebly (YC W07) in France, before becoming the 1st employee at Qonto, one of the European fintech unicorns.\nDuring her tenure as VP Growth, she grew ARR from 0 to dozens of millions.","linkedin":"https://www.linkedin.com/in/anhthochuong/"},{"name":"Raffi SARKISSIAN","title":"Founder","bio":"A 2nd time founder, Raffi is a Growth Product &amp; Data expert, and leads Product at Lago.\nHe led Data Operations at Qonto, one of the fintech unicorns in Europe.","linkedin":"https://www.linkedin.com/in/sarkissianraffi"}]</t>
  </si>
  <si>
    <t>Anh-Tho</t>
  </si>
  <si>
    <t>https://bookface-images.s3.amazonaws.com/small_logos/29939f1cfbd3fe315d3ded8f43c33775de6b9c89.png</t>
  </si>
  <si>
    <t>lawyaw.com</t>
  </si>
  <si>
    <t>Lawyaw</t>
  </si>
  <si>
    <t>Automating document-based workflows</t>
  </si>
  <si>
    <t>[{"name":"Tucker Cottingham","title":"/CEO","bio":"Tucker is the founder and CEO of Lawyaw. He is passionate about using technology to increase access to legal services and has worked extensively on criminal justice reform issues. He currently serves on the board of the American Bar Association's Legal Technology Resource Center and prior to Lawyaw, built a successful law firm in San Francisco.","linkedin":"https://www.linkedin.com/in/tucker-cottingham-53b34611/"}]</t>
  </si>
  <si>
    <t>Tucker</t>
  </si>
  <si>
    <t>https://bookface-images.s3.amazonaws.com/small_logos/ecc7e8c288b10148057bc68d0b6b2bb86b0fcdc6.png</t>
  </si>
  <si>
    <t>laylo.com</t>
  </si>
  <si>
    <t>Laylo</t>
  </si>
  <si>
    <t>The Drop CRM</t>
  </si>
  <si>
    <t>[{"name":"Alec Ellin","title":"Founder","bio":"Music and culture nerd. Second time founder (first time it's working).","linkedin":"https://www.linkedin.com/in/alec-ellin/"},{"name":"Sajan Sanghvi","title":"Founder","bio":"CTO @ Laylo laylo.com\nProducer @ no suits","linkedin":"https://www.linkedin.com/in/sajan-sanghvi-77b638a0"}]</t>
  </si>
  <si>
    <t>Alec</t>
  </si>
  <si>
    <t>https://bookface-images.s3.amazonaws.com/small_logos/bb78f80434f450bb2cb261fa10cb242ca6510307.png</t>
  </si>
  <si>
    <t>leadgenius.com</t>
  </si>
  <si>
    <t>LeadGenius</t>
  </si>
  <si>
    <t>LeadGenius is an account-based marketing and lead generation…</t>
  </si>
  <si>
    <t>Berkeley, CA</t>
  </si>
  <si>
    <t>[{"name":"Prayag Narula","title":"Founder","bio":"I am the co-founder and ex-CEO of LeadGenius. We use a combination of technology and crowd to give your sales and marketing team best insights into your target accounts.  I","linkedin":"https://linkedin.com/in/prayagnarula/"},{"name":"Philipp Gutheim","title":"Founder","bio":"","linkedin":"https://www.linkedin.com/in/gutheim"},{"name":"Anand Kulkarni","title":"Founder","bio":"","linkedin":"https://linkedin.com/in/anandpkulkarni/"},{"name":"Dave Rolnitzky","title":"Founder","bio":"","linkedin":"https://www.linkedin.com/in/rolnitzky/"}]</t>
  </si>
  <si>
    <t>Prayag</t>
  </si>
  <si>
    <t>letterdrop.com</t>
  </si>
  <si>
    <t>Letterdrop</t>
  </si>
  <si>
    <t>Automated social selling to book more meetings</t>
  </si>
  <si>
    <t>[{"name":"Parthi Loganathan","title":"Founder","bio":"Ask me about GTM, B2B Marketing, and being a solo founder\nFormer Google Search and Workspace PM","linkedin":"https://www.linkedin.com/in/parthiloganathan"}]</t>
  </si>
  <si>
    <t>Parthi</t>
  </si>
  <si>
    <t>https://bookface-images.s3.amazonaws.com/small_logos/37e8e62d8a79db7c006e15d1cce3365c5fc7e469.png</t>
  </si>
  <si>
    <t>lexter.ai</t>
  </si>
  <si>
    <t>Lexter.ai</t>
  </si>
  <si>
    <t>LLM for Legal in Brazil</t>
  </si>
  <si>
    <t>[{"name":"Pedro Jahara","title":"Founder","bio":"I'm a Co-founder and CEO of Lexter.ai. \nPrior to Lexter I've founded BelugaDB (a self-service BI tool for big data) and R2U.io (platform that improves e-commerce conversion rates via AR). I was also the CEO of Revmob and a consultant at Bain&amp;Co.\nI love music, japanese culture (anime, food, ...), crossfit and snowboarding","linkedin":"https://www.linkedin.com/in/pedrojahara/"},{"name":"Pedro Calderon","title":"Founder","bio":"I've studied naval engineering at USP, in Brazil, in my graduation year I discovered that I liked programming much more than I liked boats! Shortly after as a developer at RevMob I discovered a new passion, creating products.\n\nIn 2016 I created my first startup eDoc, a health tech with the mission to optimize inefficiencies in the Brazilian health care market, focusing in patients primary care.\n\nFinally in 2020 I joined the Lexter.ai founding team to try to change the Brazilian lawtech scene.","linkedin":"https://www.linkedin.com/in/pedrocalderon/"},{"name":"Guilherme Delai","title":"Founder","bio":"Lexter.ai technical cofounder","linkedin":"https://www.linkedin.com/in/guilherme-delai/"},{"name":"Lucas Kawazoi","title":"Founder","bio":"Co-founder of Lexter.ai","linkedin":"https://www.linkedin.com/in/lucaskawazoi/"}]</t>
  </si>
  <si>
    <t>Pedro</t>
  </si>
  <si>
    <t>https://bookface-images.s3.amazonaws.com/small_logos/13fb400d02f64e196fddff48bb201121acd1fa1d.png</t>
  </si>
  <si>
    <t>leya.law</t>
  </si>
  <si>
    <t>Leya</t>
  </si>
  <si>
    <t>The AI workspace for lawyers</t>
  </si>
  <si>
    <t>[{"name":"Max Junestrand","title":"Founder","bio":"Max is the CEO and co-founder of Leya, where he focuses on developing trustworthy AI assistants for lawyers. Prior to Leya, Max contributed to growth initiatives at two Y Combinator startups, worked at McKinsey, engaged in venture capital, and served as a software developer at Abios (acquired by Kambi) and Ericsson. He earned two degrees in machine learning and business from Sweden's top two universities, KTH and SSE, in parallel whilst working full-time.","linkedin":"https://linkedin.com/in/maxjunestrand"},{"name":"August Erséus","title":"Founder","bio":"Founder of Leya (W24). Initially pursuing a career in Psychology, fell in love with programming and turned hacker. Stockholm based.","linkedin":"https://linkedin.com/in/erseus"},{"name":"Sigge Labor","title":"Founder","bio":"Family tech support. I can reset grandparents' forgotten email passwords, and I plug in the HDMI for siblings. Graduated from Hyper Island and worked as a full-stack developer at startups since. Founded the first-ever Mexican hops company, but currently building the future of legal work at Leya (W24).","linkedin":"https://linkedin.com/in/siggelabor"}]</t>
  </si>
  <si>
    <t>https://bookface-images.s3.amazonaws.com/small_logos/c032b59ff3abc91c5c4d56d6a49ada79fc68de09.png</t>
  </si>
  <si>
    <t>liftigniter.com</t>
  </si>
  <si>
    <t>Liftigniter</t>
  </si>
  <si>
    <t>Machine Learning personalization for dynamic digital properties -…</t>
  </si>
  <si>
    <t>linkana.com</t>
  </si>
  <si>
    <t>Linkana</t>
  </si>
  <si>
    <t>The leading SRM platform for LatAm</t>
  </si>
  <si>
    <t>[{"name":"Cirdes Henrique","title":"Founder","bio":"CTO @ Linkana and Tropical on Rails organizer","linkedin":"https://www.linkedin.com/in/cirdesh/"},{"name":"Bruno Luigi","title":"Founder","bio":"Computer Engineer with over a decade of experience and an avid interest in entrepreneurship and innovative ideas.","linkedin":"https://www.linkedin.com/in/brunoluigi/"},{"name":"leo cavalcanti","title":"Founder","bio":"Co-founder and CEO at Linkana, Leo is a lawyer that has worked for several years with corporate law and audit routines. As a controller and legal officer, was a managing-partner for four years at a leading intralogistics equipment provider in northeast Brazil, having sold his shares in 2018.","linkedin":"https://www.linkedin.com/in/leoazca"}]</t>
  </si>
  <si>
    <t>Cirdes</t>
  </si>
  <si>
    <t>https://bookface-images.s3.amazonaws.com/small_logos/402852e3566e889222be9e56fedc85550dffb711.png</t>
  </si>
  <si>
    <t>liveflow.com</t>
  </si>
  <si>
    <t>LiveFlow</t>
  </si>
  <si>
    <t>LiveFlow empowers finance leaders with real-time insights into every…</t>
  </si>
  <si>
    <t>[{"name":"Lasse Kalkar","title":"Founder","bio":"I'm Lasse - I love to build companies. Before LiveFlow, I was Head of Growth, Nordics at Revolut where I led Growth and Market Launches in the Nordics. I also worked at Nova Founders Capital where we built an executive conference and last, I built a micro-investing app that allowed you to round up your spare change and invest it in crypto (Acorns for crypto), but that failed :)","linkedin":"https://www.linkedin.com/in/lassekalkar/"},{"name":"Anita Koimur","title":"Founder","bio":"Anita is the COO at LiveFlow. Before starting the venture, Anita was in charge of Business Development at Revolut Rewards. She consolidated the position of Rewards as a data-driven customer acquisition platform for partners and a customer engagement solution for Revolut. Anita led the product rollout to thirteen markets across EMEA, the United States, and APAC.","linkedin":"https://www.linkedin.com/in/anitakoimur/"}]</t>
  </si>
  <si>
    <t>Lasse</t>
  </si>
  <si>
    <t>https://bookface-images.s3.amazonaws.com/small_logos/a242752edfa5f103e890124d48ba63059b9901b6.png</t>
  </si>
  <si>
    <t>boletomovil.com</t>
  </si>
  <si>
    <t>Livement</t>
  </si>
  <si>
    <t>Livement makes selling tickets for events easy and safe for organizers</t>
  </si>
  <si>
    <t>Guadalajara, Mexico</t>
  </si>
  <si>
    <t>[{"name":"Roberto Rey","title":"Founder","bio":"Technical founder trying to fix problems in LATAM","linkedin":"https://www.linkedin.com/in/robertoreym"},{"name":"Walter Gonzalez","title":"/CEO","bio":"","linkedin":"https://www.linkedin.com/in/wgdomenzain"}]</t>
  </si>
  <si>
    <t>Roberto</t>
  </si>
  <si>
    <t>https://bookface-images.s3.amazonaws.com/small_logos/1b391651246e6b26c3186726ec8d9f3a5ff8d41a.png</t>
  </si>
  <si>
    <t>locent.com</t>
  </si>
  <si>
    <t>Locent</t>
  </si>
  <si>
    <t>Locent is an automated messaging platform for companies</t>
  </si>
  <si>
    <t>[{"name":"Matt Joseph","title":"/CEO","bio":"Most recently led high performing teams at Amazon. Previously started 2 venture-backed startups. Invested in and advised over a dozen others.","linkedin":"https://www.linkedin.com/in/-mattjoseph/"}]</t>
  </si>
  <si>
    <t>lumi.com</t>
  </si>
  <si>
    <t>Lumi</t>
  </si>
  <si>
    <t>Packaging for online brands.</t>
  </si>
  <si>
    <t>[{"name":"Steph Ango","title":"Founder","bio":"CEO at Obsidian\nhttps://obsidian.md\n\nWriting\nhttps://stephango.com\n\nPreviously founded Lumi.com (YC W15)\n\nElsewhere:\n- https://github.com/kepano\n- https://twitter.com/kepano\n- https://mastodon.social/@kepano","linkedin":"https://www.linkedin.com/in/stephanango"},{"name":"Jesse Genet","title":"/CEO","bio":"Founded Lumi.com, sold to Narvar.com","linkedin":"http://linkedin.com/in/jessegenet"}]</t>
  </si>
  <si>
    <t>Steph</t>
  </si>
  <si>
    <t>https://bookface-images.s3.amazonaws.com/small_logos/cb1688bb9b23736439a735b81f27fec6b88a2ebd.png</t>
  </si>
  <si>
    <t>lumibot.com</t>
  </si>
  <si>
    <t>Lumina</t>
  </si>
  <si>
    <t>AI+human powered automation on job-community platform with 1.5M…</t>
  </si>
  <si>
    <t>[{"name":"Aswin Andrison","title":"Founder","bio":"Aswin co-founded TazkerAI on the back of Lumina (YC W22), an autonomous AI+human-powered workflow automation for the physical industry. Prior to that, he co-founded STOQO, a pioneer fresh-produce supplier for 40,000 restaurants with 1,500-strong workforce and USD 13M raised from top investors (Accel, Monk's Hill and AlphaJWC, etc). Before startups, Aswin consulted at McKinsey, IBM and Honeywell. He graduated computer science / chemical eng. from UNSW and MBA from London Business School and MIT.","linkedin":"https://www.linkedin.com/in/aandrison"},{"name":"Tri Ahmad Irfan","title":"Founder","bio":"Before Lumina, I built GudangAda engineering team to revolutionize FMCG logistics and supply chain (with $135m+ raised from Sequoia Capital).\n\nBefore, I was founding team at STOQO (with $10m+ raised from Accel &amp; Monk's Hills Ventures) where I built the core products and scaled the engineering team from 1 to 40.\n\nI also worked at Twitter in SF and several top startups in Indonesia (GDP Labs, Dekoruma, Cermati). In school, I was a competitive programmer &amp; coach.","linkedin":"https://www.linkedin.com/in/triahmadirfan/"}]</t>
  </si>
  <si>
    <t>Aswin</t>
  </si>
  <si>
    <t>https://bookface-images.s3.amazonaws.com/small_logos/79b74bf1a8009a0f4c3b0fd036ff57515ff6760b.png</t>
  </si>
  <si>
    <t>luminai.com</t>
  </si>
  <si>
    <t>Luminai</t>
  </si>
  <si>
    <t>Luminai helps automate repetitive manual work away from your mission…</t>
  </si>
  <si>
    <t>[{"name":"Kesava Kirupa Dinakaran","title":"Founder","bio":"Kesava is the CEO of Luminai. He's survived off hackathon prize money in Silicon Valley and also holds two world records solving Rubik's cubes.","linkedin":"https://www.linkedin.com/in/kesavakirupa/"}]</t>
  </si>
  <si>
    <t>Kesava</t>
  </si>
  <si>
    <t>https://bookface-images.s3.amazonaws.com/small_logos/5cf2a6787e214eab9a646841d7032f5365ef6f8e.png</t>
  </si>
  <si>
    <t>lyrebird.ai</t>
  </si>
  <si>
    <t>Lyrebird</t>
  </si>
  <si>
    <t>Our tech speaks for itself.</t>
  </si>
  <si>
    <t>[{"name":"Kundan Kumar","title":"Founder","bio":"I started lyrebird.ai which pioneered voice cloning technology. Lyrebird.ai was sold to Descript, where I led AI for 5 years and shipped a bunch of AI features. Additionally, I have been serving on the board of Descript after lyrebird acquisition (pre-Series A, until now in 2024, post-series C).","linkedin":"https://www.linkedin.com/in/kundan2510/"},{"name":"Jose Sotelo","title":"Founder","bio":"","linkedin":"http://linkedin.com/in/jos%C3%A9-sotelo-02496a50/"},{"name":"Alexandre de Brébisson","title":"/CEO","bio":"","linkedin":"https://www.linkedin.com/in/adebrebisson/"}]</t>
  </si>
  <si>
    <t>Kundan</t>
  </si>
  <si>
    <t>mach9.ai</t>
  </si>
  <si>
    <t>Mach9</t>
  </si>
  <si>
    <t>The Fastest Tool for Automating Geospatial Production</t>
  </si>
  <si>
    <t>[{"name":"Alexander Baikovitz","title":"Founder","bio":"I'm excited about building technology that understands how the world changes and can see the unseen.","linkedin":"https://www.linkedin.com/in/alexbaikovitz/"},{"name":"Haowen Shi","title":"Founder","bio":"Building software to efficiently create actionable 3D maps for critical infrastructure.","linkedin":"https://www.linkedin.com/in/haowensh/"},{"name":"Joshua Spisak","title":"Founder","bio":"","linkedin":"https://www.linkedin.com/in/josh-spisak-b573b972"}]</t>
  </si>
  <si>
    <t>https://bookface-images.s3.amazonaws.com/small_logos/232339d6edde0605ea880f4aaef47c45acf14848.png</t>
  </si>
  <si>
    <t>maderight.com</t>
  </si>
  <si>
    <t>Maderight</t>
  </si>
  <si>
    <t>Global Manufacturing, Simplified</t>
  </si>
  <si>
    <t>[{"name":"Shuo Yang","title":"/COO","bio":"Despite my best efforts, I have been totally unable to grow a beard or mustache","linkedin":"https://www.linkedin.com/in/shuo/"},{"name":"Kevin Chan","title":"Founder","bio":"","linkedin":"https://www.linkedin.com/in/kevinktchan"},{"name":"Kent Mori","title":"/CEO","bio":"","linkedin":"http://www.linkedin.com/in/kentmori"}]</t>
  </si>
  <si>
    <t>Shuo</t>
  </si>
  <si>
    <t>mailtime.com</t>
  </si>
  <si>
    <t>MailTime</t>
  </si>
  <si>
    <t>Emails as quick and easy as text messaging.</t>
  </si>
  <si>
    <t>https://bookface-images.s3.amazonaws.com/small_logos/72dc9ccfe26e8c21c74a8e2ae9b64027c599c994.png</t>
  </si>
  <si>
    <t>mailgun.net</t>
  </si>
  <si>
    <t>Mailgun</t>
  </si>
  <si>
    <t>Email API service.</t>
  </si>
  <si>
    <t>[{"name":"Ev Kontsevoy","title":"Founder","bio":"- CEO/cofounder Teleport\n- Product at Rackspace\n- CEO/cofounder Mailgun\n- Software engineer","linkedin":"https://www.linkedin.com/in/kontsevoy/"},{"name":"Taylor Wakefield","title":"Founder","bio":"- Co-Founder of Teleport (fka, Gravitational) (S2015) and Mailgun (W2011). \n- Director at Rackspace in product for 3 years after Mailgun was acquired by Rackspace in 2012. \n- Boston College alumni.","linkedin":"https://www.linkedin.com/in/taylorwakefield/"}]</t>
  </si>
  <si>
    <t>Ev</t>
  </si>
  <si>
    <t>makrwatch.com</t>
  </si>
  <si>
    <t>Makrwatch</t>
  </si>
  <si>
    <t>Scale new user acquisition with YouTube Creators</t>
  </si>
  <si>
    <t>[{"name":"Andres Felipe Diaz","title":"/CEO","bio":"Our focus is to build a high growth company with human-centered values that promote diversity, multi-cultural teams, and that enables global access to wealth. \n\nWe proudly sponsor thousands of YouTube creators in 60+ counties, have team members in 4 continents and 7+ countries and have been fully remote for a few years.\n\nWe are also very picky with our clients and want to help companies that have a higher purpose of helping and improving our world.","linkedin":"http://linkedin.com/in/andresthegeek/"},{"name":"Carlos Saavedra","title":"Founder","bio":"We are empowering people's creativity towards content creations, working with thousands of creators in more than 60+ countries.","linkedin":"https://www.linkedin.com/in/carlosaave"}]</t>
  </si>
  <si>
    <t>Andres</t>
  </si>
  <si>
    <t>https://bookface-images.s3.amazonaws.com/small_logos/2d112d21825239851033ed226096467016755e57.png</t>
  </si>
  <si>
    <t>manara.tech</t>
  </si>
  <si>
    <t>Manara</t>
  </si>
  <si>
    <t>Connecting top Middle East talent to global tech jobs</t>
  </si>
  <si>
    <t>[{"name":"Iliana Montauk","title":"Founder","bio":"Iliana's passion is untapping human potential. She previously bootstrapped the launch of the first startup accelerator in Gaza - literally during a war. While there, she increased women's participation in pipeline activities from 25% to 49% and ran the largest crowdfunding campaign in the Arab region. She has worked as a senior product manager managing talent at the largest talent marketplace in the world (Upwork) and at Google. She speaks 5 languages and is always trying to make better hummus.","linkedin":""},{"name":"Laila Abudahi","title":"Founder","bio":"","linkedin":"https://www.linkedin.com/in/lailaabudahi"}]</t>
  </si>
  <si>
    <t>Iliana</t>
  </si>
  <si>
    <t>https://bookface-images.s3.amazonaws.com/small_logos/66c946ddc2dbfb955e186610de2e888e7e5dd204.png</t>
  </si>
  <si>
    <t>mantys.io</t>
  </si>
  <si>
    <t>Mantys</t>
  </si>
  <si>
    <t>ARR Reporting and Forecasting for SaaS companies</t>
  </si>
  <si>
    <t>Hey everyone!</t>
  </si>
  <si>
    <t>https://bookface-images.s3.amazonaws.com/small_logos/ab148653f771ae83b42b2726259e7e2be8e1e60a.png</t>
  </si>
  <si>
    <t>mashgin.com</t>
  </si>
  <si>
    <t>Mashgin</t>
  </si>
  <si>
    <t>Self-Checkout using Computer Vision.</t>
  </si>
  <si>
    <t>Back in the early 2010s, Mukul was hard at work helping Toyota determine how computers could use cameras to interpret and interact with the world. But Mukul had a problem - every day, he would go to get his lunch, and every day he’d spend most of that time (30-40 minutes) waiting in line in his corporate cafeteria. He decided to take a closer look at the issue and decided that computer vision could be the answer. After some initial testing, Mukul felt the idea was a big opportunity and flew to California to pitch his idea.There he reconnected with Abhinai, who was his classmate in the same dorm at IIT Delhi. He created an early demo that was so impressive that it convinced Abhinai to join him.Having worked in large companies and created some enormously successful projects, we were disheartened by the fact that when a project became successful, several people came in at the final stages to take credit. We decided to be founders and create a company that valued people’s contributions honestly and cut through the corporate bullshit.After successfully cold-calling head executives from some of the largest corporate cafeteria operators on the planet, we received many enthusiastic responses to our description of Mashgin’s Touchless Checkout System. He then set out to actually build it.After successfully building and demoing a Mashgin prototype to the YC team, Mashgin went from “project” to “company” over the course of the Winter 15 Batch.</t>
  </si>
  <si>
    <t>https://bookface-images.s3.amazonaws.com/small_logos/bd7ff2b3db9bbbc82a79afababdad873d16b6e54.png</t>
  </si>
  <si>
    <t>bymason.com</t>
  </si>
  <si>
    <t>Mason</t>
  </si>
  <si>
    <t>Mason is the fastest way to take smart devices from idea to end user</t>
  </si>
  <si>
    <t>[{"name":"Jim Xiao","title":"/President","bio":"Past experience at Microsoft, VC, and wireless. Currently at Mason, working on letting anyone create their own smart hardware product like Peloton or Square.","linkedin":"https://www.linkedin.com/in/jimxiao"}]</t>
  </si>
  <si>
    <t>Jim</t>
  </si>
  <si>
    <t>https://bookface-images.s3.amazonaws.com/small_logos/70881ad94c495ff9a1501555a31b61ee9ba0c769.png</t>
  </si>
  <si>
    <t>massdriver.cloud</t>
  </si>
  <si>
    <t>Massdriver</t>
  </si>
  <si>
    <t>Deploy secure, scalable cloud infrastructure in minutes not days</t>
  </si>
  <si>
    <t>[{"name":"Cory O'Daniel","title":"Founder","bio":"CEO / Co-founder @ Massdriver. DevTools and platform engineering enthusiast. I've been building teams/startups, developing, and managing cloud operations for over 20 years. Creator of the Bonny, an Elixir-based Kubernetes operator framework. A proponent of Friday deploys.","linkedin":"https://linkedin.com/in/coryodaniel"},{"name":"Chris Hill","title":"Founder","bio":"Software developer and operations engineer with extensive experience in Kubernetes and cloud-based technologies (AWS and GCP). Passionate about scalable system design - declarative, repeatable infrastructure, automated testing, monitoring and observability.","linkedin":"https://www.linkedin.com/in/christopher-hill-265282127/"},{"name":"david williams","title":"Founder","bio":"Software engineer with 15 years of cloud experience working for companies like The Real Real, The Bouqs, and Consumertrack. Founder of Collision Ensemble, an arts collective that provided visual artists with interactive elements for sculpture and installations. Co-founder of Deployboard, helping companies set KPIs and track their DevOps journey.","linkedin":"https://www.linkedin.com/in/david-williams-0bb2a1239"}]</t>
  </si>
  <si>
    <t>Massdriver is a visual development platform that lets engineers focus on what services they need from the cloud and easily connect them without worrying about implementation details. Massdriver takes care of secret management, provisioning, parity, best practices, and IAM so your team can focus on your product. Our infrastructure and application bundles are open source, so you can modify them as your organization evolves or create your own and extend the platform.</t>
  </si>
  <si>
    <t>Cory</t>
  </si>
  <si>
    <t>https://bookface-images.s3.amazonaws.com/small_logos/5883f8852f673efcb705f840a66ea4747e755db5.png</t>
  </si>
  <si>
    <t>mattermark.com</t>
  </si>
  <si>
    <t>Mattermark</t>
  </si>
  <si>
    <t>Big Data Meets Startup Investing
The best tool for tracking and…</t>
  </si>
  <si>
    <t>[{"name":"Al Abut","title":"Founder","bio":"Designer/PM hybrid with multiple acquisitions.","linkedin":"https://www.linkedin.com/in/alabut/"},{"name":"Danielle \"Elle\" Morrill","title":"Founder","bio":"Took my first startup job at 22 and I've been hooked ever since. I write over at https://www.ellemorrill.com/","linkedin":"https://www.linkedin.com/in/daniellemorrill/"},{"name":"Kevin Morrill","title":"Founder","bio":"Former CTO at @Mattermark. Information theory. Software builder.","linkedin":"https://www.linkedin.com/in/kmorrill/"}]</t>
  </si>
  <si>
    <t>Al</t>
  </si>
  <si>
    <t>mayan.co</t>
  </si>
  <si>
    <t>Mayan</t>
  </si>
  <si>
    <t>A growth automation platform for Amazon sellers</t>
  </si>
  <si>
    <t>[{"name":"Christopher Compean","title":"Founder","bio":"I'm an MIT graduate who has worked in several startups as a data-driven impactful employee. The startups have been in the incubator, ed-tech, then video advertising spaces, with all of them based in Boston. \n\nMayanalytics is my first venture, co-founded with two friends from MIT. I live near Las Vegas with my wife and 2-yr old son.","linkedin":"https://www.linkedin.com/in/chriscompean/"},{"name":"Javier Garcia","title":"Founder","bio":"Everything as code","linkedin":"https://linkedin.com/in/jagarcia29"}]</t>
  </si>
  <si>
    <t>https://bookface-images.s3.amazonaws.com/small_logos/13362ad0f9fe2210f277eca43146c05172aaf237.png</t>
  </si>
  <si>
    <t>getmeadow.com</t>
  </si>
  <si>
    <t>Meadow</t>
  </si>
  <si>
    <t>Point of Sale and Compliance SaaS for Cannabis Dispensaries</t>
  </si>
  <si>
    <t>[{"name":"Rick Harrison","title":"/CTO","bio":"Co-Founder &amp; CTO of Meadow","linkedin":"https://www.linkedin.com/in/rickharrison/"},{"name":"David Hua","title":"/CEO","bio":"CEO, Co-Founder of Meadow. Dim Sum Connoisseur. Advocate for Progressive Cannabis. Passionate about Startups.","linkedin":"https://www.linkedin.com/in/davidhua"},{"name":"Scott A Garman","title":"Founder","bio":"","linkedin":"https://www.linkedin.com/profile/view?id=79643071&amp;trk=nav_responsive_tab_profile"},{"name":"Harrison Lee","title":"/Designer","bio":"","linkedin":"https://www.linkedin.com/in/harrisonrlee"}]</t>
  </si>
  <si>
    <t>Rick</t>
  </si>
  <si>
    <t>https://bookface-images.s3.amazonaws.com/small_logos/b0fa48b99116985657fd362e4dcb5948c48c050d.png</t>
  </si>
  <si>
    <t>memfault.com</t>
  </si>
  <si>
    <t>Memfault</t>
  </si>
  <si>
    <t>First IoT reliability platform for debugging, monitoring, OTA updates</t>
  </si>
  <si>
    <t>https://bookface-images.s3.amazonaws.com/small_logos/69aff41aabfb54d70629bb4411a828953bd10011.png</t>
  </si>
  <si>
    <t>usemeru.com</t>
  </si>
  <si>
    <t>Meru</t>
  </si>
  <si>
    <t>Voice to Flowsheet for Nurses.</t>
  </si>
  <si>
    <t>[{"name":"Rohan Arora","title":"Founder","bio":"CEO, Meru. Previously worked at JHU APL on MLOps and modeling for the Covid-19 National Health Mission &amp; built technology to track animal mice. Studied Bioengineering at Berkeley.","linkedin":"http://www.linkedin.com/in/meetrohanarora"},{"name":"Venkat Krishnan","title":"Founder","bio":"CTO, Meru. Prev worked at Tesla Autopilot AI. Studied Computer Engineering at UCSB, where I researched adversarial robustness and hardware acceleration of transformer models.","linkedin":"https://www.linkedin.com/in/venkatvkrishnan/"}]</t>
  </si>
  <si>
    <t>Rohan</t>
  </si>
  <si>
    <t>https://bookface-images.s3.amazonaws.com/small_logos/00edfb93127d4366b2f890aa7fb0274a122e45c2.png</t>
  </si>
  <si>
    <t>meru.com</t>
  </si>
  <si>
    <t>Meru.com</t>
  </si>
  <si>
    <t>The one-stop-shop for auto-parts in Mexico.</t>
  </si>
  <si>
    <t>[{"name":"Manuel Rodriguez Dao","title":"Founder","bio":"Manuel is the Co-Founder Meru, prior to Meru, Manuel worked at Kavak.com directly with the founding team in Growth, Data Analytics, Finance, Marketing, Sales, BD and IT. He also worked independently importing wholesale products from China to Mexico for +2 years.","linkedin":"https://linkedin.com/in/manuel-rodriguez-dao-aa78ab97"},{"name":"Virgile Fiszman","title":"Founder","bio":"Living in China since over 3 year, I have always been interested in international trade and finding/solving problem. I am the CSO and Co-founder at MERU in Ningbo, China.","linkedin":"https://www.linkedin.com/in/virgile-fiszman-213ab39a/"},{"name":"Federico Moscato","title":"Founder","bio":"Interested in supply chain and logistics solutions, currently working to rid the oceans and rivers of plastics.","linkedin":"https://www.linkedin.com/in/federico-moscato-5112ab125/"},{"name":"Eduardo Mata","title":"Founder","bio":"","linkedin":"https://www.linkedin.com/in/eduardo-mata-mitzunaga-680589147/"}]</t>
  </si>
  <si>
    <t>Manuel</t>
  </si>
  <si>
    <t>https://bookface-images.s3.amazonaws.com/small_logos/d9238e86542fecb16b8599ba8f4748c9160f7266.png</t>
  </si>
  <si>
    <t>mesh.ai</t>
  </si>
  <si>
    <t>Mesh</t>
  </si>
  <si>
    <t>Performance management platform that fits the way you work</t>
  </si>
  <si>
    <t>[{"name":"Saurabh Nangia","title":"Founder","bio":"Founder &amp; CEO of Mesh. Tech entrepreneur &amp; mathematical mind reader.\n\nEx-Founder &amp; CEO TargetingMantra (acquired by SnapDeal). Ex-Founder &amp; CEO of DataMonk (AI/BigData startup). Headed Engineering for Customer Experience organization at SnapDeal. Worked at Personalization Team, Amazon, Seattle. Graduated with MS in ML from University of Illinois Urbana-Champaign (UIUC) &amp; BTech from Indian Institute of Technology (IIT Guwahati).","linkedin":"https://www.linkedin.com/in/saurabhnangia/"},{"name":"Gaurav Chaubey","title":"Founder","bio":"Former India HR Consulting Leader for Grant Thornton with 11 years of experience advising  Honda, Nestle, GE and 50+ other large enterprises on performance management, employee engagement and people analytics.","linkedin":"https://www.linkedin.com/in/gaurav-chaubey/"},{"name":"Rahul Singh","title":"Founder","bio":"12 years experience in tech &amp; consulting in Europe, Middle East and India. 3x B2B SaaS entrepreneur currently working on building a unique social platform for today's workforce.","linkedin":"https://www.linkedin.com/in/rahul-singh-16870225/"}]</t>
  </si>
  <si>
    <t>Saurabh</t>
  </si>
  <si>
    <t>https://bookface-images.s3.amazonaws.com/small_logos/cf76de4e9247f1df01330ed971ece0949a9f6c87.png</t>
  </si>
  <si>
    <t>metal.so</t>
  </si>
  <si>
    <t>Metal</t>
  </si>
  <si>
    <t>Metal allows founders to be more targeted &amp;amp; intentional in fundraising</t>
  </si>
  <si>
    <t>[{"name":"Usman Gul","title":"Founder","bio":"I was a part of early team at DoorDash (2016-18). Most recently, I founded Airlift that went on to raise $120m+ in venture financing, but was ultimately unsuccessful amidst the market crash of 2022.\n\nI am now building Metal, a platform that allows founders to be more targeted &amp; intentional in fundraising. I can be reached at gul@metal.so.","linkedin":"https://pk.linkedin.com/in/gulsf"}]</t>
  </si>
  <si>
    <t>Usman</t>
  </si>
  <si>
    <t>https://bookface-images.s3.amazonaws.com/small_logos/d405f124083ad95be24745d98de294a71b7cf71c.png</t>
  </si>
  <si>
    <t>metaplane.dev</t>
  </si>
  <si>
    <t>Metaplane</t>
  </si>
  <si>
    <t>Data observability for modern data teams</t>
  </si>
  <si>
    <t>[{"name":"Guru Mahendran","title":"Founder","bio":"","linkedin":"http://www.linkedin.com/in/gurubavan"},{"name":"Kevin Hu","title":"Founder","bio":"CEO of Metaplane","linkedin":"http://linkedin.com/in/kevinzenghu"}]</t>
  </si>
  <si>
    <t>Guru</t>
  </si>
  <si>
    <t>https://bookface-images.s3.amazonaws.com/small_logos/aa2c854ed688cf4ff0f5cf7f48786c533f00b943.png</t>
  </si>
  <si>
    <t>middesk.com</t>
  </si>
  <si>
    <t>Middesk</t>
  </si>
  <si>
    <t>We make it easier for B2B companies to transact with one another</t>
  </si>
  <si>
    <t>https://bookface-images.s3.amazonaws.com/small_logos/fedf74c9ad94dc349198477810eed3f94568f7ec.png</t>
  </si>
  <si>
    <t>middleware.io</t>
  </si>
  <si>
    <t>Middleware</t>
  </si>
  <si>
    <t>AI-based full stack observability platform</t>
  </si>
  <si>
    <t>[{"name":"Laduram Vishnoi","title":"Founder","bio":"Founder &amp; CEO at Middleware. Ex-founder of Acquire.io, a customer engagement platform, I took the company from just myself to 200 people and raised $57m in venture capital until the Series B round. Side angel investor and advisor. Born in a small town in India called Jodhpur, grew up in London and living in San Francisco since 2016.","linkedin":"https://www.linkedin.com/in/laduramvishnoi/"}]</t>
  </si>
  <si>
    <t>Current observability solutions are built to monitor monolith architectures, not distributed and microservices. This results in the following problems:</t>
  </si>
  <si>
    <t>Laduram</t>
  </si>
  <si>
    <t>https://bookface-images.s3.amazonaws.com/small_logos/dc8d28e84cb985c9cc0b597aae845c99c32f9a23.png</t>
  </si>
  <si>
    <t>miggos.com</t>
  </si>
  <si>
    <t>Miggos</t>
  </si>
  <si>
    <t>Wholesale marketplace for mom &amp;amp; pop clothing shops in LATAM</t>
  </si>
  <si>
    <t>[{"name":"Eduardo Olimpio","title":"Founder","bio":"I’m a scientist that has worked in several fields: military technology, financial risk, biotech. Since 2016 I work in tech companies building products for humans. I love connecting the knowledge from this diverse background to tech to explore new paths out of my comfort zone.","linkedin":"https://www.linkedin.com/in/eduardo-olimpio-b7868931/"}]</t>
  </si>
  <si>
    <t>https://bookface-images.s3.amazonaws.com/small_logos/73b0dfdeb1c9238884730f0ea6e15baf17611120.png</t>
  </si>
  <si>
    <t>mindfi.co</t>
  </si>
  <si>
    <t>MindFi</t>
  </si>
  <si>
    <t>Transforming Mental Health for Corporate Asia</t>
  </si>
  <si>
    <t>[{"name":"Bjorn Lee","title":"Founder","bio":"Bjorn Lee is a serial entrepreneur and technology executive with experience in Asia and Silicon Valley. Bjorn is currently the founder CEO of MindFi, a B2B mental health &amp; wellbeing platform. He was an ex-product manager at Zendesk (who acquired Zopim Chat) and founder CEO of Stickery, an edu-tech startup funded by AngelPad &amp; Google Ventures. Bjorn is an alumnus of National University of Singapore (NUS) and the NUS Overseas College (NOC) program at Stanford University.","linkedin":"https://www.linkedin.com/in/bjornlee/"},{"name":"Gangeshwar Krishnamurthy","title":"Founder","bio":"AI Scientist turned startup founder. Ex-A*STAR, Ex-Microsoft. Currently building MindFi's AI-assisted platform for working professionals in Asia.","linkedin":"https://www.linkedin.com/in/gangeshwark"},{"name":"Leon CK Leong","title":"Founder","bio":"I currently manage Business Development and Client Success @ MindFi. Previously, I co-founded and sold 2 tech start-ups and lost 250 lbs.. Yep, start-up life is a toughie alright. XD","linkedin":"https://www.linkedin.com/in/leonck/"},{"name":"Anita Sadasivan","title":"Founder","bio":"Co-Founder and Chief Wellbeing Officer at MindFi - A B2B Mental Health &amp; Wellbeing company for Corporate Asia.","linkedin":"https://www.linkedin.com/in/anitasadasivan/"}]</t>
  </si>
  <si>
    <t>Bjorn</t>
  </si>
  <si>
    <t>https://bookface-images.s3.amazonaws.com/small_logos/6b7be3c4ba661d5b0f410a12fded0d9add5f93d1.png</t>
  </si>
  <si>
    <t>mindee.com</t>
  </si>
  <si>
    <t>Mindee</t>
  </si>
  <si>
    <t>AI Document Understanding API</t>
  </si>
  <si>
    <t>[{"name":"Jonathan Grandperrin","title":"Founder","bio":"","linkedin":"https://www.linkedin.com/in/jonathan-grandperrin-47014563/"},{"name":"Mohamed Biaz","title":"Founder","bio":"Passionate about deep learning, I have several experiences in computer science and specially in machine learning. \n\nAfter graduating from a Mathematics degree in 2017, I founded Mindee, a startup specialized in computer vision and OCRs.","linkedin":"https://www.linkedin.com/in/mohamed-biaz-8268597a/"},{"name":"Olivier Rey","title":"Founder","bio":"Passionate about technology, I founded Mindee to enable document parsing via APIs by leveraging the best of artificial intelligence.","linkedin":"https://www.linkedin.com/in/oliv-rey/"}]</t>
  </si>
  <si>
    <t>https://bookface-images.s3.amazonaws.com/small_logos/be982807a0a8b2d7a22e6247219e680616ddd517.png</t>
  </si>
  <si>
    <t>mindsdb.com</t>
  </si>
  <si>
    <t>MindsDB</t>
  </si>
  <si>
    <t>AI that works at work. Turnkey. Private.</t>
  </si>
  <si>
    <t>[{"name":"Adam Carrigan","title":"Founder","bio":"Co-Founder @MindsDB 🚀 @Forbes Most Promising AI Companies 🤖 @Ycombinator (W20), ex-management consultant @Deloitte, @Cambridge_Uni grad","linkedin":"https://www.linkedin.com/in/carrigan/"},{"name":"Jorge Torres","title":"Founder","bio":"Jorge Torres is the Co-founder &amp; CEO of MindsDB. He is also a visiting scholar at UC Berkeley researching machine learning automation and explainability. Prior to founding MindsDB, he worked for a number of data-intensive start-ups, most recently working with Aneesh Chopra (the first CTO in the US government) building data systems that analyze billions of patients records and lead to highest savings for millions of patients.","linkedin":"https://www.linkedin.com/in/torresjorge/"}]</t>
  </si>
  <si>
    <t>https://bookface-images.s3.amazonaws.com/small_logos/ade195fb171ec12fecc274a79f8d990383bd7142.png</t>
  </si>
  <si>
    <t>mintlify.com</t>
  </si>
  <si>
    <t>Mintlify</t>
  </si>
  <si>
    <t>The modern standard for documentation</t>
  </si>
  <si>
    <t>[{"name":"Han Wang","title":"Founder","bio":"Co-Founder of Mintlify. Knows over 100 cow jokes","linkedin":"https://www.linkedin.com/in/han-y-wang/"},{"name":"Hahnbee Lee","title":"Founder","bio":"Co-founder of Mintlify.","linkedin":"https://www.linkedin.com/in/hahnbee-lee/"}]</t>
  </si>
  <si>
    <t>Han</t>
  </si>
  <si>
    <t>https://bookface-images.s3.amazonaws.com/small_logos/9e95c084b565d46c789767d2ecb4d17aca814585.png</t>
  </si>
  <si>
    <t>m.io</t>
  </si>
  <si>
    <t>Mio</t>
  </si>
  <si>
    <t>Mio powers seamless communication between workplace chat apps.</t>
  </si>
  <si>
    <t>[{"name":"James Cundle","title":"/CTO","bio":"Security first engineer with multi-stack and devops experience applied to multiple verticals over the last 20+ years.  Excellent track record of delivering projects for creative business thinkers. Big picture awareness, rapid prototype and forward thinker in fast moving, small team environments. Solid lead in delivering SOC2 Type I and II compliance in a start up environment.","linkedin":"https://www.linkedin.com/in/jamescundle/"},{"name":"Tom Hadfield","title":"/CEO","bio":"Tom Hadfield is a British entrepreneur whose first company, Soccernet.com, was sold to ESPN for $40 million when he was 17 years old. Today, Tom is the CEO of Mio, an enterprise messaging startup based in Austin, Texas backed by Y Combinator, Khosla Ventures and Capital Factory. Tom graduated from Harvard University in 2008 and he is a board member at Heifer International, a charity working to end hunger and poverty around the world.","linkedin":"http://www.linkedin.com/in/hadfieldtom/"}]</t>
  </si>
  <si>
    <t>https://bookface-images.s3.amazonaws.com/small_logos/d2e2140644182cb7ec4a70381a94543d8c8de82a.png</t>
  </si>
  <si>
    <t>mixrank.com</t>
  </si>
  <si>
    <t>MixRank</t>
  </si>
  <si>
    <t>Data products for sales, marketing, finance, recruiting, and more.</t>
  </si>
  <si>
    <t>[{"name":"Scott Milliken","title":"/CEO","bio":"Mathematician, coder, entrepreneur, and data enthusiast. Scott's been building and programming computers since he was 11. He skipped high school and enrolled in college at 14. He finished a BA in Mathematics at UC Berkeley in 4 semesters, starting businesses on the side to pay for school. He's written code used by tens of millions of people, and code that's processed 100's of petabytes of data.","linkedin":"https://www.linkedin.com/in/scottamilliken"}]</t>
  </si>
  <si>
    <t>Scott</t>
  </si>
  <si>
    <t>https://bookface-images.s3.amazonaws.com/small_logos/98189b51f5b6f25d164e611f2ea6a3c5f972de3f.png</t>
  </si>
  <si>
    <t>mobileboost.io</t>
  </si>
  <si>
    <t>MobileBoost</t>
  </si>
  <si>
    <t>AI native mobile testing.</t>
  </si>
  <si>
    <t>[{"name":"Christian Schiller","title":"Founder","bio":"Christian led Product at HelloFresh (#1 meal kit service, symbol: HFG) for more than 4 years.\nBefore, he was an Entrepreneur in Residence at Rocket Internet, where he worked in Product roles with Westwing (symbol: WEW), Home24 (symbol: H24), and co-founded PricePanda in South East Asia (which was later merged with getprice.com.au).","linkedin":"https://www.linkedin.com/in/chschiller/"},{"name":"Christian Hartung","title":"Founder","bio":"Christian previously founded VOJD, a Lakestar backed, consumer 3d printing venture featured by New York Times, Wired and partnered with super influencers such as Virgil Abloh.\n\nBefore, he was an Entrepreneur in Residence at Rocket Internet, where he worked in sourcing and marketing roles with Global Fashion Group (symbol: GFG) and payleven (which was later merged with SumUp).","linkedin":"https://www.linkedin.com/in/christian-hartung-17887840/"}]</t>
  </si>
  <si>
    <t>https://bookface-images.s3.amazonaws.com/small_logos/4fdfe6ee3e3551142b62a5144a0c5d6494e9c0ac.png</t>
  </si>
  <si>
    <t>mobot.io</t>
  </si>
  <si>
    <t>Mobot</t>
  </si>
  <si>
    <t>Mobot is a QA-as-a-service platform using actual mechanical robots</t>
  </si>
  <si>
    <t>https://bookface-images.s3.amazonaws.com/small_logos/1d0bf05671926ad00ff8728c45f6416fb329f300.png</t>
  </si>
  <si>
    <t>mobydish.com</t>
  </si>
  <si>
    <t>Mobydish</t>
  </si>
  <si>
    <t>MobyDish, a tech-enabled service, allowing anyone to place a catering…</t>
  </si>
  <si>
    <t>[{"name":"Bruno Didier","title":"Founder","bio":"In the food industry since 2012, entrepreneur by heart since 14 yo. Expert with marketplaces, building world-class customer experience, b2b sales, logistics, marketing and scaling businesses profitably with efficiency. \n\nSolo founder for the last 10 years and has done everything from selling to our biggest customers, building online products, and expanding into multiple markets with delivery fleets and on-site services across the US.","linkedin":"https://www.linkedin.com/in/brunodidier/en"}]</t>
  </si>
  <si>
    <t>https://bookface-images.s3.amazonaws.com/small_logos/a1eda5fbe5161f15b09714a408c3288e4f948adf.png</t>
  </si>
  <si>
    <t>modalup.com</t>
  </si>
  <si>
    <t>Modal</t>
  </si>
  <si>
    <t>digital commerce for the world’s largest auto retailers and brands.</t>
  </si>
  <si>
    <t>https://bookface-images.s3.amazonaws.com/small_logos/c38f4fd804cb3af2c6c3f749644efdff401f0a2c.png</t>
  </si>
  <si>
    <t>modernloop.io</t>
  </si>
  <si>
    <t>ModernLoop</t>
  </si>
  <si>
    <t>ModernLoop helps teams automate and streamline recruiting operations</t>
  </si>
  <si>
    <t>[{"name":"Lydia Han","title":"Founder","bio":"Previously PM Lead at Brex, Senior PM at Slack (shipped Google Calendar and O365 Slack app + led Zoom partnership), PM at Facebook, PM at Salesforce. I particularly like building SaaS products with great user experiences.","linkedin":"https://www.linkedin.com/in/lydiajhan/"},{"name":"Christopher Triolo","title":"Founder","bio":"I've been at Facebook building product for the last 8 years, being an Engineering Manager for the last 2. I built the first donation product at Facebook (US Patent number: 10032194) as part of a 2-day hackathon project, ultimately leading to the creation of the Charitable Giving org. For the past 5 years, I led teams that shipped donation products across FB + IG generating over $5B for non profits and personal causes.","linkedin":"https://www.linkedin.com/in/ctriolo/"}]</t>
  </si>
  <si>
    <t>Lydia</t>
  </si>
  <si>
    <t>https://bookface-images.s3.amazonaws.com/small_logos/98c81b58887d29ebe7bf174d8feef71f4ae64b25.png</t>
  </si>
  <si>
    <t>moltin.com</t>
  </si>
  <si>
    <t>Moltin</t>
  </si>
  <si>
    <t>eCommerce building blocks through simple APIs for websites &amp;amp; apps.…</t>
  </si>
  <si>
    <t>[{"name":"Adam Sturrock","title":"/Vice President Customer Success","bio":"I'm an ecommerce expert with over a decade of experience. Currently working at Redbrain, where I leads strategic projects that help online stores grow. I co-founded Moltin, an ecommerce API in 2013, which was later acquired in 2019.\n\nI run Order Legend, a Shopify app that runs incremental Google shopping ad campaigns to boost sales. We fund the ads upfront with our capital so zero risk for merchants. We've generated 155,000+ orders and $10+ million in revenue for merchants.","linkedin":"http://uk.linkedin.com/in/adamsturrock"},{"name":"Jamie Holdroyd","title":"/CIO","bio":"","linkedin":"http://uk.linkedin.com/in/jholdroyd"},{"name":"Chris Nash","title":"/CTO","bio":"","linkedin":""}]</t>
  </si>
  <si>
    <t>https://bookface-images.s3.amazonaws.com/small_logos/f839e103f7e1028b0f7e89364155b4822a02357c.png</t>
  </si>
  <si>
    <t>usemotion.com</t>
  </si>
  <si>
    <t>Motion</t>
  </si>
  <si>
    <t>Automate project management and business workflow with A.I.</t>
  </si>
  <si>
    <t>[{"name":"Harry Qi","title":"Founder","bio":"Math + CS double-major from Dartmouth. Worked as a quant trader for 2+ years before founding Motion; kinda knowledgeable about financial markets and high-frequency trading.","linkedin":"https://www.linkedin.com/in/harryqi/"},{"name":"Omid Rooholfada","title":"Founder","bio":"Math  + CS double-major from Yale. Engineering at Facebook and Optimizely. Loves startups and productivity tools.","linkedin":"https://www.linkedin.com/in/omidrooholfada/"},{"name":"Ethan Yu","title":"Founder","bio":"CS major from Dartmouth. Before founding Motion, worked as a quant trader for 3 years and software engineer at WhatsApp and Facebook","linkedin":"https://www.linkedin.com/in/ethanyu94/"}]</t>
  </si>
  <si>
    <t>When we started Motion, our sole purpose was to make ourselves and our users more productive. We were frustrated that, despite impressive advances in software and AI in the last decade, productivity tools still require massive overhead and manual coordination. We set out to solve this problem in a way that “just works.”</t>
  </si>
  <si>
    <t>Harry</t>
  </si>
  <si>
    <t>https://bookface-images.s3.amazonaws.com/small_logos/25b0dd2e6d40928386efa49045651d24ad82e60b.png</t>
  </si>
  <si>
    <t>motionlead.com</t>
  </si>
  <si>
    <t>Motionlead</t>
  </si>
  <si>
    <t>Animated mobile ads.</t>
  </si>
  <si>
    <t>[{"name":"Alexei Chemenda","title":"Founder","bio":"Alexei Chemenda is the CRO and Managing Director, Americas for Adikteev. He joined Adikteev in 2015 when the latter acquired Motionlead, a company he co-founded in Paris. MotionLead was the first French company to ever be accepted in YCombinator. Alexei is a software engineer who now focuses on the business side of the company. \n\nSince 2015, Alexei actively invests in early stage tech companies (40+ investments to date). \nAlexei has been selected in Forbes 30 under 30 in 2019","linkedin":"https://www.linkedin.com/in/alexeichemenda"}]</t>
  </si>
  <si>
    <t>Alexei</t>
  </si>
  <si>
    <t>mthsense.com</t>
  </si>
  <si>
    <t>Mth Sense</t>
  </si>
  <si>
    <t>We&amp;#39;re a mobile on-device profiling and ad-serving platform initially…</t>
  </si>
  <si>
    <t>munily.com</t>
  </si>
  <si>
    <t>Munily</t>
  </si>
  <si>
    <t>Access control management app for Latam´s gated communities</t>
  </si>
  <si>
    <t>Panama City, Panama</t>
  </si>
  <si>
    <t>[{"name":"Marwa Hage","title":"Founder","bio":"Co-founder &amp; CCO of Munily App | PropTech Entrepreneur | Women Empowerment | Community Building | Writer | TEDx Organizer | Speaker","linkedin":"https://www.linkedin.com/in/marwa-hage-771a1a154/"},{"name":"Khaled Alhaj","title":"Founder","bio":"CEO of Munily App - Panama City","linkedin":"https://www.linkedin.com/in/khaled-alhaj-156a05116/"},{"name":"Mitchell Contreras","title":"Founder","bio":"I enjoy solving problems. I like listening to people's experiences and being able to make the most of their experiences","linkedin":"https://www.linkedin.com/in/mitchell-contreras/"},{"name":"carlos de la guardia","title":"Founder","bio":"Carlos is a second-time entrepreneur currently COO at Munily where he and his team are making Latam residential communities more secure and connected.","linkedin":"https://www.linkedin.com/in/carlosgj/"}]</t>
  </si>
  <si>
    <t>Marwa</t>
  </si>
  <si>
    <t>https://bookface-images.s3.amazonaws.com/small_logos/13df6243cbbce163d95235b9604ed80a95d8e734.png</t>
  </si>
  <si>
    <t>mutinyhq.com</t>
  </si>
  <si>
    <t>Mutiny</t>
  </si>
  <si>
    <t>Uses AI and data to convert website visitors into customers</t>
  </si>
  <si>
    <t>https://bookface-images.s3.amazonaws.com/small_logos/0e506d56d7c881b7aaf4341d22a276be88c1ec16.png</t>
  </si>
  <si>
    <t>mux.com</t>
  </si>
  <si>
    <t>Mux</t>
  </si>
  <si>
    <t>Video infrastructure for developers</t>
  </si>
  <si>
    <t>[{"name":"Adam Brown","title":"Founder","bio":"Co-founder and CTO.  Previously worked at multiple companies building large scale video streaming, transcoding, and 3D rendering cloud systems.   Liked doing that so much, he decided to do it all again from scratch at Mux.","linkedin":"https://www.linkedin.com/in/adam-brown-7452b03a/"},{"name":"Jon Dahl","title":"/CEO","bio":"Jon is a former engineer and current startup founder at Mux (video for developers). He built software early in the life of Mux, but accidentally dropped the production database and was made CEO. Before Mux, Jon was co-founder at Zencoder until the company was acquired. He’s proud to say he never dropped the production database at Zencoder.","linkedin":"https://www.linkedin.com/in/zencoder"},{"name":"Steve Heffernan","title":"/Head of Product","bio":"Founder of Zencoder (YC W'10, acquired) and Mux (YC W'16). Creator of the popular web video player Video.js. Father of 2 kids, 3 months apart in age, same biological mother (figure that one out).","linkedin":"https://www.linkedin.com/in/heffernan"},{"name":"Matthew McClure","title":"Founder","bio":"Co-founder and Head of Technology &amp; Community. I'm also a core-contributor to Video.js, the biggest HTML5 video framework, and the organizer of Demuxed, the largest video-focused dev conference/community in the world.","linkedin":"https://www.linkedin.com/profile/view?id=AAIAAAJfgWIBGxc9zShLz4cBthEtfFkCOgyYI78"}]</t>
  </si>
  <si>
    <t>Hello YC compatriots,</t>
  </si>
  <si>
    <t>https://bookface-images.s3.amazonaws.com/small_logos/7f3a9eb63a2c18f13705cd10ff1859e90dbff5bb.png</t>
  </si>
  <si>
    <t>mypetrolpump.com</t>
  </si>
  <si>
    <t>MyPetrolPump</t>
  </si>
  <si>
    <t>On demand fuel delivery service in India</t>
  </si>
  <si>
    <t>[{"name":"Nabin Roy","title":"Founder","bio":"I am currently building MyPetrolPump.com, an on-demand refuelling service for B2B customers in India. I am a repeat entrepreneur. My earlier ventures were in Ed-tech and Home-services domain. My start-up skills are Operations and Strategy, and I have successfully built large teams who have delivered. \nI like outside running and reading books.","linkedin":"https://www.linkedin.com/in/nabinroy/"}]</t>
  </si>
  <si>
    <t>Nabin</t>
  </si>
  <si>
    <t>https://bookface-images.s3.amazonaws.com/small_logos/873e6a24dc0099a9092da2dab96e2393961c5ecb.png</t>
  </si>
  <si>
    <t>mystic.ai</t>
  </si>
  <si>
    <t>Mystic</t>
  </si>
  <si>
    <t>Low latency API to run and deploy ML models</t>
  </si>
  <si>
    <t>[{"name":"Paul Hetherington","title":"Founder","bio":"Full stack + hardware developer - Bath university Alumn.","linkedin":"https://www.linkedin.com/in/paul-hetherington/"}]</t>
  </si>
  <si>
    <t>Paul</t>
  </si>
  <si>
    <t>https://bookface-images.s3.amazonaws.com/small_logos/f860b32ddb9b39b9b1ae8c22f0c17f140dc5e9d4.png</t>
  </si>
  <si>
    <t>mynamaste.in</t>
  </si>
  <si>
    <t>Namaste Business</t>
  </si>
  <si>
    <t>Shopify for a mobile first world</t>
  </si>
  <si>
    <t>https://bookface-images.s3.amazonaws.com/small_logos/2a434704677560934762a7eb4897fecdba24c9e7.png</t>
  </si>
  <si>
    <t>namesandfaces.com</t>
  </si>
  <si>
    <t>Names &amp;amp; Faces</t>
  </si>
  <si>
    <t>Technology to create fast, visual indexes of people and organizations.</t>
  </si>
  <si>
    <t>[{"name":"Paul Galatis","title":"Founder","bio":"I'm the founder and CEO of Names &amp; Faces. We're grateful to have Accel, Y Combinator, Slack Fund, and Elad Gill backing us on our mission to build technology that helps people thrive in the groups that matter to them.\n\nHighlights of my past life include launching the 20-Over Cricket format in South Africa, winning a South African Music Award, attending Northwestern University as a Mandela Washington Fellow, and building Yuppiechef.com, a Tiger Global backed e-commerce company in South Africa.","linkedin":"https://www.linkedin.com/in/paul-galatis-668244/"},{"name":"Richard Arscott","title":"Founder","bio":"","linkedin":"https://www.linkedin.com/in/richard-arscott-63072225/"}]</t>
  </si>
  <si>
    <t>https://bookface-images.s3.amazonaws.com/small_logos/cf701830a11ee7b44f7e149accbdf43a20eed525.png</t>
  </si>
  <si>
    <t>usenash.com</t>
  </si>
  <si>
    <t>Nash</t>
  </si>
  <si>
    <t>The easiest way for any business to offer delivery</t>
  </si>
  <si>
    <t>[{"name":"Mahmoud Ghulman","title":"Founder","bio":"Co-founder at Nash. Prior to Nash, I founded a gig-worker parking logistics company and led Business Development at Mozn - where we developed AI solutions in AML, stock-market fraud, and credit scores in finance &amp; insurance. I received my Bachelors in Physics from MIT.\n\nI love spending time with family at the beach, scuba-diving with Aziz, and playing tennis.","linkedin":"https://www.linkedin.com/in/mahmoudghulman/"},{"name":"Aziz Alghunaim","title":"Founder","bio":"Co-founder at Nash. Prior to Nash, I spent a couple of years building Tarjimly (YC W18), a mobile application to connect refugees with real, volunteer translators all over the world. Before that, I was a software engineer at Palantir working on a number of high-volume data problems. I received my Bachelors and Masters in Computer Science in 2015 from MIT.\n\nI love mission-driven work that is coupled with great technical execution. I am in the Bay Area, and love meeting new people, so say hello :)","linkedin":"https://www.linkedin.com/in/azizkag"}]</t>
  </si>
  <si>
    <t>https://bookface-images.s3.amazonaws.com/small_logos/85d1c8b167dc541ab5c546bde5eef2173f5264c6.png</t>
  </si>
  <si>
    <t>natero.com</t>
  </si>
  <si>
    <t>Natero</t>
  </si>
  <si>
    <t>Data-driven customer success platform for B2B SaaS.</t>
  </si>
  <si>
    <t>[{"name":"Craig Soules","title":"/CEO","bio":"Computer science researcher turned startup founder.  Interested in data storage, databases, distributed systems, and business efficiency through business operations.","linkedin":"https://www.linkedin.com/in/craigsoules"},{"name":"Garth Goodson","title":"/Chief Technical Officer","bio":"","linkedin":""}]</t>
  </si>
  <si>
    <t>Craig</t>
  </si>
  <si>
    <t>navattic.com</t>
  </si>
  <si>
    <t>Navattic</t>
  </si>
  <si>
    <t>Interactive product demos</t>
  </si>
  <si>
    <t>[{"name":"Neil McLean","title":"Founder","bio":"Co-Founder, Navattic","linkedin":"https://www.linkedin.com/in/neil-mclean/"},{"name":"Randy Frank","title":"Founder","bio":"Co-founder, Navattic","linkedin":"https://www.linkedin.com/in/randolph-frank/"},{"name":"Chris Hoyle","title":"Founder","bio":"Co-founder, Navattic","linkedin":"https://www.linkedin.com/in/christopher-hoyle"}]</t>
  </si>
  <si>
    <t>Neil</t>
  </si>
  <si>
    <t>https://bookface-images.s3.amazonaws.com/small_logos/22212a19a00cdc48d8187c96a9935e78ca56ee79.png</t>
  </si>
  <si>
    <t>neptune.io</t>
  </si>
  <si>
    <t>Neptune.io</t>
  </si>
  <si>
    <t>A self-healing platform to enrich and fix server alerts automatically</t>
  </si>
  <si>
    <t>[{"name":"Kiran Gollu","title":"Founder","bio":"Co-founder/CEO at Oodle.ai\nPreviously, Head of Cloud Platform Engineering at Rubrik scaling from &lt;5M to $600M ARR\nCofounder/CEO of Neptune.io, a YC backed observability startup\nFounding Engineer at AWS S3, DynamoDB\nAngel investor in enterprise startups tackling large markets","linkedin":"https://www.linkedin.com/in/kirangollu/"},{"name":"Satish Talluri","title":"Founder","bio":"Currently an Investment partner on the enterprise team at A16Z.\nPreviously co-founder of Neptune.io (YC S14)\nProduct &amp; Biz Dev at Intel - Smartphone &amp; Software\nManagement Consultant at BCG\nEngineering GPUs at Intel","linkedin":"https://www.linkedin.com/in/satishtalluri"}]</t>
  </si>
  <si>
    <t>Kiran</t>
  </si>
  <si>
    <t>https://bookface-images.s3.amazonaws.com/small_logos/282992bccaef3812d15f0bc6b45e2cce6670a8d0.png</t>
  </si>
  <si>
    <t>nestorup.com</t>
  </si>
  <si>
    <t>Nestor</t>
  </si>
  <si>
    <t>Skills-based talent management solutions for a dynamic workforce.</t>
  </si>
  <si>
    <t>[{"name":"Bogdan Apostol","title":"/CEO","bio":"Bogdan is the CEO and co-founder of Nestor, the People Intelligence Platform that helps hybrid organizations develop and retain talent. Bogdan previously co-founded Marionette Studio and has a Ph.D. in computer science with research work referenced by Intel and LG. Bogdan leads our business development and is responsible for the company’s direction.","linkedin":"https://ro.linkedin.com/in/bogdanapostol86"},{"name":"Raluca Apostol","title":"/CPO","bio":"Raluca Apostol is co-founder and Chief Product Officer at Nestor. With a Ph.D in machine learning, she leads the research and product development at Nestor. Raluca has over eight years of experience in team management and people development. She deeply cares about customer success and makes sure that every employee using the product is becoming better every day.","linkedin":"https://www.linkedin.com/in/constantinaralucamihalache/"}]</t>
  </si>
  <si>
    <t>Bogdan</t>
  </si>
  <si>
    <t>https://bookface-images.s3.amazonaws.com/small_logos/3bb0f1e6139ce028b1d8fef936eb1121108bc7da.png</t>
  </si>
  <si>
    <t>netbeez.net</t>
  </si>
  <si>
    <t>NetBeez</t>
  </si>
  <si>
    <t>Network monitoring from the end-user perspective</t>
  </si>
  <si>
    <t>Pittsburgh, PA</t>
  </si>
  <si>
    <t>[{"name":"Stefano Gridelli","title":"/CEO","bio":"Stefano Gridelli is Co-founder and CEO of NetBeez. He has several years of experience as a network engineer, working on design projects for large and complex network environments. He holds a M.S. degree in Computer Science from the Università degli Studi di Milano, Italy, and an MBA from Carnegie Mellon University.","linkedin":"https://www.linkedin.com/in/stefanogridelli/en"},{"name":"Panickos Neophytou","title":"/CTO","bio":"Co-founder and CTO at NetBeez.","linkedin":"http://www.linkedin.com/in/panickos/en"},{"name":"Panos Vouzis","title":"Founder","bio":"","linkedin":"https://www.linkedin.com/in/pvouzis"}]</t>
  </si>
  <si>
    <t>Cloud computing and work from anywhere adoption have significantly altered traditional network traffic patterns. Legacy approaches to performance monitoring don’t provide visibility into remote environments and Internet issues that affect users and cloud applications. NetBeez is the Digital Experience Monitoring platform that enables IT teams to quickly troubleshoot issues with Internet, SaaS applications, Wi-Fi networks, and more. The solution provides granular data to accurately isolate the time a problem occurs, retains historical data to identify the trend of recurring issues, and facilitates diagnosing problems from the user’s perspective.</t>
  </si>
  <si>
    <t>Stefano</t>
  </si>
  <si>
    <t>https://bookface-images.s3.amazonaws.com/small_logos/d39f800aa2dc90e00b32e18744204e9e5186ea14.png</t>
  </si>
  <si>
    <t>newscatcherapi.com</t>
  </si>
  <si>
    <t>NewsCatcher</t>
  </si>
  <si>
    <t>News API for risk and data teams</t>
  </si>
  <si>
    <t>[{"name":"Artem Bugara","title":"Founder","bio":"Artem Bugara is the co-founder, CEO of NewsCatcher. Artem works with data and risk teams to help them integrate actionable signals from online news. Previously he ran a team of data engineers for one of the largest underwriting companies within the aviation, energy, and space insurance sectors.\n\nHe earned a degree in Econometrics from Toulouse School of Economics.","linkedin":"https://www.linkedin.com/in/artem-bugara/"},{"name":"Maksym Sugonyaka","title":"Founder","bio":"Maksym Sugonyaka is the co-founder and CTO of NewsCatcher. After one year of a stable job, Maksym understood that the only place where he could realize his potential was entrepreneurship. Now in NewsCatcher, Maksym is the one to take key strategic and technical decisions in order to make the best News API on the market. \n\nHe has a Master's Degree in Data Science and Finance from Paris Sorbonne. But then,  he became a self-taught Data Engineer.","linkedin":"https://www.linkedin.com/in/msugonyaka/"}]</t>
  </si>
  <si>
    <t>We make it easy for data, market research, and risk teams to integrate machine-readable news feed into their internal analytics system.</t>
  </si>
  <si>
    <t>Artem</t>
  </si>
  <si>
    <t>https://bookface-images.s3.amazonaws.com/small_logos/8c1d123b552beeb8e2869bfad1b5ff25b3b6689b.png</t>
  </si>
  <si>
    <t>nextravel.com</t>
  </si>
  <si>
    <t>NexTravel</t>
  </si>
  <si>
    <t>NexTravel is a centralized travel booking platform that helps…</t>
  </si>
  <si>
    <t>[{"name":"Wen-Wen Lam","title":"/CEO","bio":"Partner at Gradient Ventures, Former CEO of NexTravel (W15)","linkedin":"https://www.linkedin.com/in/wenwen"},{"name":"Alexey Pakhomov","title":"Founder","bio":"","linkedin":"http://www.linkedin.com/in/alexeypakhomov/"}]</t>
  </si>
  <si>
    <t>Wen-Wen</t>
  </si>
  <si>
    <t>https://bookface-images.s3.amazonaws.com/small_logos/183cd53deae661b3e0db77992dd32b60436e8c3c.png</t>
  </si>
  <si>
    <t>nextcaller.com</t>
  </si>
  <si>
    <t>Next Caller</t>
  </si>
  <si>
    <t>Next Caller creates a positive customer experience through real-time…</t>
  </si>
  <si>
    <t>nextmv.io</t>
  </si>
  <si>
    <t>Nextmv</t>
  </si>
  <si>
    <t>A DecisionOps platform that accelerates optimization AI teams</t>
  </si>
  <si>
    <t>[{"name":"Carolyn Mooney","title":"Founder","bio":"Systems engineer and analyst. Always interested in automating and optimizing decisions.","linkedin":"https://www.linkedin.com/in/carolyn-m-mooney/"},{"name":"Ryan O'Neil","title":"Founder","bio":"Optimization AI — Integer Programming, Constraint Programming, and Decision Diagrams. Cat and early music enthusiast. Founding nextmv.io. Prefers Go.","linkedin":"https://www.linkedin.com/in/ryan-o-neil-59b6ab83/"}]</t>
  </si>
  <si>
    <t>Carolyn</t>
  </si>
  <si>
    <t>https://bookface-images.s3.amazonaws.com/small_logos/2c2fa6d386ec21518429f968426d97c0be895365.png</t>
  </si>
  <si>
    <t>benoble.io</t>
  </si>
  <si>
    <t>Noble</t>
  </si>
  <si>
    <t>Risk decisioning platform</t>
  </si>
  <si>
    <t>[{"name":"Tomer Biger","title":"Founder","bio":"","linkedin":"https://www.linkedin.com/in/tomer-biger-194a9ba3/"},{"name":"Moran Mishan","title":"Founder","bio":"\"Those who say it can't be done are usually interrupted by others doing it.\"\n-James Baldwin\nAn experienced software engineer, with strong motivation and capabilities for getting the job done quickly and efficiently.\n\n#Coding#Surfing#Kids#Family#Hacking#Beer#sea#Gym#tech","linkedin":"https://www.linkedin.com/in/moran-mishan-9389b640/"}]</t>
  </si>
  <si>
    <t>Tomer</t>
  </si>
  <si>
    <t>https://bookface-images.s3.amazonaws.com/small_logos/b8a0b353d8305ff47c82386cea196a9a9e2bda64.png</t>
  </si>
  <si>
    <t>notabene.id</t>
  </si>
  <si>
    <t>Notabene</t>
  </si>
  <si>
    <t>Software to manage risk  in crypto transactions</t>
  </si>
  <si>
    <t>[{"name":"Pelle Braendgaard","title":"Founder","bio":"Pelle Braendgaard is a co-founder of Notabene. He was the co-founder of uPort, the Identity platform from ConsenSys built on Ethereum. Has more than 25 years experience Europe, US, Africa, Caribbean, and Latin America. From being Alta Vista’s first webmaster to developing secure communication platforms for doctors at Doximity.  As an early member of the Financial Crypto community, he built pre blockchain crypto platforms, helped develop OAuth, and brought Bitcoin to Africa with Kipochi.","linkedin":"https://www.linkedin.com/in/pelleb/"},{"name":"Andres Junge","title":"Founder","bio":"Developer since 1985. Yaykuy Bitcoin Chile founder. Consensys / uPort co-founder. Notabene co-founder and CTO. Micael Waldorf School co-founder. Have a lovely wife and two awesome kids.","linkedin":"https://www.linkedin.com/in/ajunge"},{"name":"Ania Lipinska","title":"Founder","bio":"Ania is a UX designer and Head of Product at Notabene.   She has experience leading a variety of design projects for both start-ups and established companies (Comcast, Booking.com, Blade). \nShe brings an unapologetically customer-centric approach to the team.","linkedin":"https://www.linkedin.com/in/ania-lipinska/"},{"name":"Alice Nawfal","title":"Founder","bio":"Alice Nawfal is COO of Notabene. Her role is to combine business strategy with hands-on execution, while navigating a complex regulatory landscape. Prior to Notabene, she co-lead uPort, a platform for user-controlled data. She comes from a management consulting and policy background, having worked at Bain and the Economist, as well as fintechs like Prodigy Finance and norbloc. She has an MBA from Wharton, a policy degree from the Harvard Kennedy School, and Math/Economics degrees from MIT.","linkedin":"https://www.linkedin.com/in/alicenawfal/"}]</t>
  </si>
  <si>
    <t>Pelle</t>
  </si>
  <si>
    <t>https://bookface-images.s3.amazonaws.com/small_logos/2b0f2c4947976db4329789cc22f30a10206acb57.png</t>
  </si>
  <si>
    <t>nova.ai</t>
  </si>
  <si>
    <t>Nova puts the power of AI to work for you, enabling a more continuous…</t>
  </si>
  <si>
    <t>https://bookface-images.s3.amazonaws.com/small_logos/e5b5f4f9cecde6a25ed38c833a80f9949aae6575.png</t>
  </si>
  <si>
    <t>numeralhq.com</t>
  </si>
  <si>
    <t>Numeral</t>
  </si>
  <si>
    <t>SaaS &amp;amp; Ecommerce sales tax on autopilot.</t>
  </si>
  <si>
    <t>[{"name":"Kevin Liu","title":"Founder","bio":"Licensed CPA in the state of California. Previously worked in big 4 accounting at KPMG. Since leaving KPMG, Kevin has built numerous e-commerce business, ranging from 7 figure dropship accounts to 8 figure Shopify brands.","linkedin":"https://www.linkedin.com/in/kevin-liu-cal/"},{"name":"Matt DuVall","title":"Founder","bio":"Long-time product engineer, launched Stripe Checkout and Stripe Radar (2014-19), led teams on performance and product at Notion (2020-2022).","linkedin":"https://www.linkedin.com/in/mduvall/"},{"name":"Sam Ross","title":"Founder","bio":"Founded an e-commerce studio that generated over $50M in revenue over the last 4 years. Previously growth &amp; product @ Airbnb, Teespring.","linkedin":"https://www.linkedin.com/in/sambross/"}]</t>
  </si>
  <si>
    <t>TLDR: Numeral automates sales tax compliance for ecommerce stores. We do everything from registration to remittance.</t>
  </si>
  <si>
    <t>Kevin</t>
  </si>
  <si>
    <t>https://bookface-images.s3.amazonaws.com/small_logos/c0f30c988fde8ec60cc14e8c5cf656b62cd6d35d.png</t>
  </si>
  <si>
    <t>odwen.co.in</t>
  </si>
  <si>
    <t>ODWEN</t>
  </si>
  <si>
    <t>AirBnB for Small Warehouses</t>
  </si>
  <si>
    <t>Delhi, India</t>
  </si>
  <si>
    <t>[{"name":"VIJAY ANAND BHAGAVATULA","title":"Founder","bio":"20+ yrs in I-Banking, Strategy/ M&amp;A and P&amp;L roles. Incubated new ventures with ~$300Mn investments. Sloan Fellow from London Business School.","linkedin":"https://www.linkedin.com/in/vijay-anand-bhagavatula-09b4863/"}]</t>
  </si>
  <si>
    <t>VIJAY</t>
  </si>
  <si>
    <t>https://bookface-images.s3.amazonaws.com/small_logos/e8ab18dae7115ef76227acd0cd0b5680b6505cd7.png</t>
  </si>
  <si>
    <t>getofficely.com</t>
  </si>
  <si>
    <t>Officely</t>
  </si>
  <si>
    <t>Building next generation tools for the hybrid workplace</t>
  </si>
  <si>
    <t>https://bookface-images.s3.amazonaws.com/small_logos/3c3d40f72df41578d8ea65289c3df0e14e53d573.png</t>
  </si>
  <si>
    <t>en.oico.com.br</t>
  </si>
  <si>
    <t>Oico</t>
  </si>
  <si>
    <t>B2B marketplace for construction material in Brazil.</t>
  </si>
  <si>
    <t>[{"name":"Pedro Rocha","title":"Founder","bio":"From Rio de Janeiro, Brazil, living in São Paulo now. Father of 1 little boy, and a 2nd one coming now.\nI did many different things professionally: bought shopping malls, bought and developed irrigated farmland in remote areas in Brazil, built and sold software to farmers for the last 5 years. Now super excited about disrupting a new industry with Oico!","linkedin":"https://www.linkedin.com/in/pedropur/"},{"name":"Pedro Dellagnelo","title":"Founder","bio":"Pedro Dellagnelo is the co-founder of Oico, a b2b construction material marketplace, and holds an MBA from Stanford's Graduate School of Business ('16). Before founding Oico, he led product and growth efforts at the early stages of a few startups (Andela, Globality, and Revelo), in Silicon Valley and Brazil.","linkedin":"https://www.linkedin.com/in/pedrodellagnelo/"}]</t>
  </si>
  <si>
    <t>https://bookface-images.s3.amazonaws.com/small_logos/8225c25b6e5f608184bc27c325d86719271d8b6a.png</t>
  </si>
  <si>
    <t>okteto.com</t>
  </si>
  <si>
    <t>Okteto</t>
  </si>
  <si>
    <t>Cloud Development Environments with one click</t>
  </si>
  <si>
    <t>[{"name":"Ramiro Berrelleza","title":"Founder","bio":"Ramiro Berrelleza is one of the founders of Okteto. He has spent most of his career (and his free time) building cloud services and developer tools. Before starting Okteto, Ramiro was an Architect at Atlassian, a Software Engineer in ElasticBox and a Software Engineer in Microsoft Azure. Originally from Mexico, he currently lives in San Francisco.","linkedin":"https://www.linkedin.com/in/ramiroberrelleza/"},{"name":"Pablo Chico de Guzman","title":"/CTO","bio":"Founder @Okteto (www.okteto.com) helping companies to adopt Kubernetes and accelerate their development workflows.\nPreviously, I worked @Docker in the Docker Cloud project (formerly Tutum), a container platform to take full advantage of the amazing technology that Docker containers are.\nAs a Docker Community Leader, I organize the Docker Madrid and Cloud-Native Madrid Meetups, a group of 4000 enthusiastic DevOps, that find Docker and Kubernetes useful on their day-to-day work.","linkedin":"https://www.linkedin.com/in/pchico/"},{"name":"Ramon Lamana","title":"Founder","bio":"User-focused to the core, Ramon worked at Google in consumer products like Inbox by Gmail and YouTube. For many years he dedicated his efforts to improving the developer experience for tools at Elasticbox or EyeOS, a pioneer in the virtualization of workspaces in the browser.","linkedin":"https://www.linkedin.com/in/rlamana/"}]</t>
  </si>
  <si>
    <t>Ramiro</t>
  </si>
  <si>
    <t>https://bookface-images.s3.amazonaws.com/small_logos/65528c51b9eccc4012b7ad09d502f4452f49c03f.png</t>
  </si>
  <si>
    <t>olark.com</t>
  </si>
  <si>
    <t>Olark</t>
  </si>
  <si>
    <t>The best live chat software on the planet.  We help you build…</t>
  </si>
  <si>
    <t>Ann Arbor, MI</t>
  </si>
  <si>
    <t>https://bookface-images.s3.amazonaws.com/small_logos/7ff33564bb52577d5950335e7ae4c2e1fab8f9fa.png</t>
  </si>
  <si>
    <t>omnivirt.com</t>
  </si>
  <si>
    <t>OmniVirt</t>
  </si>
  <si>
    <t>OmniVirt is the leading VR Advertising platform for brands and…</t>
  </si>
  <si>
    <t>onelocal.com</t>
  </si>
  <si>
    <t>OneLocal</t>
  </si>
  <si>
    <t>OneLocal is a CRM for local businesses.</t>
  </si>
  <si>
    <t>https://bookface-images.s3.amazonaws.com/small_logos/f144160c4ffc7ca5630f9be867ceb45fdc18ac6b.png</t>
  </si>
  <si>
    <t>onebrief.com</t>
  </si>
  <si>
    <t>Onebrief</t>
  </si>
  <si>
    <t>Onebrief makes military headquarters run seamlessly</t>
  </si>
  <si>
    <t>[{"name":"Grant Demaree","title":"Founder","bio":"Before I moved to Austin to co-found Onebrief (https://onebrief.com), I spent 5 years as an Army officer. I was part of the Army's counter-Ebola efforts in Liberia and counter-ISIS campaign in Iraq. I studied Nuclear Engineering and International Relations at West Point.","linkedin":"https://www.linkedin.com/in/gkdemaree/"},{"name":"Rafa Pereira","title":"Founder","bio":"As a kid, my dream was to become an inventor. I realized that dream through software engineering and entrepreneurship. I started working early, while I was still a teenager. The first app I built for money was a CGI/Perl website, in 1999.  After that, I never stopped. Somehow, I still managed to finish my BS and MBA degrees along the way. Before founding Onebrief, I was Director of Product Engineering at data.world/TX and VP of Engineering at IAC/NY.","linkedin":"https://linkedin.com/in/rflprr"}]</t>
  </si>
  <si>
    <t>Grant</t>
  </si>
  <si>
    <t>https://bookface-images.s3.amazonaws.com/small_logos/a9dd01a9d8456816adc08efdeb71d76abc637e45.png</t>
  </si>
  <si>
    <t>openreplay.com</t>
  </si>
  <si>
    <t>OpenReplay</t>
  </si>
  <si>
    <t>Open-source, self-hosted, session replay tool for developers.</t>
  </si>
  <si>
    <t>[{"name":"Mehdi Osman","title":"Founder","bio":"CEO of OpenReplay","linkedin":"https://www.linkedin.com/in/mehdi-osman-5456174"}]</t>
  </si>
  <si>
    <t>https://bookface-images.s3.amazonaws.com/small_logos/115e9bc9f54e89ef6b7151c81d7b8dbca815879f.png</t>
  </si>
  <si>
    <t>optery.com</t>
  </si>
  <si>
    <t>Optery</t>
  </si>
  <si>
    <t>Opt out software that removes your private info from the internet</t>
  </si>
  <si>
    <t>Walnut Creek, CA</t>
  </si>
  <si>
    <t>[{"name":"Lawrence Gentilello","title":"Founder","bio":"Lawrence is CEO and Founder at Optery. Prior to founding Optery, Lawrence led Accenture’s Data Management Platforms practice in North America and was a Product Management and Technical Consulting leader at Oracle and BlueKai. As an entrepreneur, Lawrence co-founded the remote collaboration company Screenleap and launched the first online facebook at Stanford in 1999. Lawrence is an alumnus of Stanford (BA), Duke (MBA), and Y Combinator (Optery (W22) and Screenleap (W12)).","linkedin":"https://www.linkedin.com/in/gentilello"},{"name":"Chen Atlas","title":"Founder","bio":"Chen is CTO and Founder at Optery. Prior to founding Optery, Chen was tech lead and architect for 50+ engineers at Runa HR. Prior to Runa HR he was Co-Founder and CTO of As You Stay, and Cleanly, the on-demand laundry service. Chen was recruited out of high school by the Israel Defense Forces (Mamram) to build logistics platforms and is an expert in building large scale complex systems with high availability.  Chen is an alumnus of Bar-Ilan University (BA) and Y Combinator (Cleanly, W15).","linkedin":"http://www.linkedin.com/in/atlaschen"}]</t>
  </si>
  <si>
    <t>Lawrence</t>
  </si>
  <si>
    <t>https://bookface-images.s3.amazonaws.com/small_logos/02ca984c664acd671be4123ea5824a7fbc55c95c.png</t>
  </si>
  <si>
    <t>optilly.com</t>
  </si>
  <si>
    <t>Optilly/Installmonetizer</t>
  </si>
  <si>
    <t>Fb ad optimization platform</t>
  </si>
  <si>
    <t>[{"name":"Lloyd Jacob","title":"Founder","bio":"Founder at multiple ad-tech and mar-tech companies. 2 exits, several failures I learned from. Mentor at SJSU  ideas lab, YC startup school summer 19 mentor &amp;  mentor at mentorcruise.","linkedin":"https://linkedin.com/in/lloydjacob"},{"name":"Vince (Amitej) Mundy","title":"Founder","bio":"The word growth is what defines me.\nIt could be startup growth or personal growth. \nI currently help b2c/d2c companies get from zero to $10 m in revenue run rates via paid marketing. \n\nYC Badge: 0x5bbbd760ca07a87caa8fb87873c971dff1c1655d","linkedin":"https://www.linkedin.com/in/vince-mundy-963b526"}]</t>
  </si>
  <si>
    <t>Lloyd</t>
  </si>
  <si>
    <t>orbio.earth</t>
  </si>
  <si>
    <t>Orbio Earth</t>
  </si>
  <si>
    <t>Tracking methane emissions with satellites</t>
  </si>
  <si>
    <t>[{"name":"Robert Huppertz","title":"Founder","bio":"Co-Founder Orbio Earth GmbH; Ex-ML Engineer NASA Harvest; Ex-Cervest","linkedin":"https://linkedin.com/in/robert-huppertz-6536a0122"},{"name":"Jack Angela","title":"Founder","bio":"Climate optimist building out product and commercial strategy @ Orbio Earth","linkedin":"https://linkedin.com/in/jack-angela-bab326a5"}]</t>
  </si>
  <si>
    <t>Robert</t>
  </si>
  <si>
    <t>https://bookface-images.s3.amazonaws.com/small_logos/c8b46bfc8422d4590d819ae4695c62834845a549.png</t>
  </si>
  <si>
    <t>overview.ai</t>
  </si>
  <si>
    <t>Overview</t>
  </si>
  <si>
    <t>AI vision sensors for manufacturing</t>
  </si>
  <si>
    <t>[{"name":"Austin Appel","title":"Founder","bio":"Austin Appel is the head of product and a co-founder at Overview, where he is responsible for leading product development and operations. With over 8 years of experience in manufacturing, he works with customers to ensure that customers can quickly adopt and use artificial intelligence-based computer vision systems.\n\nPreviously, Austin spent four years at Tesla in manufacturing and R&amp;D.\n\nAustin holds BS Degrees in Manufacturing Engineering and Mechanical Engineering from Northwestern University.","linkedin":"https://www.linkedin.com/in/austin-appel-aa822b66/"},{"name":"Russell Nibbelink","title":"Founder","bio":"I am the head of engineering and a co-founder at Overview. \n\nBefore joining Overview, I was a software engineer at Salesforce, where I worked on web-scale infrastructure projects, including the migration of Salesforce’s largest customers to upgraded hardware with no downtime.\n\nI received his Bachelor of Science from the University of California Berkeley College of Engineering, where I was also the head teaching assistant in the field of High Performance Computing.","linkedin":"https://www.linkedin.com/in/russellnibbelink/"},{"name":"Christopher Van Dyke","title":"Founder","bio":"After 8 years at Tesla I founded Overview. Overview provides cameras and AI recognition algorithms to help manufacturers automate inspection steps, improve uptime, and reduce errors on their manufacturing lines. At Tesla, I built the team that designed the Gigafactory and launched the Supercharger network.","linkedin":"https://www.linkedin.com/in/christopher-van-dyke/"}]</t>
  </si>
  <si>
    <t>https://bookface-images.s3.amazonaws.com/small_logos/cd1326e4f02e779f1009ae931cfeb26eb1eb20b7.png</t>
  </si>
  <si>
    <t>shipoway.com</t>
  </si>
  <si>
    <t>Oway</t>
  </si>
  <si>
    <t>Ridesharing freight with ML to cut pallet shipping costs by 50%</t>
  </si>
  <si>
    <t>[{"name":"Phillip Nadjafov","title":"Founder","bio":"Founder of Oway, an ML-based online rideshare platform that makes small-batch freight shipping affordable for everyone. \n\nSelf-taught engineer and occasional car designer.","linkedin":"https://www.linkedin.com/in/phillipnadjafov/"}]</t>
  </si>
  <si>
    <t>-</t>
  </si>
  <si>
    <t>Phillip</t>
  </si>
  <si>
    <t>https://bookface-images.s3.amazonaws.com/small_logos/743c785c35b25f87660bedbb70b1a2667dbe9c7e.png</t>
  </si>
  <si>
    <t>ownlocal.com</t>
  </si>
  <si>
    <t>OwnLocal</t>
  </si>
  <si>
    <t>OwnLocal automates marketing for over 129,000 SMBs through 3,300…</t>
  </si>
  <si>
    <t>https://bookface-images.s3.amazonaws.com/small_logos/84a379a855383dd9f04eb9f1434a35da528ec456.png</t>
  </si>
  <si>
    <t>pachyderm.com</t>
  </si>
  <si>
    <t>Pachyderm</t>
  </si>
  <si>
    <t>Data Versioning, Data Pipelines, and Data Lineage</t>
  </si>
  <si>
    <t>https://bookface-images.s3.amazonaws.com/small_logos/23351b36c00bacc651a4389386057c50f0690542.png</t>
  </si>
  <si>
    <t>padlet.com</t>
  </si>
  <si>
    <t>Padlet</t>
  </si>
  <si>
    <t>Papyrus → Parchment → Paper → Padlet</t>
  </si>
  <si>
    <t>https://bookface-images.s3.amazonaws.com/small_logos/645d902ed813d617206c22ce485d48419ccb91c1.png</t>
  </si>
  <si>
    <t>pagelever.com</t>
  </si>
  <si>
    <t>Pagelever</t>
  </si>
  <si>
    <t>Facebook analytics. Acquired by Unified in January 2013.</t>
  </si>
  <si>
    <t>[{"name":"Jeff Widman","title":"Founder","bio":"Started/sold two companies.\n\nCan switch hit between entrepreneur, marketer, and software engineer.\n\nOn hiatus from founding companies in order to focus on raising my kids.","linkedin":"https://linkedin.com/in/jeffwidman"},{"name":"David Turner","title":"Founder","bio":"","linkedin":"https://linkedin.com/in/wdavidturner"}]</t>
  </si>
  <si>
    <t>Jeff</t>
  </si>
  <si>
    <t>palenca.com</t>
  </si>
  <si>
    <t>Palenca</t>
  </si>
  <si>
    <t>Payroll API for LatAm</t>
  </si>
  <si>
    <t>[{"name":"José Carlos Aguilar","title":"Founder","bio":"Co-founder &amp; Co-CEO @ Palenca\n\nPreviously Ops @Uber","linkedin":"https://www.linkedin.com/in/pepejcar/"},{"name":"Pierre Delarroqua","title":"Founder","bio":"Co-founder &amp; Co-CEO @ Palenca\n\nPreviously Data Scientist @ Uber","linkedin":"https://www.linkedin.com/in/delarroqua"},{"name":"Antoine Nguyen Hong Duc","title":"Founder","bio":"","linkedin":"https://www.linkedin.com/in/antoinenguyenhd/"}]</t>
  </si>
  <si>
    <t>José</t>
  </si>
  <si>
    <t>https://bookface-images.s3.amazonaws.com/small_logos/d5d9e6c75bc7c2d4c1af89242e58d56069cd10c6.png</t>
  </si>
  <si>
    <t>palettehq.com</t>
  </si>
  <si>
    <t>PaletteHQ</t>
  </si>
  <si>
    <t>Manage sales commissions and sales performance</t>
  </si>
  <si>
    <t>[{"name":"Jean-Edern Lorillon","title":"Founder","bio":"I've been working in the SaaS industry for the past 6 years. Before founding PaletteHQ, I participated in the growth of Algolia from 200 to 8,500 customers.","linkedin":"https://www.linkedin.com/in/jeanedernlorillon/"}]</t>
  </si>
  <si>
    <t>Jean-Edern</t>
  </si>
  <si>
    <t>https://bookface-images.s3.amazonaws.com/small_logos/c9bce72c2317a7d021e57753b48e391f11396ca9.png</t>
  </si>
  <si>
    <t>paperspace.com</t>
  </si>
  <si>
    <t>Paperspace</t>
  </si>
  <si>
    <t>Paperspace is a cloud platform for building and scaling AI…</t>
  </si>
  <si>
    <t>NY</t>
  </si>
  <si>
    <t>[{"name":"Dillon Erb","title":"/CEO","bio":"CEO/ co-founder @ Paperspace (YC/W15)\nAcquired DigitalOcean (2023)\nAngel Investor","linkedin":"https://www.linkedin.com/in/dillonerb"},{"name":"Daniel Kobran","title":"Founder","bio":"YC → built Paperspace (GPU cloud) → Sold to DigitalOcean (2023). \n\nBackground is in cloudscale GPU computing &amp; AI.\n\nAlso a design nerd and dabbler in early stage investing.","linkedin":"https://www.linkedin.com/in/daniel-kobran"}]</t>
  </si>
  <si>
    <t>Dillon</t>
  </si>
  <si>
    <t>https://bookface-images.s3.amazonaws.com/small_logos/71d8fe724bf62445db1e2f76ff63e411c7f74f2c.png</t>
  </si>
  <si>
    <t>useparagon.com</t>
  </si>
  <si>
    <t>Paragon</t>
  </si>
  <si>
    <t>The embedded integration platform for SaaS apps.</t>
  </si>
  <si>
    <t>[{"name":"Brandon Foo","title":"Founder","bio":"Founder and CEO of Paragon.","linkedin":"https://www.linkedin.com/in/brandonfoo"},{"name":"Ishmael Samuel","title":"Founder","bio":"","linkedin":"https://www.linkedin.com/in/ishmaelsamuel"}]</t>
  </si>
  <si>
    <t>Brandon</t>
  </si>
  <si>
    <t>https://bookface-images.s3.amazonaws.com/small_logos/92839bd2f4eacdd8bdaca34c9a4101cc5cd19439.png</t>
  </si>
  <si>
    <t>parrotsoftware.io</t>
  </si>
  <si>
    <t>Parrot Software 🦜</t>
  </si>
  <si>
    <t>The operating system for restaurants in LatAm.</t>
  </si>
  <si>
    <t>[{"name":"David Villarreal","title":"Founder","bio":"Hello world!","linkedin":"https://www.linkedin.com/in/davvilla/"},{"name":"Roberto Cebrian","title":"Founder","bio":"I am a self-made, passionate entrepreneur who looks beyond economic growth. My tech expertise has been in hospitality &amp; restaurants. I mostly spend my free time with my family, rock climbing &amp; fighting to solve the street animal problem in Mexico.","linkedin":"https://www.linkedin.com/in/robertocebrian/"}]</t>
  </si>
  <si>
    <t>https://bookface-images.s3.amazonaws.com/small_logos/29f5231e61be9a4d070ec964b3a00684b46232d6.png</t>
  </si>
  <si>
    <t>parse.com</t>
  </si>
  <si>
    <t>Parse</t>
  </si>
  <si>
    <t>Parse is the easiest way to build apps.</t>
  </si>
  <si>
    <t>Menlo Park, CA</t>
  </si>
  <si>
    <t>Partnered</t>
  </si>
  <si>
    <t>Partnered is a digital platform automating business development…</t>
  </si>
  <si>
    <t>[{"name":"David Matthews","title":"Founder","bio":"Currently building scheduling solutions at Dotcal.","linkedin":"https://www.linkedin.com/in/j-david-matthews/"},{"name":"Baldwin Cunningham","title":"Founder","bio":"","linkedin":""},{"name":"Stuart Ross","title":"Founder","bio":"","linkedin":"https://www.linkedin.com/in/marc-devidts-b6376510"},{"name":"Cullen Wilson","title":"Founder","bio":"","linkedin":""}]</t>
  </si>
  <si>
    <t>Pathmind</t>
  </si>
  <si>
    <t>Pathmind helps industrial engineers and simulation modelers achieve…</t>
  </si>
  <si>
    <t>[{"name":"Chris Nicholson","title":"/CEO","bio":"Raised in Montana. Attended Deep Springs College. Studied Zen Buddhism at Tassajara. Worked as a journalist for 8 years at the New York Times and Bloomberg News in Paris. Came to San Francisco in 2013 and joined FutureAdvisor (W10). Founded Skymind (W16), which would later become Pathmind. Acquired by Clipboard Health (W17). Interests: pre/seed investing in AI/deeptech/biotech, foreign languages, machine learning, Ukraine.","linkedin":"http://www.linkedin.com/in/chrisvnicholson/"}]</t>
  </si>
  <si>
    <t>https://bookface-images.s3.amazonaws.com/small_logos/6f25b083ae5853d0fb4e5eee2ce6794565ac6775.png</t>
  </si>
  <si>
    <t>Payflow</t>
  </si>
  <si>
    <t>A mobile app. It allows employees to get paid their salary on-demand.</t>
  </si>
  <si>
    <t>[{"name":"Avinash Sukhwai","title":"Founder","bio":"Co-founder at Payflow 📱ex-Rocket Internet and ex-BCG 👨‍💻University of Cambridge, MIT and Imperial College London 👨‍🎓 Madrid-based 🇪🇸 I like startups! 🚀","linkedin":"https://www.linkedin.com/in/avinash-sukhwani"},{"name":"Benoit Menardo","title":"Founder","bio":"Co-founder at Payflow 🚀 ex-Bain, ex-Rocket Internet 🎓 INSEAD MBA, MIT, Mines Paristech 🌎 Lived in 5 continents and learned 8 languages","linkedin":"https://www.linkedin.com/in/benoitmenardo/"}]</t>
  </si>
  <si>
    <t>Avinash</t>
  </si>
  <si>
    <t>https://bookface-images.s3.amazonaws.com/small_logos/c2f3335ebf887d6a8fa009be25267d1702eb2a4c.png</t>
  </si>
  <si>
    <t>Peer5</t>
  </si>
  <si>
    <t>P2P delivery network that enables high quality video streaming</t>
  </si>
  <si>
    <t>[{"name":"Hadar Weiss","title":"/CEO","bio":"Co-Founder and CEO of Peer5, Acquired by Microsoft","linkedin":"https://www.linkedin.com/in/whadar"},{"name":"Shachar Zohar","title":"/CTO","bio":"","linkedin":"https://il.linkedin.com/in/shachar-zohar-2356a72"}]</t>
  </si>
  <si>
    <t>Hadar</t>
  </si>
  <si>
    <t>https://bookface-images.s3.amazonaws.com/small_logos/8e0d56341c205ff1b0f1dda68334bc8576895953.png</t>
  </si>
  <si>
    <t>Peoplebox</t>
  </si>
  <si>
    <t>OKR, Performance and Engagement tool integrated with your worktools</t>
  </si>
  <si>
    <t>[{"name":"Abhinav Chugh","title":"Founder","bio":"Co-founder and CEO @ Peoplebox.ai. IIT Delhi, Ex Practo, Amdocs","linkedin":"https://www.linkedin.com/in/abhinavchugh/"},{"name":"Alagu M","title":"Founder","bio":"Co-founder @ Peoplebox\nTech, Product &amp; Customer Experience","linkedin":"https://www.linkedin.com/in/alagu2/"}]</t>
  </si>
  <si>
    <t>Abhinav</t>
  </si>
  <si>
    <t>https://bookface-images.s3.amazonaws.com/small_logos/d90945bbd65aa37022870fefcb46d282f82e8624.png</t>
  </si>
  <si>
    <t>Per Diem</t>
  </si>
  <si>
    <t>Mobile app design and publishing platform for SMB&amp;#39;s</t>
  </si>
  <si>
    <t>[{"name":"Tomer Molovinsky","title":"Founder","bio":"After 5 years building products at OpenTable and Resy, I started Per Diem (YC W21) to democratize mobile apps for restaurants. Our platform helps independent brands launch their own Starbucks-like app in days. Now the top-rated loyalty app on Square, powering Coffee Dose, Chip City, and 150+ others.","linkedin":"https://www.linkedin.com/in/tomermolo"},{"name":"Doron Segal","title":"Founder","bio":"Hey I'm Doron,  the co-founder &amp; CTO of Per Diem — a subscription platform for brick &amp; mortar businesses. \nI'm also a dad and a husband. I love to travel and meet new people.\nI love creating things, and see people using the stuff I built. \nPrior to Per Diem I worked at Saildrone, OpenTable, Apple, Beats Music, Siemens.\nHappy to help other YC's alumna","linkedin":"https://www.linkedin.com/in/doronsegal/"}]</t>
  </si>
  <si>
    <t>https://bookface-images.s3.amazonaws.com/small_logos/598668f38816dc5cfd50d0d695fccc6371a93877.png</t>
  </si>
  <si>
    <t>Perfect Audience</t>
  </si>
  <si>
    <t>Self-service display advertising for SaaS and online retail.</t>
  </si>
  <si>
    <t>[{"name":"Brad Flora","title":"Founder","bio":"Visiting Partner @ Y Combinator.  Previously CEO/Co-Founder of Perfect Audience.","linkedin":"https://www.linkedin.com/in/bradflora"},{"name":"Jordi Buller","title":"Founder","bio":"","linkedin":"https://www.linkedin.com/in/jordibuller/"},{"name":"Kurt Mackey","title":"Founder","bio":"","linkedin":"https://www.linkedin.com/in/mrkurt"}]</t>
  </si>
  <si>
    <t>Brad</t>
  </si>
  <si>
    <t>PersistIQ</t>
  </si>
  <si>
    <t>PersistIQ is a free email automation platform to send a small batch…</t>
  </si>
  <si>
    <t>[{"name":"Pouyan Salehi","title":"Founder","bio":"CEO and Cofounder at Scratchpad. Previously, CEO and Cofounder at PersistIQ (YC S14).","linkedin":"https://www.linkedin.com/in/pouyansalehi/"},{"name":"Cyrus Karbassiyoon","title":"Founder","bio":"","linkedin":"https://www.linkedin.com/in/ckarbass/"}]</t>
  </si>
  <si>
    <t>Pouyan</t>
  </si>
  <si>
    <t>https://bookface-images.s3.amazonaws.com/small_logos/6ac43c20fc7f26776b3ffae37509dfecb60b9ef2.png</t>
  </si>
  <si>
    <t>Pibit.ai</t>
  </si>
  <si>
    <t>Transforming Commercial P&amp;amp;C Industry with LLM-Powered AI</t>
  </si>
  <si>
    <t>[{"name":"Akash Agarwal","title":"Founder","bio":"CEO at Pibit.ai |  Previously worked with Playment (YC W17) | IIT Roorkee","linkedin":"https://www.linkedin.com/in/akash29196/"}]</t>
  </si>
  <si>
    <t>Akash</t>
  </si>
  <si>
    <t>https://bookface-images.s3.amazonaws.com/small_logos/a3b97233fe2d2709bfe27a59ba2585d4b741fe7a.png</t>
  </si>
  <si>
    <t>Pier</t>
  </si>
  <si>
    <t>Stripe for Credit - End-to-end credit infra via API</t>
  </si>
  <si>
    <t>[{"name":"Jessica Zhang","title":"Founder","bio":"Jessica is CEO &amp; Co-Founder at Pier. Previously, CoS/PM at Stilt (YC W16, acq. by JGW) and founding team for Onbo, Stilt’s B2B credit API product. 2x founder (Oppti, acquired), ex-JPMorgan, ex-McDonald's. $7B+ underwriting/transaction experiences across private equity, investment banking and management consulting. She's a Cornell alum and has managed teams of 30+ ppl. Fun fact: she's a ski instructor and her goddaughter is a chihuahua-mix shelter adopt.","linkedin":"https://www.linkedin.com/in/jessica-zhang-87967280/"},{"name":"Alex Hegevall Clarke","title":"Founder","bio":"I'm CTO &amp; co-founder at Pier. Previously I was part of the founding team for Onbo at Stilt (YC W16, acq. by JGW) where I led customer integrations and product development. Together with Jess, we took Onbo from 0 to 1 and $3mm ARR in just a few months. Before that I was at Plaid and have 6+ years building in fintech. Fun fact: I love to shred a good mogul run and have a one-eyed, adopted street cat from Austin.","linkedin":"https://www.linkedin.com/in/hegevall/"}]</t>
  </si>
  <si>
    <t>👋🏻 Hey Alex &amp;amp; Jess here from W23 batch!</t>
  </si>
  <si>
    <t>Jessica</t>
  </si>
  <si>
    <t>https://bookface-images.s3.amazonaws.com/small_logos/eb10300785960d3b48dfff648ae5ee0f8ba40cfc.png</t>
  </si>
  <si>
    <t>PiinPoint</t>
  </si>
  <si>
    <t>PiinPoint helps businesses find the best locations for growth</t>
  </si>
  <si>
    <t>[{"name":"Jim Robeson","title":"Founder","bio":"Jim Robeson is the Co-founder and CEO of PiinPoint, a location analytics solution that helps retailers identify and predict the financial performance of future store locations. Since its launch in 2014, more than 250,000 locations have been analyzed using PiinPoint’s services.","linkedin":""},{"name":"Adam Saunders","title":"/CTO","bio":"","linkedin":"https://www.linkedin.com/in/adamrsaunders/"}]</t>
  </si>
  <si>
    <t>https://bookface-images.s3.amazonaws.com/small_logos/ab66514ee2aae2caa138e769ced840f8e4eba100.png</t>
  </si>
  <si>
    <t>Mobile application prototyping. Now part of Google.</t>
  </si>
  <si>
    <t>[{"name":"Paul Colton","title":"Founder","bio":"Founder of Pixate, Inc. (S12).","linkedin":"https://www.linkedin.com/in/pcolton"},{"name":"Kevin Lindsey","title":"Founder","bio":"","linkedin":"https://www.linkedin.com/in/kevinlindsey/"}]</t>
  </si>
  <si>
    <t>https://bookface-images.s3.amazonaws.com/small_logos/a8ce36b7cc090f269ccda83063e61196068ef7a9.png</t>
  </si>
  <si>
    <t>Plai</t>
  </si>
  <si>
    <t>Run ads with AI</t>
  </si>
  <si>
    <t>[{"name":"Logan Welbaum","title":"Founder","bio":"Worked on ad products at Google and Facebook, trained thousands of businesses on digital marketing, and have over 400k+ followers on TikTok, including Steve Harvey and Draco Malfoy who follow for advertising advice.\n\nhttps://www.tiktok.com/@itsplaito","linkedin":"https://www.linkedin.com/in/logan-welbaum"}]</t>
  </si>
  <si>
    <t>Logan</t>
  </si>
  <si>
    <t>https://bookface-images.s3.amazonaws.com/small_logos/9e5edb26e5bdc44b210c50ed3cc68204303afbc9.png</t>
  </si>
  <si>
    <t>Plane</t>
  </si>
  <si>
    <t>#1 easiest-to-use payroll for startups</t>
  </si>
  <si>
    <t>[{"name":"Matt Drozdzynski","title":"/CEO","bio":"Founder at Plane","linkedin":"https://linkedin.com/in/matid/"},{"name":"🌍 Staszek Kolarzowski","title":"Founder","bio":"","linkedin":"https://www.linkedin.com/profile/view?id=329406982"}]</t>
  </si>
  <si>
    <t>https://bookface-images.s3.amazonaws.com/small_logos/6b9a091d0d628df51961ca396fdaadc2e087ad89.png</t>
  </si>
  <si>
    <t>Plato</t>
  </si>
  <si>
    <t>Plato is the mentorship platform for engineering leaders</t>
  </si>
  <si>
    <t>https://bookface-images.s3.amazonaws.com/small_logos/fc15418039f776573a0ea610002c9231a2e1a0cb.png</t>
  </si>
  <si>
    <t>PlayHT</t>
  </si>
  <si>
    <t>Our mission is to make Voice AI accessible and useful to all.</t>
  </si>
  <si>
    <t>[{"name":"Hammad Syed","title":"Founder","bio":"Building the future of voice technology at Play.ht. I'm super passionate about building and scaling products that add value and make a difference in people's lives.\n\nI've been a software engineer and a product person in my past role at OLX where I met Mahmoud to start Play.ht. My experience ranges from bootstrapping products to profitability, SEO, product management, and building and deploying end-to-end systems that deliver high-impact business value within constrained timelines.","linkedin":"https://www.linkedin.com/in/hammad-syed-61040432/"},{"name":"Mahmoud felfel","title":"Founder","bio":"","linkedin":"https://www.linkedin.com/in/mahmoud-felfel-33024252/"}]</t>
  </si>
  <si>
    <t>PlayHT 2.0 Turbo supports input text streaming. This feature seamlessly integrates with LLMs, like chatGPT. Simply feed the output stream of tokens/words from the LLM and the SDK will process the tokens in the best way that can balance both generating expressive contextual speech and reducing the TTFB (time to first byte).</t>
  </si>
  <si>
    <t>Hammad</t>
  </si>
  <si>
    <t>https://bookface-images.s3.amazonaws.com/small_logos/b51a234c04b9c04472dc8991c3d411ee0f347db7.png</t>
  </si>
  <si>
    <t>Playment</t>
  </si>
  <si>
    <t>Mechanical Turk for enterprises.</t>
  </si>
  <si>
    <t>https://bookface-images.s3.amazonaws.com/small_logos/8d042750022ceb867d7506837474acf57e7f3874.png</t>
  </si>
  <si>
    <t>Plerk</t>
  </si>
  <si>
    <t>Acquired by Minu.mx - Fintech solutions for employees, starting with…</t>
  </si>
  <si>
    <t>[{"name":"Miguel Medina","title":"Founder","bio":"I'm a Mexican entrepreneur who's been in the tech industry for 15+ years. I've had the privilege to work with companies like Apple and Danone and joined Rappi as early employee. I co-founded Isibit, which started as a business travel platform. Accepted into YC S20. During COVID-19, we pivoted into Plerk, a flexible perks solution. We managed to raise over $12M before being acquired by Minu.mx. Recently, I became part of Latitud, and I'm excited about supporting the LATAM startup ecosystem.","linkedin":"https://linkedin.com/in/mikemedina20"},{"name":"Angel Arias","title":"Founder","bio":"MBA, ex-Early Rappi employee","linkedin":"https://www.linkedin.com/in/aeduardoac/"},{"name":"Jose Antonio Martinez Quintero","title":"Founder","bio":"As an experienced leader in technology, I am driven by results and achieving company goals. My participative leadership style, energy, and constant communication with my team and peers have helped me find effective solutions to complex challenges. My career highlights include leading successful projects that have made a significant impact on team performance and company growth. I am a firm believer in continuous learning and personal development, which has been essential to my success.","linkedin":"https://linkedin.com/in/joseantoniomtzq"}]</t>
  </si>
  <si>
    <t>Miguel</t>
  </si>
  <si>
    <t>https://bookface-images.s3.amazonaws.com/small_logos/35a9be04900715d4438b247464cf89a9e6b3e6a3.png</t>
  </si>
  <si>
    <t>Pluggy</t>
  </si>
  <si>
    <t>Plaid for Brazil: we allow developers to access users&amp;#39; financial data</t>
  </si>
  <si>
    <t>[{"name":"Rogerio Correa","title":"Founder","bio":"Responsible for operations at Pluggy, making my best to use the knowledge that I've acquired working 10 years in Business Consulting and more 3 years in Digital Transformation Consulting to build and deliver the best product for the Brazilian Market","linkedin":"https://www.linkedin.com/in/rog%C3%A9rio-corr%C3%AAa-26789131"},{"name":"Victor Braga","title":"Founder","bio":"Used to work in banking and M&amp;A consultancy, but left the corporate world to create new ways of making the world a better place!\n\nI am working with my great co-founders at Pluggy to make Open Banking in Brazil as disruptive as Brazilians need.","linkedin":"https://www.linkedin.com/in/victor-urano-braga-75434521/"},{"name":"Bruno Loiola","title":"Founder","bio":"Co-founder @Pluggy.","linkedin":"https://www.linkedin.com/in/brunoloiola/"},{"name":"Federico Miras","title":"Founder","bio":"Federico Mirás (or \"Fefo\") is an Argentinian tech entrepreneur, investor and programmer. He is the Co-Founder, Head of Product, and CEO of Pluggy. Fefo wrote his first lines of code at the age of 12 and created his first software company at the age of 19. Strong leadership and company culture skills, he loves crypto &amp; video games.","linkedin":"https://www.linkedin.com/in/fmiras"},{"name":"Gabriel Pan Gantes","title":"Founder","bio":"Argentinian Tech-Founder and Developer, leading the product and development of Pluggy´s solution, building developer-driven innovation with the latest technologies. Analytical, organized &amp; practical, focus on shipping solutions as faster as possible.","linkedin":"https://www.linkedin.com/in/gabrielpangantes"}]</t>
  </si>
  <si>
    <t>Rogerio</t>
  </si>
  <si>
    <t>https://bookface-images.s3.amazonaws.com/small_logos/3aa6cdb6e4514111f85524a950c06080c4af48cb.png</t>
  </si>
  <si>
    <t>Plutto</t>
  </si>
  <si>
    <t>Verify and validate business customers in minutes for LatAm.</t>
  </si>
  <si>
    <t>[{"name":"Antonia San Martin","title":"Founder","bio":"Worked at Heineken and Nike.\nCo-founded a travel startup for 1 year.\nNow I’m CEO @ Plutto, building verification service for businesses in Latin America.","linkedin":"https://www.linkedin.com/in/antoniasanmartinsola/"},{"name":"Felipe Domínguez","title":"Founder","bio":"Fullstack Dev for some years, now co-founder @ Plutto. \nI spend a lot of time in the mountains.","linkedin":"http://linkedin.com/in/fdominguezc"},{"name":"Ignacio Márquez","title":"Founder","bio":"Graduated as Software Engineer. Worked a couple years as a full-stack developer and scrum master in Platanus, Chile. Co-founded a travel startup for 1 year.\n\nNow I'm CTO @ Plutto, building KYB solutions for Latin America.","linkedin":"https://www.linkedin.com/in/ignaciomarquezc/"}]</t>
  </si>
  <si>
    <t>“I’m sorry but we’re not going to accept your investment. At the moment we’re not taking business clients”. This was the answer we got from a fintech that got us to start Plutto right away.</t>
  </si>
  <si>
    <t>Antonia</t>
  </si>
  <si>
    <t>https://bookface-images.s3.amazonaws.com/small_logos/73b6704b442fafacacd64a71fafe1899c3d11a6c.png</t>
  </si>
  <si>
    <t>PocketSuite</t>
  </si>
  <si>
    <t>PocketSuite makes it easy for your clients to book and pay you</t>
  </si>
  <si>
    <t>We help service pros run a better business</t>
  </si>
  <si>
    <t>https://bookface-images.s3.amazonaws.com/small_logos/cdb97ca4207ccb8346f6dd29984f5fca487812e0.png</t>
  </si>
  <si>
    <t>Poll Everywhere</t>
  </si>
  <si>
    <t>Interactive meetings and presentations</t>
  </si>
  <si>
    <t>[{"name":"Sean Eby","title":"Founder","bio":"Co-Founder of Poll Everywhere, S08.\n\nCurrently an investor in a handful of scale startups, have had a couple of exits. As well, I am a product development executive leader and currently lead and grow the engineering and product teams at ServiceCore, a private equity-backed liquid waste and roll-off vertical ERP software provider.","linkedin":""},{"name":"Brad Gessler","title":"Founder","bio":"More at https://bradgessler.com/","linkedin":"https://www.linkedin.com/in/bradgessler/"},{"name":"Jeff Vyduna","title":"Founder","bio":"Plotting a different course (unfunded after YC) with Poll Everywhere. Poll Everywhere turns presenting into a two-way experience.","linkedin":"https://www.linkedin.com/in/jeffvyduna/"}]</t>
  </si>
  <si>
    <t>https://bookface-images.s3.amazonaws.com/small_logos/ecbec2f3750898b4408fbaa96c7249395a7fc445.png</t>
  </si>
  <si>
    <t>PopSQL</t>
  </si>
  <si>
    <t>SQL editor for teams</t>
  </si>
  <si>
    <t>[{"name":"Rahil Sondhi","title":"/CEO","bio":"Founder/CEO PopSQL","linkedin":"https://www.linkedin.com/in/rahilsondhi/"}]</t>
  </si>
  <si>
    <t>Rahil</t>
  </si>
  <si>
    <t>https://bookface-images.s3.amazonaws.com/small_logos/79a599a24d933d5f21dc134891224337e7ef167a.png</t>
  </si>
  <si>
    <t>Popl</t>
  </si>
  <si>
    <t>AI-powered Lead capture &amp;amp; digital business cards for teams</t>
  </si>
  <si>
    <t>[{"name":"Jason Alvarez-Cohen","title":"Founder","bio":"CEO &amp; Co-founder @ Popl\n\nUCLA class of 2018, software engineer obsessed with tech that connects people","linkedin":"https://www.linkedin.com/in/jason11ac/"},{"name":"Nick Eischens","title":"Founder","bio":"COO &amp; Co-founder @ Popl","linkedin":"https://www.linkedin.com/in/nick-eischens/"}]</t>
  </si>
  <si>
    <t>Jason</t>
  </si>
  <si>
    <t>https://bookface-images.s3.amazonaws.com/small_logos/38d405f6de14f8d3d7f5c8feb80ff7911ac69ec2.png</t>
  </si>
  <si>
    <t>Popular Pays</t>
  </si>
  <si>
    <t>Software for collaborating with content creators and influencers</t>
  </si>
  <si>
    <t>[{"name":"Corbett Drummey","title":"/CEO","bio":"Founder of Popular Pays (W15) and 2018 Forbes 30 Under 30 recipient.","linkedin":"https://www.linkedin.com/in/corbettdrummey"},{"name":"Steven Wanderski","title":"/Full Stack Web Developer","bio":"Founder Popular Pays","linkedin":"https://www.linkedin.com/pub/steven-wanderski/11/742/5a4"}]</t>
  </si>
  <si>
    <t>Corbett</t>
  </si>
  <si>
    <t>https://bookface-images.s3.amazonaws.com/small_logos/86ed9662f1f5dd97d9e9fcd4def24972e1fa3c3e.png</t>
  </si>
  <si>
    <t>Portão 3</t>
  </si>
  <si>
    <t>We are the frictionless way for companies to make payments.</t>
  </si>
  <si>
    <t>Uberlândia, Brazil</t>
  </si>
  <si>
    <t>[{"name":"Fernando Nery","title":"Founder","bio":"I'm passionate about transforming complex problems into simple product solutions. I've worked for 5 years as CPO of Zup, a tech consulting firm in Brazil, where I did over 100 flights every year and suffered through horrible and manual corporate travel and expenses solutions available in LATAM.","linkedin":"https://www.linkedin.com/in/fernandonery/"}]</t>
  </si>
  <si>
    <t>Fernando</t>
  </si>
  <si>
    <t>https://bookface-images.s3.amazonaws.com/small_logos/13743e9786ef3077b61d0d72e6ce988840b731ca.png</t>
  </si>
  <si>
    <t>Easiest way to deploy on AWS/GCP/Azure</t>
  </si>
  <si>
    <t>https://bookface-images.s3.amazonaws.com/small_logos/6ef65d4ede897a26ed6e9d886562f50dc512caee.png</t>
  </si>
  <si>
    <t>PostHog</t>
  </si>
  <si>
    <t>The single platform to analyze, test, observe, and deploy new features</t>
  </si>
  <si>
    <t>[{"name":"James Hawkins","title":"Founder","bio":"cofounder at PostHog /\nused to be a bad pro cyclist /\nknows about brand (sounds fluffy right, my mom says i'm special though)/shipping lots of stuff/marketing to developers","linkedin":"https://www.linkedin.com/in/j-hawkins/"},{"name":"Tim Glaser","title":"Founder","bio":"","linkedin":"https://www.linkedin.com/in/timgl/"}]</t>
  </si>
  <si>
    <t>We applied simply because it’s the best place in the world to start a startup, particularly as we were both Silicon Valley “outsiders”.Looking back, YC has been the single most important thing we’ve ever done in our careers.</t>
  </si>
  <si>
    <t>https://bookface-images.s3.amazonaws.com/small_logos/6b751b6367e4bf6fedf38c26f0d15cb4a4c675eb.png</t>
  </si>
  <si>
    <t>PredictLeads</t>
  </si>
  <si>
    <t>Best in class company intelligence data.</t>
  </si>
  <si>
    <t>Ljubljana, Slovenia</t>
  </si>
  <si>
    <t>https://bookface-images.s3.amazonaws.com/small_logos/1b1dfbe12c8d51212415378b6233142fd20817a2.png</t>
  </si>
  <si>
    <t>Preki</t>
  </si>
  <si>
    <t>Shopify for LatAm</t>
  </si>
  <si>
    <t>Bogotá, Colombia</t>
  </si>
  <si>
    <t>[{"name":"Pedro Virgüez","title":"Founder","bio":"Co-Founder and CEO at Clientti (clientti.com) &amp; Preki (preki.com).\n\nEntrepreneur at heart. Studied at Boston U and lived in LA for a year working at Poppin (venture backed). Moved back to Colombia, started a retail chain and joined an e-scooter startup.\n\nStarted Preki (Shopify for LatAm), grew to over 115k stores and raised close to a million dollars. Seeing non-tech businesses' need for data-driven communication tools, founded Clientti, an automated messaging platform.\n\nSelf-taught coder.","linkedin":"https://www.linkedin.com/in/pedrovirguez/"},{"name":"Alex Hakim","title":"Founder","bio":"I´ve been an extroverted soul my entire life. I love talking to people, understanding their psyche and generally understanding why people do the things they do. That´s why a do sales.  Founded my first EdTech startup at age 19, managed my way to work at the Colombian Consulate at NYC, worked as VP of Biz Dev at one of the first e-scooter Startups to launch in Colombia and now my life is Preki.","linkedin":"https://www.linkedin.com/in/alex-hakim-414192b3"},{"name":"Tahi Hakim","title":"Founder","bio":"Numbers are my passion. I'm obsessive with details and I like to think nothing escapes me. I worked at J.P. Morgan vetting companies, reviewing financial statements and participated in structuring of bond deals. \n\nAlways knew my purpose in life was to create my own business so I quit everything and jumped into the startup world. \n\nWorked as the VP of finance at one of the first e-scooter startups to launch in Colombia and led the entire due diligence for an acquisition offer.","linkedin":"https://www.linkedin.com/in/tahi-hakim-991192b3/"},{"name":"David Narvaez","title":"Founder","bio":"Always learning how to solve problems in different ways. I'm in my element when I create new things through technology. In love with tinkering with new ideas in order to have a product everyone loves. I love building products ground up 🚀.","linkedin":"https://www.linkedin.com/in/dnarvaez27/"}]</t>
  </si>
  <si>
    <t>https://bookface-images.s3.amazonaws.com/small_logos/b10d77e47db3e8eb6906d0910aae2de86a6b6efe.png</t>
  </si>
  <si>
    <t>Prelay</t>
  </si>
  <si>
    <t>Team Selling Platform</t>
  </si>
  <si>
    <t>https://bookface-images.s3.amazonaws.com/small_logos/07b8447f479f15c7ba47b48df5baa9957b41afdb.png</t>
  </si>
  <si>
    <t>Prembly (formerly Identitypass)</t>
  </si>
  <si>
    <t>Identity Verification API for Emerging Markets</t>
  </si>
  <si>
    <t>[{"name":"Lanre Ogungbe","title":"Founder","bio":"I am always delighted to think about abstract ideas. Founding team member of two startups, one of which got acquired.","linkedin":"https://www.linkedin.com/in/ogungbelanre/"},{"name":"Niyi Adegboye","title":"Founder","bio":"Niyi is a passionate entrepreneur with grit and believes in innovations and using technology to improve lives. \nHe's a university graduate and holds a Mini_MBA certificate.  \n\nHe has wealth of experience in blinding and scaling startups. Prior to Co-founding Identity Pass, he has led product development, business growth and partnership and fundraising for three startups in EdTech, FinTech and a food ordering and delivery startup.\nHe has both local and international recognition.","linkedin":"https://www.linkedin.com/in/adegboyehenry/"}]</t>
  </si>
  <si>
    <t>Lanre</t>
  </si>
  <si>
    <t>https://bookface-images.s3.amazonaws.com/small_logos/c11b529afd406376db5eecdb08ae765601c28526.png</t>
  </si>
  <si>
    <t>ProSights</t>
  </si>
  <si>
    <t>ProSights is an AI-native workflow automation / search platform for…</t>
  </si>
  <si>
    <t>[{"name":"Justin Wu","title":"Founder","bio":"Justin is a co-founder of ProSights. Previously, he worked in consumer tech PE / growth equity at Permira, PE at BayPine Capital, and investment banking at Citi. Justin studied economics at Harvard.","linkedin":"https://linkedin.com/in/justinwuokc"},{"name":"Aaron Guo","title":"Founder","bio":"Aaron is a co-founder of ProSights. Previously, he worked in consumer tech PE / growth equity at Permira and before that in technology investment banking at Goldman Sachs. Aaron studied economics at UChicago.","linkedin":"https://linkedin.com/in/guoaaron"},{"name":"Howard Zhong","title":"Founder","bio":"Howard is a co-founder of ProSights. He studied CS and Math in his undergrad and CS in his masters at MIT. He previously worked in quant trading at Jane Street, software engineering at Apple, and research at MIT-IBM Watson AI Lab and MIT CSAIL. Before ProSights, Howard was doing his PhD in AI/ML at Princeton.","linkedin":"https://linkedin.com/in/howard-zhong"}]</t>
  </si>
  <si>
    <t>https://bookface-images.s3.amazonaws.com/small_logos/7af3ebc3d01b55f1bcbe3d6c0c7f7edbaae31b20.png</t>
  </si>
  <si>
    <t>Promoted.ai</t>
  </si>
  <si>
    <t>Dramatically better search and ads for marketplaces</t>
  </si>
  <si>
    <t>[{"name":"Andrew Yates","title":"Founder","bio":"I built ad marketplaces at Facebook and Pinterest.","linkedin":"https://www.linkedin.com/in/andrew-yates-0217a985/"},{"name":"Dan Hill","title":"Founder","bio":"I've worked on ad systems for ~15 years at Google, Pinterest and Promoted.ai.  I'm passionate about growing team members and revenue.","linkedin":"https://www.linkedin.com/in/dan-hill-1a891820/"}]</t>
  </si>
  <si>
    <t>https://bookface-images.s3.amazonaws.com/small_logos/bd28656a2bd5b2cc24a2d0577bedc594f2e0ffe7.png</t>
  </si>
  <si>
    <t>Proper</t>
  </si>
  <si>
    <t>Reconciliation and financial operations platform</t>
  </si>
  <si>
    <t>[{"name":"Kyle Maloney","title":"Founder","bio":"Co-Founder &amp; CEO of Proper.\nPreviously Sr. Product Manager at Marqeta, Azibo, LendingHome (Kiavi).","linkedin":"https://www.linkedin.com/in/kylemaloney17/"},{"name":"Travis Gibson","title":"Founder","bio":"Previously at Marqeta for almost 7 years where I was an early engineer and helped to build the core payments api then moved on to lead a team focused on money movement. Started Proper with Kyle to build out solutions for the biggest headache in fintech - financial data integrity.","linkedin":"https://www.linkedin.com/in/travisgibson1"}]</t>
  </si>
  <si>
    <t>https://bookface-images.s3.amazonaws.com/small_logos/d5080bb4e9d3cbdac8c35addffff537031b3acee.png</t>
  </si>
  <si>
    <t>PullRequest</t>
  </si>
  <si>
    <t>Code review as a service - combining automation with a network of…</t>
  </si>
  <si>
    <t>https://bookface-images.s3.amazonaws.com/small_logos/0d273feda3c98c77e8a69cbc192e821b1ed15e25.png</t>
  </si>
  <si>
    <t>Pulley</t>
  </si>
  <si>
    <t>Pulley helps startups manage their equity and cap table</t>
  </si>
  <si>
    <t>[{"name":"Yin Wu","title":"Founder","bio":"Yin Wu is a serial entrepreneur who sold her last previous company to Microsoft in 2015. She was one of the youngest principal engineers at Microsoft and built products that applied machine learning to mobile products. Prior to Microsoft, Yin studied computer science at Stanford. She dropped out in 2011 to join Y Combinator for her first startup and is a three time Y Combinator alumnus (S11, S13, W20).","linkedin":"https://www.linkedin.com/in/ywu01/"}]</t>
  </si>
  <si>
    <t>Traditional cap tables have been siloed in spreadsheets and managed by legal teams. Pulley is the cap table and equity management platform purpose-built for founders and employees. We give companies the tools and insights to make smarter, more informed decisions about their equity.</t>
  </si>
  <si>
    <t>Yin</t>
  </si>
  <si>
    <t>https://bookface-images.s3.amazonaws.com/small_logos/fdd0d51a51c1c725d1102b217d8d58c41b1ed138.png</t>
  </si>
  <si>
    <t>Pulpix</t>
  </si>
  <si>
    <t>Binge-watching technology for video platforms.</t>
  </si>
  <si>
    <t>[{"name":"Sabry Otmani","title":"/CEO","bio":"Entrepreneur in science &amp; entertainment. Previously co-founder &amp; CEO of Pulpix, an AI binge-watching technology for video platform. Acquired in 2019 by Adyoulike.","linkedin":"https://www.linkedin.com/in/sabryotmani/"},{"name":"Denis Vilar","title":"/CTO","bio":"","linkedin":"http://fr.linkedin.com/in/denisvilar/"}]</t>
  </si>
  <si>
    <t>Sabry</t>
  </si>
  <si>
    <t>https://bookface-images.s3.amazonaws.com/small_logos/8c132121b7d4ec5ea81300966ada8fd09448ac76.png</t>
  </si>
  <si>
    <t>Pulse</t>
  </si>
  <si>
    <t>We&amp;#39;re crowdsourced Gartner so IT executives can learn directly from…</t>
  </si>
  <si>
    <t>https://bookface-images.s3.amazonaws.com/small_logos/25d86eb03156941574fe6ae1c6503e39212d3030.png</t>
  </si>
  <si>
    <t>The only customer support platform built for B2B.</t>
  </si>
  <si>
    <t>[{"name":"Advith Chelikani","title":"Founder","bio":"usepylon.com","linkedin":"https://www.linkedin.com/in/advith/"},{"name":"Marty Kausas","title":"Founder","bio":"Co-Founder &amp; CEO of Pylon. Started coding in middle school by making websites, fell in love with software through high school robotics, and fell in love with building products through hackathons in college.","linkedin":"https://www.linkedin.com/in/martykausas"},{"name":"Robert Eng","title":"Founder","bio":"","linkedin":"https://www.linkedin.com/in/robert-eng/"}]</t>
  </si>
  <si>
    <t>Advith</t>
  </si>
  <si>
    <t>https://bookface-images.s3.amazonaws.com/small_logos/412a6b3ef532664df77532bc5d7ae3c1233de965.png</t>
  </si>
  <si>
    <t>Quan</t>
  </si>
  <si>
    <t>End-to-end platform to improve wellbeing and team performance.</t>
  </si>
  <si>
    <t>The Hague, Netherlands</t>
  </si>
  <si>
    <t>[{"name":"Arosha Brouwer","title":"Founder","bio":"Ex-strategy consultant and industry executive with 15 years experience in digitization and team performance improvement.","linkedin":"https://www.linkedin.com/in/aroshabrouwer"},{"name":"Lucy Howie","title":"Founder","bio":"Former tech startup CEO in the innovation space, which through to successful exit. Executive at a German unicorn building algorithmic products for consumers + brands.","linkedin":"https://www.linkedin.com/in/lucyhowie/"}]</t>
  </si>
  <si>
    <t>Arosha</t>
  </si>
  <si>
    <t>https://bookface-images.s3.amazonaws.com/small_logos/b3573ed35730b92a5b04a47f7fa6fb74e053a4a4.png</t>
  </si>
  <si>
    <t>Quantstamp</t>
  </si>
  <si>
    <t>Security auditing for Web3</t>
  </si>
  <si>
    <t>https://bookface-images.s3.amazonaws.com/small_logos/2dc377e8276c3eddb8f99613f0b90ed45fea6ee7.png</t>
  </si>
  <si>
    <t>QueryPie</t>
  </si>
  <si>
    <t>Unified Access Control &amp;amp; Audit for Infrastructure</t>
  </si>
  <si>
    <t>[{"name":"Brant Hwang","title":"/CEO","bio":"Brant has over 17 years of experience in the software field, with a Master's in Computer Science from KAIST. He has worked on Enterprise Software, Embedded Systems, Internet Portals, and Commerce Platforms. Before considering entrepreneurship, he was involved in Platform development at Kakao.\n\nBrant believes the core of software is the people it serves and focuses on solving problems simply and efficiently.","linkedin":"https://www.linkedin.com/in/ishwang/"},{"name":"Benjamin Yang","title":"Director of product development","bio":"Benjamin is an open-minded IDE expert who has been developing IDE databases for 15 years. He is now a full-time cloud-based PaaS developer, with a 21-year experience in software development and a bachelor's degree in computer science from Hanshin University.\n\nBen's IDE expertise and data connectivity foundation enable the company to provide top-notch SQL editing, querying, and collaboration tools to QueryPie's development team, enabling seamless data governance and data analytics integration.","linkedin":"https://www.linkedin.com/in/benjamin-yang-4b0609159/"}]</t>
  </si>
  <si>
    <t>Brant</t>
  </si>
  <si>
    <t>https://bookface-images.s3.amazonaws.com/small_logos/734a6a33e019411f619b73219afce2e9d4af8ef7.png</t>
  </si>
  <si>
    <t>QuestDB</t>
  </si>
  <si>
    <t>The fastest open source time series database</t>
  </si>
  <si>
    <t>[{"name":"Nicolas Hourcard","title":"Founder","bio":"Co-founder/CEO at QuestDB.","linkedin":"https://www.linkedin.com/in/nicolas-hourcard-cfa-b7349b37/"},{"name":"Vlad Ilyushchenko","title":"Founder","bio":"Founder, CTO, QuestDB\n\n1997 - 2019 Software Engineer, Electronic Trading","linkedin":"https://www.linkedin.com/in/ilyushchenko/"},{"name":"Tancrede Collard","title":"Founder","bio":"Co-founder and head of product at QuestDB. Before that, I was running algorithmic trading desks at banks and cryptocurrency firms.","linkedin":"https://www.linkedin.com/in/tancrede-collard-35228926/"}]</t>
  </si>
  <si>
    <t>QuestDB Bring Your Own Cloud is now in Beta. We’ll announce GA in the coming months.</t>
  </si>
  <si>
    <t>Nicolas</t>
  </si>
  <si>
    <t>https://bookface-images.s3.amazonaws.com/small_logos/3aef5c655cdc851ccad387554c204466a87669e7.png</t>
  </si>
  <si>
    <t>Quickchat AI</t>
  </si>
  <si>
    <t>Conversation Design platform to build Al Assistants tailored to your…</t>
  </si>
  <si>
    <t>[{"name":"Piotr Grudzien","title":"/CEO","bio":"Co-Founder &amp; CTO at Quickchat AI. Previously: Applied Scientist at Microsoft, Data Scientist at Featurespace.","linkedin":"https://www.linkedin.com/in/piotrgrudzien"}]</t>
  </si>
  <si>
    <t>Piotr</t>
  </si>
  <si>
    <t>https://bookface-images.s3.amazonaws.com/small_logos/447c26098f201e96b72e35ef0e8866fe4310f08a.png</t>
  </si>
  <si>
    <t>Qulture.Rocks</t>
  </si>
  <si>
    <t>The people, management, and culture operating system for your startup.</t>
  </si>
  <si>
    <t>[{"name":"Francisco Homem de Mello","title":"/CEO","bio":"Founder of Qulture.Rocks (W18). Before Qulture.Rocks, worked for 10 years in the investment banking and investment management industries. Did a brief stint as product manager at Nubank.\n\nI'm an active angel investor, having done a bit over 20 investments since selling my company in 2022 (I'm still earning out until 2026).","linkedin":"https://br.linkedin.com/in/franciscoshmello"}]</t>
  </si>
  <si>
    <t>Francisco</t>
  </si>
  <si>
    <t>https://bookface-images.s3.amazonaws.com/small_logos/1b3afc7c2c63e523dc5a45e2f08fde4ab63901d0.png</t>
  </si>
  <si>
    <t>QuotaBook</t>
  </si>
  <si>
    <t>Equity management platform for startups and investors.</t>
  </si>
  <si>
    <t>South Korea</t>
  </si>
  <si>
    <t>[{"name":"Andy Choi","title":"Founder","bio":"Andy is the CEO and co-founder of QuotaBook. Previously, he was a software engineer in Silicon Valley and a VC in Korea.","linkedin":"https://www.linkedin.com/in/andy-choi"}]</t>
  </si>
  <si>
    <t>https://bookface-images.s3.amazonaws.com/small_logos/adfbf8022b6e8fb22a4da40b767f1def4bb6cf2f.png</t>
  </si>
  <si>
    <t>RADAR</t>
  </si>
  <si>
    <t>RADAR is building technology to completely transform the in-store…</t>
  </si>
  <si>
    <t>ROSS Intelligence</t>
  </si>
  <si>
    <t>ROSS is an AI-powered legal research platform that can read and…</t>
  </si>
  <si>
    <t>https://bookface-images.s3.amazonaws.com/small_logos/e3214e5b63f02d78b040b5d2b3b07eb77155020f.png</t>
  </si>
  <si>
    <t>Rainforest</t>
  </si>
  <si>
    <t>no-code end-to-end testing that integrates with any CI/CD pipeline</t>
  </si>
  <si>
    <t>https://bookface-images.s3.amazonaws.com/small_logos/49bc9e493d029a722d06cf9c8ebef18ffa6edc92.png</t>
  </si>
  <si>
    <t>Rally UXR</t>
  </si>
  <si>
    <t>User Research CRM</t>
  </si>
  <si>
    <t>[{"name":"Oren Friedman","title":"Founder","bio":"Co-Founder &amp; CEO @ Rally","linkedin":"https://www.linkedin.com/in/oren-friedman/"},{"name":"Alec Robins","title":"Founder","bio":"Alec is the co-founder and CTO of Rally. Before starting Rally, Alec was a Tech Lead at both Facebook and HubSpot. Alec graduated with a degree in Computer Science from Vanderbilt University and currently lives in Nashville.","linkedin":"https://www.linkedin.com/in/alecrobins/"}]</t>
  </si>
  <si>
    <t>Oren</t>
  </si>
  <si>
    <t>https://bookface-images.s3.amazonaws.com/small_logos/8d1bec746269f46935a108658fb17cddc54ed760.png</t>
  </si>
  <si>
    <t>Ramani</t>
  </si>
  <si>
    <t>We&amp;#39;re building financial infrastructure for Africa&amp;#39;s supply chains</t>
  </si>
  <si>
    <t>Dar es Salaam, Tanzania</t>
  </si>
  <si>
    <t>[{"name":"Iain Usiri","title":"Founder","bio":"Hi there!\n\nI'm Iain (said \"ian\"), a W20 YC founder :)\n\nI’m deeply passionate about building teams and products that substantively improve people’s lives and today this means empowering distributors to effectively monitor and operate their teams.\n\nI like to get to know new people and be helpful where I can. Please feel free to shoot me a message!\n\nIain","linkedin":"https://www.linkedin.com/in/iain-usiri-78271673/"},{"name":"Calvin Usiri","title":"Founder","bio":"Calvin is a passionate entrepreneur with a love for technology.\nHe has experience building enterprise software at Capgemini North America.\nHe has a double major in Economics and Computer science from Trinity university.","linkedin":"https://www.linkedin.com/in/calvin-usiri-b86701a7/"}]</t>
  </si>
  <si>
    <t>Iain</t>
  </si>
  <si>
    <t>https://bookface-images.s3.amazonaws.com/small_logos/22f0a7cd19d2131e98d125831b7f88d7f3314bbe.png</t>
  </si>
  <si>
    <t>RankScience</t>
  </si>
  <si>
    <t>Automated SEO for Startups</t>
  </si>
  <si>
    <t>[{"name":"Ryan Bednar","title":"/CEO","bio":"Hey 👋 I'm Ryan — a founder, programmer, and investor with Orange Collective.\n\nAlong my startup journey, I became an SEO expert and have used it to help grow companies like Calm, Zapier, Rippling, and Shutterstock.\n\nI'm currently CEO of RankScience (W17), which automates SEO for startups, was Co-founder of Tutorspree (W11), and was the first employee at SeatGeek. (valued at $1B+)","linkedin":"https://www.linkedin.com/in/ryan-bednar-9520853"}]</t>
  </si>
  <si>
    <t>Ryan</t>
  </si>
  <si>
    <t>https://bookface-images.s3.amazonaws.com/small_logos/b0e1a686e82d7baf1431c13fde889f55c35832d4.png</t>
  </si>
  <si>
    <t>Raven Tech</t>
  </si>
  <si>
    <t>Our vision is to build the next generation of iOS or Android, to…</t>
  </si>
  <si>
    <t>https://bookface-images.s3.amazonaws.com/small_logos/478b0d63f1d899f9ce8c0bb8ba1bb2a8a7a42392.png</t>
  </si>
  <si>
    <t>Raycast</t>
  </si>
  <si>
    <t>Speed up non-coding tasks for engineering teams</t>
  </si>
  <si>
    <t>[{"name":"Thomas Mann","title":"Founder","bio":"I like to make things for people who make things. I'm currently crafting Raycast. Previously, I built products as a software engineer at Facebook, Audi, ProSieben and the Fraunhofer Society.","linkedin":"https://www.linkedin.com/in/thomas-paul-mann-5183101a4/"},{"name":"Petr Nikolaev","title":"Founder","bio":"","linkedin":"https://www.linkedin.com/in/petr-nikolaev-9487067a"}]</t>
  </si>
  <si>
    <t>Thomas</t>
  </si>
  <si>
    <t>https://bookface-images.s3.amazonaws.com/small_logos/463c3d193688528df24476e8cb9f38c5c795dadf.png</t>
  </si>
  <si>
    <t>ReadMe</t>
  </si>
  <si>
    <t>Beautiful, personalized, interactive developer hubs</t>
  </si>
  <si>
    <t>https://bookface-images.s3.amazonaws.com/small_logos/5a8bd3afbbc73a7d4c44e873cf178a675ddaa19d.png</t>
  </si>
  <si>
    <t>Ready</t>
  </si>
  <si>
    <t>Collaborative platform for optimizing regulated utilities such as…</t>
  </si>
  <si>
    <t>[{"name":"Jase Wilson","title":"Founder","bio":"Serial founder passionate about building with talented engineers. Working to connect people to the digital services they need to make the most of life… remote work, telehealth, distance learning and more. Studied cities &amp; networks @ MIT","linkedin":"http://linkedin.com/in/wilsonjase"},{"name":"Mike Faloon","title":"Founder","bio":"Capital markets veteran with experience running hedge funds and large asset managers. Prior to start-up life, Mike oversaw an 80 person technology team with a $25mm annual tech budget as the COO at a $150 billion asset manager.","linkedin":"https://www.linkedin.com/in/mike-faloon-a6627a3/"}]</t>
  </si>
  <si>
    <t>Jase</t>
  </si>
  <si>
    <t>https://bookface-images.s3.amazonaws.com/small_logos/b439037aa1eff5c68f155380d209a8b299776afc.png</t>
  </si>
  <si>
    <t>Reality Defender</t>
  </si>
  <si>
    <t>Enterprise Deepfake Detection</t>
  </si>
  <si>
    <t>[{"name":"Ben Colman","title":"Founder","bio":"15+ years building data-driven teams obsessed with product + privacy\n\nFocus Areas: Privacy, Cybersecurity, AI/ML, Blockchain, Fintech, Govtech\n\nAlways excited to support fellow founders!","linkedin":"https://www.linkedin.com/in/benpcolman/"},{"name":"Gaurav Bharaj","title":"Co-","bio":"AI for Good","linkedin":"https://www.linkedin.com/in/gauravbharaj"},{"name":"Ali Shahriyari","title":"Founder","bio":"Over 25 years of experience in the software development industry performing various jobs and responsibilities, from developer pulling all-nighters getting a prototype working to VP managing fortune 500 clients.  Currently CTO/Co-Founder of Reality Defender,  protecting the world against the misuse of AI.","linkedin":"https://www.linkedin.com/in/alishahriyari/"}]</t>
  </si>
  <si>
    <t>https://bookface-images.s3.amazonaws.com/small_logos/5de4d57756c747e087b70e720cbfdb09672b0cc7.png</t>
  </si>
  <si>
    <t>Realm</t>
  </si>
  <si>
    <t>Better data structures = no DB.</t>
  </si>
  <si>
    <t>[{"name":"Bjarne Christiansen","title":"Founder","bio":"Experienced founder and CEO known for driving growth through technology and creative problem-solving. I have successfully built and led startups like Cohera Inc and Realm, delivering cutting-edge solutions in industrial condition monitoring and mobile database technology. With expertise in software development, strategic planning, and team leadership, I continue to make a significant impact in the industry as a Founder in the byFounders Collective and strategic advisor at SafeDeploy.","linkedin":"https://www.linkedin.com/in/bjchrist"},{"name":"Alexander Stigsen","title":"/CEO","bio":"","linkedin":"https://www.linkedin.com/in/astigsen/"}]</t>
  </si>
  <si>
    <t>Bjarne</t>
  </si>
  <si>
    <t>https://bookface-images.s3.amazonaws.com/small_logos/e7c0efa8c2a26fb6420ba78e65ca6bed2a565d94.png</t>
  </si>
  <si>
    <t>Recall.ai</t>
  </si>
  <si>
    <t>The universal API for meeting video, audio and metadata</t>
  </si>
  <si>
    <t>[{"name":"David Gu","title":"Founder","bio":"Co-founder and CEO of Recall.ai","linkedin":"https://www.linkedin.com/in/david-gu/"},{"name":"Amanda Zhu","title":"Founder","bio":"Co-founder and COO at Recall.ai","linkedin":"https://www.linkedin.com/in/zhu-amanda/"}]</t>
  </si>
  <si>
    <t>Many industries have strict compliance requirements that limit the use of bots, and sometimes bots may make people uncomfortable.</t>
  </si>
  <si>
    <t>https://bookface-images.s3.amazonaws.com/small_logos/2d6872d13351da06ebec7a2375682212667cb787.png</t>
  </si>
  <si>
    <t>RecordBook</t>
  </si>
  <si>
    <t>Airtable for 400 Million SMBs Globally</t>
  </si>
  <si>
    <t>[{"name":"Abhishek Choudhary","title":"Founder","bio":"Building for SMBs in emerging markets, Passionate about SaaS &amp; Marketplaces. From IIT Kanpur.","linkedin":"https://www.linkedin.com/in/abhikuiitk/"}]</t>
  </si>
  <si>
    <t>Airtable for Indian SMBs</t>
  </si>
  <si>
    <t>https://bookface-images.s3.amazonaws.com/small_logos/3875d1d979cbc4f3d637b7d4c36031d0e7abc4ec.png</t>
  </si>
  <si>
    <t>Recurrency</t>
  </si>
  <si>
    <t>Automated ERP for distributors.</t>
  </si>
  <si>
    <t>[{"name":"Sam Oshay","title":"Founder","bio":"I'm building Recurrency!","linkedin":"https://www.linkedin.com/in/soshay/"}]</t>
  </si>
  <si>
    <t>Sam</t>
  </si>
  <si>
    <t>https://bookface-images.s3.amazonaws.com/small_logos/5fe4ce1410d8f06bc2d1f59d61a7c96d9c9fccdd.png</t>
  </si>
  <si>
    <t>RedBrick AI</t>
  </si>
  <si>
    <t>Rapid medical data annotation</t>
  </si>
  <si>
    <t>Claymont, DE</t>
  </si>
  <si>
    <t>[{"name":"Shivam Sharma","title":"Founder","bio":"Co-founder and CEO of RedBrick AI with a background in Aerospace Engineering and Computer Science. After building tooling to help accelerate creation of high quality datasets for research purposes, Shivam &amp; Derek co-founded RedBrick AI to address the challenge of creating high quality annotated medical datasets. \n\nPreviously worked on Hyperloop technology, conducted research in collision avoidance deep neural networks and novel propulsion techniques for small satellites.","linkedin":"https://www.linkedin.com/in/shivam-sharma-38109210a/"},{"name":"Derek Lukacs","title":"Founder","bio":"Derek Lukacs is the cofounder and CTO of RedBrick AI and currently spends his time leading the team on improving the RedBrick AI product capabilities and user experience.\n\nHe holds a Bachelors and Masters in Aerospace Engineering from the University of Michigan where he cofounded the SpaceX Hyperloop pod competition team alongside current Cofounder Shivam Sharma.","linkedin":"https://www.linkedin.com/in/derek-lukacs/"}]</t>
  </si>
  <si>
    <t>Shivam</t>
  </si>
  <si>
    <t>https://bookface-images.s3.amazonaws.com/small_logos/10e60623a6f9ead582ef32a7eb60d830f6544cbe.png</t>
  </si>
  <si>
    <t>Regology</t>
  </si>
  <si>
    <t>Regulatory compliance powered by AI</t>
  </si>
  <si>
    <t>[{"name":"Mukund Goenka","title":"/CEO","bio":"Compliance, banking and enterprise software experience prior to Regology.","linkedin":"http://www.linkedin.com/in/mukund-goenka"},{"name":"Pavan Bayyapu","title":"/CTO","bio":"","linkedin":"https://www.linkedin.com/in/pavanbayyapu"}]</t>
  </si>
  <si>
    <t>Mukund</t>
  </si>
  <si>
    <t>https://bookface-images.s3.amazonaws.com/small_logos/2d64f3c4f837e97a80dc51e0a1c6f4bc76b3626e.png</t>
  </si>
  <si>
    <t>Rehook.ai</t>
  </si>
  <si>
    <t>Run, Track and manage any and all user incentive campaigns.</t>
  </si>
  <si>
    <t>[{"name":"Akhil Suhag","title":"Founder","bio":"Akhil Suhag is the co-founder and CEO of Rehook.ai (Previously Shopr.tv). Akhil is an alumnus of the Indian School of Business, Hyderabad, and a second time entrepreneur, who previously built and scaled one of India's largest fantasy sports platforms. \n\nAn avid sports nerd, Akhil likes watching and playing several sports. Akhil sets the company strategy and direction, and drives the vision for Rehook.","linkedin":"https://www.linkedin.com/in/akhilsuhag/"},{"name":"Mukul Anand","title":"Founder","bio":"Mukul Anand is the Co-founder and CPO of Rehook.ai; before this, he was the Head of Product for one of the largest fantasy sports gaming app FanFight- acquired last year, where he met his current co-founders. He is a product guy at heart, passionate about building products that customers love, and believes in a customer-first approach. He is an IIT Roorkee alumnus who loves writing blogs about start-ups and product management in his leisure time.","linkedin":"https://www.linkedin.com/in/myselfmukul/"},{"name":"Tushar Dhara","title":"Founder","bio":"Tushar Dhara is the co-founder and CTO of rehook.ai, Tushar's first tryst with entrepreneurship was a web development set-up which he started after graduating in Computer Engineering. Before rehook.ai, he was the Vice President, Technology at a fantasy sports start-up, which he scaled to support 8 million registered users. His architecture earned a spot in the AWS showcase (This is My Architecture) and was the subject of an AWS Case Study.","linkedin":"https://www.linkedin.com/in/tushardhara/"},{"name":"Akshay Suhag","title":"Founder","bio":"Akshay is the Co-founder and COO of rehook.ai. Previously he built and scaled FanFight, one of India's largest Fantasy Sports platforms to 8 million users and 7 million in yearly revenue before being acquired.  Originally from New Delhi, India, he graduated from National Institute of Technology, Allahabad, India where he received a Bachelor of Technology in Information Technology. He is an avid sports fan, especially Cricket, Football and Formula 1.","linkedin":"https://www.linkedin.com/in/akshay-suhag-4400a5b0/"}]</t>
  </si>
  <si>
    <t>Akhil</t>
  </si>
  <si>
    <t>https://bookface-images.s3.amazonaws.com/small_logos/53da24c36b479dbe73257b4e0460bbc902e023bf.png</t>
  </si>
  <si>
    <t>Environments as a service</t>
  </si>
  <si>
    <t>📣 In every organization, a handful of exceptional DevOps 👨‍💻 engineers become the oracles of knowledge and the entire team relies heavily on their expertise. However, reliance on a few go-to experts inevitably becomes a bottleneck on the team's speed and ability to ship. Don’t you wish you had your expert DevOps engineer on a speed-dial, without actually bugging them?</t>
  </si>
  <si>
    <t>https://bookface-images.s3.amazonaws.com/small_logos/0e6c64767a125ee87298d334abf30db7dd217302.png</t>
  </si>
  <si>
    <t>RenderNet</t>
  </si>
  <si>
    <t>RenderNet creates realistic AI images of virtual human characters.</t>
  </si>
  <si>
    <t>[{"name":"Bhagaban Behera","title":"Founder","bio":"Bhagaban loves to take things from zero to one and has scaled multiple apps to over a million users. \n\nBhagaban is a graduate of IIT Kharagpur and has worked as an investment banker at Barclays Capital before venturing into entrepreneurship.","linkedin":"https://www.linkedin.com/in/bhagaban/"},{"name":"Nakul Kelkar","title":"Founder","bio":"Obsesses over choices and decisions which lead to great products.\nex- strategy consultant and graduate from IIM Ahmedabad.","linkedin":"https://www.linkedin.com/in/nakulkelkar/"},{"name":"Sriharsha Setty","title":"Founder","bio":"Hardcore techie with a funny bone. Scaled 3 apps to more than a million users. Worked for the High Performance Computing and eXtreme Clusters team. Love to play chess when I am not coding.  Love exploring music in all forms: Indian Classical, 60s, 70s 80s rock-n-roll, African Blues.","linkedin":"https://www.linkedin.com/in/sriharshasetty/"}]</t>
  </si>
  <si>
    <t>Whether you’re a marketer, educator, artist, or content creator, VideoAnyone allows you to transform AI characters and still images into captivating videos effortlessly.</t>
  </si>
  <si>
    <t>Bhagaban</t>
  </si>
  <si>
    <t>https://bookface-images.s3.amazonaws.com/small_logos/d0982d6d00a58ecb3bc95af145fb87d497262073.png</t>
  </si>
  <si>
    <t>Replenish</t>
  </si>
  <si>
    <t>Keurig machine for smoothies.</t>
  </si>
  <si>
    <t>[{"name":"Elise Polezel","title":"/COO","bio":"Formerly Co-Founder and COO of Replenish (YC S14). Currently CEO of HigherMe (YC W15)","linkedin":"https://www.linkedin.com/in/elisepolezel/"},{"name":"Matthew Udomphol","title":"/CEO","bio":"CS @ MIT undergrad --&gt; BCG --&gt; YC co-founder --&gt; now looking to acquire a small old school business to grow.","linkedin":"https://www.linkedin.com/in/udomphol/"}]</t>
  </si>
  <si>
    <t>Elise</t>
  </si>
  <si>
    <t>https://bookface-images.s3.amazonaws.com/small_logos/ab42675041aef132402c992806f4c6055f9cad60.png</t>
  </si>
  <si>
    <t>Run machine learning models in the cloud</t>
  </si>
  <si>
    <t>[{"name":"Ben Firshman","title":"Founder","bio":"Product at Docker, creator of Docker Compose. 4x founder.","linkedin":"https://www.linkedin.com/in/bfirsh/"},{"name":"Andreas Jansson","title":"Founder","bio":"Built research tools &amp; infrastructure at Spotify. PhD in ML for music.","linkedin":"https://www.linkedin.com/in/janssonandreas"}]</t>
  </si>
  <si>
    <t>https://bookface-images.s3.amazonaws.com/small_logos/256be79b4f9ac851425e3bf2a60af5ae33ca72ba.png</t>
  </si>
  <si>
    <t>Replo</t>
  </si>
  <si>
    <t>Replo helps companies sell more on the internet</t>
  </si>
  <si>
    <t>[{"name":"Yuxin Zhu","title":"Founder","bio":"Co-founder of Replo (YC S21). Previously EM @ Uber, UC Berkeley","linkedin":"https://www.linkedin.com/in/yuxinzhu/"},{"name":"Noah Gilmore","title":"Founder","bio":"Co-founder of Replo (YC S21). Previously engineering at PlanGrid, Yelp, UC Berkeley","linkedin":"https://www.linkedin.com/in/noahgilmore/"}]</t>
  </si>
  <si>
    <t>Yuxin</t>
  </si>
  <si>
    <t>https://bookface-images.s3.amazonaws.com/small_logos/6d35b8ea019eb95e63016971bc2bcc28e3bffcaa.png</t>
  </si>
  <si>
    <t>RescueTime</t>
  </si>
  <si>
    <t>Take Back Control of your Time</t>
  </si>
  <si>
    <t>[{"name":"Brian Fioca","title":"Founder","bio":"I've been a product engineer for over 20 years, working across all platforms: web, mobile, and desktop; and across many languages, including: Java, PHP, Ruby, C++, Swift, Javascript, and more. \n\nI've worked with more than 10 startups and founded 5, including RescueTime, which went through Y Combinator in 2008. I also helped start Madrona Venture Labs, the incubation arm of investment firm Madrona Venture Group.","linkedin":"https://www.linkedin.com/in/brianfioca/"}]</t>
  </si>
  <si>
    <t>https://bookface-images.s3.amazonaws.com/small_logos/8af96b82dfc6a218480e3c6ad5ac4747e3dec0b1.png</t>
  </si>
  <si>
    <t>Resquared</t>
  </si>
  <si>
    <t>Marketing automation platform for selling to local businesses.</t>
  </si>
  <si>
    <t>[{"name":"Griffin Morris","title":"Founder","bio":"B2B SaaS focused entrepreneur.","linkedin":"https://linkedin.com/in/jgriffinmorris"},{"name":"Tyler Carlson","title":"Founder","bio":"","linkedin":"https://www.linkedin.com/in/tylerwcarlson/"}]</t>
  </si>
  <si>
    <t>Griffin</t>
  </si>
  <si>
    <t>https://bookface-images.s3.amazonaws.com/small_logos/b5be9e39b7c1acccc4e73c9f5973b901bd2ae7a4.png</t>
  </si>
  <si>
    <t>RethinkDB</t>
  </si>
  <si>
    <t>The open source database for the realtime web.</t>
  </si>
  <si>
    <t>[{"name":"Michael Glukhovsky","title":"Founder","bio":"Ex-founder of RethinkDB (S09), currently product lead for Stripe's API platform and developer product teams.","linkedin":"https://www.linkedin.com/in/mglukhovsky"},{"name":"Slava Akhmechet","title":"Founder","bio":"","linkedin":"https://www.linkedin.com/in/coffeemug/"}]</t>
  </si>
  <si>
    <t>A simple API for managing in-app subscriptions</t>
  </si>
  <si>
    <t>[{"name":"Miguel Carranza","title":"Founder","bio":"I'm a software engineer from Seville, Spain. I got my first computer at 8 years old and fell in love with technology. I moved to Silicon Valley to work at a startup called Elevate, which was awarded Apple's App of the Year in 2014. At Elevate, I met my co-founder Jacob and we learned first hand how challenging it is to implement in-app subscriptions. We decided to start RevenueCat, to make sure developers can make a living doing what they love, without having to focus on boring infrastructure.","linkedin":"https://www.linkedin.com/in/miguelcarranza/"},{"name":"Jacob Eiting","title":"Founder","bio":"I was an iOS engineer who got really mad at StoreKit one day and decided to do something about it.","linkedin":"https://www.linkedin.com/in/jeiting/"}]</t>
  </si>
  <si>
    <t>Miguel and Jacob worked together on an app called Elevate, that happened to be selected as Apple’s app of the year in 2014, 2 months after they converted it to a subscription app. What followed was a comedy of errors as they realized that scaling a business on Apple’s subscription system was way more difficult than it should be. After building a ton of bespoke in-house infrastructure to extract even the simplest data, they decided to see if building this as a service would work.</t>
  </si>
  <si>
    <t>https://bookface-images.s3.amazonaws.com/small_logos/f8dc20fcc951e007754d6896f9f4c42ee9502a51.png</t>
  </si>
  <si>
    <t>Revl</t>
  </si>
  <si>
    <t>AI edited video souvenirs as a service</t>
  </si>
  <si>
    <t>[{"name":"Eric Sanchez","title":"/CEO","bio":"I am the co-founder and founding CEO of Revl, a startup that is backed by Y Combinator and other prominent investors. Next I’m working on launching my new AI stealth startup. \n\nI have over 15 years of experience in business development, product development, and engineering. I currently lead a team of talented and passionate professionals who are building innovative AI solutions for B2B customers.","linkedin":"https://linkedin.com/in/ericsanchezcurti"},{"name":"Bruce Pla","title":"/Chief Design Officer","bio":"","linkedin":"https://www.linkedin.com/messaging/thread/6027669874958938112"},{"name":"Nelson Vazquez","title":"/CTO","bio":"","linkedin":"https://www.linkedin.com/pub/nelson-vazquez/a8/36/725"}]</t>
  </si>
  <si>
    <t>https://bookface-images.s3.amazonaws.com/small_logos/22c87d9ebe7f3211cc7fc4e6b1c3691c72354478.png</t>
  </si>
  <si>
    <t>Rickshaw</t>
  </si>
  <si>
    <t>Same day local delivery, via API. Currently operating in SF.</t>
  </si>
  <si>
    <t>[{"name":"Gautam Jayaraman","title":"Founder","bio":"I co-founded Onsite Pro (S21, formerly known as Greenwork), which is at the intersection of climate and construction.\n\nIn the recent past I've worked on marketplaces with SMBs and local workers (DoorDash, Rickshaw), and experimented with how the marketplace evolves when software/robotics are added in.\n\nI also co-founded Rickshaw (W14) and Jamglue (S06).\n\nFun fact: since 2006, I've worked at five YC-backed companies, and zero non-YC-backed companies.","linkedin":"https://www.linkedin.com/in/gautamj/"},{"name":"Divya Bhat","title":"Founder","bio":"","linkedin":"https://www.linkedin.com/in/divyab/"}]</t>
  </si>
  <si>
    <t>Gautam</t>
  </si>
  <si>
    <t>Rinsed</t>
  </si>
  <si>
    <t>Software to run car washes moving to a monthly subscription model</t>
  </si>
  <si>
    <t>[{"name":"Austin Esecson","title":"Founder","bio":"Founder / CEO of Rinsed.","linkedin":"https://www.linkedin.com/in/austinesecson/"},{"name":"Nic Hippenmeyer","title":"Founder","bio":"Co-Founder &amp; CTO at Rinsed","linkedin":"https://www.linkedin.com/in/nicholas-hippenmeyer-39427044/"},{"name":"Sam Logan","title":"Founder","bio":"Loves making customers' lives better.","linkedin":"https://www.linkedin.com/in/sam-j-logan/"}]</t>
  </si>
  <si>
    <t>https://bookface-images.s3.amazonaws.com/small_logos/e04c655a1fa7eded2a929a6692b1417c648b4a2f.png</t>
  </si>
  <si>
    <t>Riot</t>
  </si>
  <si>
    <t>Cybersecurity awareness for fast growing companies</t>
  </si>
  <si>
    <t>[{"name":"Benjamin Netter","title":"Founder","bio":"Highly curious coder, I've been creating products for the past 15 years.\n\n1. At 19, I created a Facebook app that grew from 0 to 500,000 users in a week. That's how my first web server died.\n2. At 20, I won Foursquare Global Hackathon, creating an automatic trip planner.\n3. At 25, I co-founded October, financing European SMBs online. Now 110 employees, 5 offices, raised $60m.\n4. At 30, I founded Riot, a cybersecurity training SaaS. Protecting your company by protecting your employees.","linkedin":"https://www.linkedin.com/in/b-netter/"}]</t>
  </si>
  <si>
    <t>https://bookface-images.s3.amazonaws.com/small_logos/235fa7abe99ce1450fee55e5504bf0fc6c3dbefd.png</t>
  </si>
  <si>
    <t>Roboflow</t>
  </si>
  <si>
    <t>🖼️ Give your software the sense of sight.</t>
  </si>
  <si>
    <t>[{"name":"Joseph Nelson","title":"Founder","bio":"Cofounder of Roboflow, enabling developers to make the world programmable with open source and hosted computer vision tools for dataset, models, and deployments.\n\nPreviously, cofounded/sold Represently (\"Zendesk for Congress\"), taught at General Assembly, and worked at Facebook.","linkedin":"https://www.linkedin.com/in/josephofiowa/"},{"name":"Brad Dwyer","title":"Founder","bio":"Co-founder of Roboflow; putting computer vision into the toolbelt of every developer.\n\nPreviously founded and bootstrapped Hatchlings, a social gaming company, to 10 million+ users and 7 figures in revenue.\n\nI love building things. I've been putting stuff online for basically as long as I can remember. In high school ran a web development company that did work for companies including Charles Schwab, Sony BMG, and PAX TV (on the Internet, no one knows you're still in high school).","linkedin":"https://www.linkedin.com/in/brad-dwyer-b6b4136"}]</t>
  </si>
  <si>
    <t>The core idea behind Roboflow is that engineers need tools to build and deploy custom computer vision solutions to production. Each computer vision use case is unique, team competencies vary, and level of customization required is different. While there are many independent variables, all computer vision solutions have a common pipeline: collect data, manage data, label data, process data, train a model, deploy the model, and display results. Roboflow provides tools for each step in that process and integrates with your existing solutions so you can tailor your pipeline to meet your needs. We take an extensible and interoperable approach to tools which lets you do things like easily implement a new open source framework, programming language, or technology into your pipeline, whenever you need it. No software or hardware lock-in, just infrastructure, building blocks, and tools to increase productivity.With a few images, you can train a working computer vision model in an afternoon. For example, bring data into Roboflow from anywhere via API, label images with our cloud-hosted image annotation tool, kickoff a hosted model training (or export to your favorite cloud GPU), and deploy the model via a hosted API endpoint. This process can be executed in a code-centric way, in the UI, or any mix of the two.</t>
  </si>
  <si>
    <t>Joseph</t>
  </si>
  <si>
    <t>https://bookface-images.s3.amazonaws.com/small_logos/ba0036069bd338a4c6188cb137722d8f584d0016.png</t>
  </si>
  <si>
    <t>Rocketrip</t>
  </si>
  <si>
    <t>Rocketrip helps companies save money on travel expenses by aligning…</t>
  </si>
  <si>
    <t>[{"name":"Daniel Ruch","title":"/CEO","bio":"Raised $32M in capital from Canaan Partners, Bessemer, GV, sold Rocketrip 9/20. \n\nNow a Partner at an early stage NY fund investing in great companies leveraging all the things I learned and mistakes I made to help entrepreneurs do amazing work.","linkedin":"https://www.linkedin.com/in/danruch/"}]</t>
  </si>
  <si>
    <t>https://bookface-images.s3.amazonaws.com/small_logos/68f0dc07afa30d8d9567bca45465b77295c80321.png</t>
  </si>
  <si>
    <t>Rollstack</t>
  </si>
  <si>
    <t>Automatically create and update data-driven slide decks and documents</t>
  </si>
  <si>
    <t>[{"name":"Nabil Jallouli","title":"Founder","bio":"Building Rollstack to make professionals more efficient at work! 🦾\n\nEngineer at 💚 previously led data, strategy, and revenue operations at Pinterest, Deel, and Groupon. Passion for execution, people, data, and growth.","linkedin":"https://www.linkedin.com/in/nabiljallouli/"},{"name":"Saad Bahir","title":"&amp; CTO","bio":"Hello, I'm Saad. With around ten years of experience in both software and hardware engineering, my career began in machine learning research. I later shifted focus to software engineering and DevOps, successfully scaling an AI-driven Kubernetes infrastructure to 400 clusters. My background also includes work in high-frequency trading and developing technology for automated checkout stores. Currently, I am dedicated to automating data extraction and processing in documents at Rollstack.","linkedin":"https://www.linkedin.com/in/saad-bahir-6919355a/"},{"name":"Younes Jallouli","title":"&amp; CPO","bio":"Building Rollstack to make professionals more efficient at work!🦾  \nPreviously held engineering &amp; product positions at Tesla &amp; SlimPay.","linkedin":"https://www.linkedin.com/in/younesjallouli/"}]</t>
  </si>
  <si>
    <t>Rollstack allows teams to automatically create and update their presentations using data sources such as Tableau, Looker, PowerBI, or Salesforce. We eliminate manual data entry, data stitching from multiple sources, copying &amp;amp; pasting, and long formatting time, saving teams time and allowing them to build what they could have never imagined!</t>
  </si>
  <si>
    <t>Nabil</t>
  </si>
  <si>
    <t>https://bookface-images.s3.amazonaws.com/small_logos/fd99f12f76a266177e14e70e980faa586211bdce.png</t>
  </si>
  <si>
    <t>Rootly</t>
  </si>
  <si>
    <t>Modern On-Call and Incident Management Platform</t>
  </si>
  <si>
    <t>[{"name":"Quentin Rousseau","title":"Founder","bio":"- Early Site Reliability Engineer (SRE) at Instacart and built resilient systems now handling millions of orders.\n- 2x Co-Founder at Rootly (YC S21) and PopSQL (YC S19).\n- Originally from France, loves rock climbing, and unsurprisingly great wine!","linkedin":"https://www.linkedin.com/in/quentinrousseau/"},{"name":"JJ Tang","title":"Founder","bio":"Building Rootly - a modern on-call and incident management platform used by top YC companies like Dropbox, Lattice, Webflow, Faire, but also Figma, LinkedIn, and 100s more.\n\nOther than making Rootly my personality, I love cycling and my adorable dog, Nova.","linkedin":"https://www.linkedin.com/in/jjrichardtang/"}]</t>
  </si>
  <si>
    <t>—</t>
  </si>
  <si>
    <t>Quentin</t>
  </si>
  <si>
    <t>https://bookface-images.s3.amazonaws.com/small_logos/6a2564e596519346980eeb0db1c1545af7126b49.png</t>
  </si>
  <si>
    <t>Routine</t>
  </si>
  <si>
    <t>Most advanced calendar for busy professionals, with tasks &amp;amp; notes</t>
  </si>
  <si>
    <t>[{"name":"Julien Quintard","title":"Founder","bio":"Former researcher/lecturer (University of Cambridge), investor (business angel &amp; Techstars) and entrepreneur (Infinit, Routine).","linkedin":"https://www.linkedin.com/in/julienquintard/"},{"name":"Quentin Hocquet","title":"Founder","bio":"","linkedin":"https://www.linkedin.com/in/quentin-hocquet-27a3224/"}]</t>
  </si>
  <si>
    <t>Busy professionals waste a lot of time juggling between many apps to manage their work: tasks, calendars, notes, contacts, projects etc.</t>
  </si>
  <si>
    <t>Julien</t>
  </si>
  <si>
    <t>https://bookface-images.s3.amazonaws.com/small_logos/a83287c586a112549fd07af3737d8b67becbeeaf.png</t>
  </si>
  <si>
    <t>Runa</t>
  </si>
  <si>
    <t>Automating payroll for Latin America.</t>
  </si>
  <si>
    <t>https://bookface-images.s3.amazonaws.com/small_logos/9198e32a9228cae0e505965e16a622656e9c5d27.png</t>
  </si>
  <si>
    <t>Easier and more reliable mobile app releases for teams.</t>
  </si>
  <si>
    <t>[{"name":"Gabriel Savit","title":"Founder","bio":"Co-founder and CEO at Runway (runway.team)","linkedin":"https://linkedin.com/in/gsavit"},{"name":"Matt Varghese","title":"Founder","bio":"UI/UX Lead @ Runway","linkedin":"https://www.linkedin.com/in/mattvarghese/"},{"name":"Isabel Barrera","title":"Founder","bio":"","linkedin":"https://www.linkedin.com/in/isabel-barrera-48b0941b8"},{"name":"David Filion","title":"Founder","bio":"","linkedin":"https://www.linkedin.com/in/david-filion-bb050249"}]</t>
  </si>
  <si>
    <t>This is especially problematic for mobile because you can’t roll back immediately like your web or backend friends can. Rather, you have to triage the issue and assign it to the right team members, implement fixes (or carefully revert the offending changes), compile one or more RCs, upload to the stores, submit for review, then cross your fingers and pray to the store review gods for a speedy review. And the negative impacts of even just a few hours with a critically broken app can be eye-watering: tens or hundreds of thousands of dollars in lost revenue, a flood of negative user reviews, and overwhelmed CX or ops folks.</t>
  </si>
  <si>
    <t>https://bookface-images.s3.amazonaws.com/small_logos/a792f803f1d7ccad7da795b30ca7b07eb81a1cdc.png</t>
  </si>
  <si>
    <t>The Universal API for commerce and accounting</t>
  </si>
  <si>
    <t>https://bookface-images.s3.amazonaws.com/small_logos/58546f561c6a3cd285083ee0d5e1c3c9c285fcb2.png</t>
  </si>
  <si>
    <t>SPATE</t>
  </si>
  <si>
    <t>Trends prediction for marketers</t>
  </si>
  <si>
    <t>https://bookface-images.s3.amazonaws.com/small_logos/7577742d36a89182bb27d25c3ad944da530cabbf.png</t>
  </si>
  <si>
    <t>SPRX</t>
  </si>
  <si>
    <t>AI for corporate R&amp;amp;D tax credits</t>
  </si>
  <si>
    <t>[{"name":"Dominic Vitucci","title":"Founder","bio":"Founder &amp; CEO, SPRX Technologies","linkedin":"https://www.linkedin.com/in/dominic-vitucci/"}]</t>
  </si>
  <si>
    <t>The R&amp;amp;D Credit is often cited as the most complex and audited tax credit in the United States.</t>
  </si>
  <si>
    <t>Dominic</t>
  </si>
  <si>
    <t>https://bookface-images.s3.amazonaws.com/small_logos/056d6666e994a3429e78aefc6ec8d705e2d405c1.png</t>
  </si>
  <si>
    <t>SafeBase</t>
  </si>
  <si>
    <t>Trust Center platform that scales customer security reviews</t>
  </si>
  <si>
    <t>[{"name":"Al Yang","title":"Founder","bio":"Father of two - lives in the Bay - enjoys company building and golfing. Started SafeBase to help companies share their security and compliance posture and automate access to sensitive information -- a pain he dealt with in his last company (Medumo, acquired by Philips Health).","linkedin":"https://www.linkedin.com/in/alyang10/"},{"name":"Adar Arnon","title":"Founder","bio":"Former R&amp;D group leader in an elite technology unit in the Intelligence Directorate of the IDF. Specialized in Cybersecurity and OS architecture. Graduated from the joint-degree MS/MBA program at Harvard.\nI enjoy building stuff, and I enjoy breaking stuff even more. I've had years of varied experiences in the intersection of cybersecurity &amp; web infrastructure, from designing secure networking protocols, to architecting operating system drivers, and managing a reverse-engineering team.","linkedin":"https://www.linkedin.com/in/adarnon/"}]</t>
  </si>
  <si>
    <t>https://bookface-images.s3.amazonaws.com/small_logos/11ecc83b03cfcf5e3849e1ca5f104ded4d413551.png</t>
  </si>
  <si>
    <t>Saleswhale</t>
  </si>
  <si>
    <t>Saleswhale is an automated sales assistant that follows up with your…</t>
  </si>
  <si>
    <t>[{"name":"Gabriel Lim","title":"/CEO","bio":"Co-founder &amp; CEO of Saleswhale (YC S16), acquired by 6sense (YC W13).","linkedin":"https://www.linkedin.com/in/penguingab/"},{"name":"Ethan Le","title":"Founder","bio":"","linkedin":"https://www.linkedin.com/in/ethan-le-16a4357/"},{"name":"Venus Wong","title":"Founder","bio":"","linkedin":"https://www.linkedin.com/pub/venus-wong/10/b9b/8b9"}]</t>
  </si>
  <si>
    <t>https://bookface-images.s3.amazonaws.com/small_logos/f3e1d2e189bfe1bf79821761ab3019c3f1921ff3.png</t>
  </si>
  <si>
    <t>Sarus</t>
  </si>
  <si>
    <t>Use personal data for analytics and ML, safely and seamlessly</t>
  </si>
  <si>
    <t>[{"name":"Maxime Agostini","title":"Founder","bio":"Maxime Agostini is Sarus cofounder and CEO. He previously cofounded AlephD a ML startup solving publishers monetization challenges. As CEO, he grew the business internationally and led the company up to a successful exit to Verizon Media in 2016. \nMaxime graduated from Ecole Polytechnique in computer science and physics. He interned at Google and Stanford physics lab.","linkedin":"https://www.linkedin.com/in/maximeago/"},{"name":"Nicolas Grislain","title":"Founder","bio":"Nicolas Grislain is Chief Science Officer at Sarus Technologies.\nHe graduated from École Normale Supérieure de Lyon in Mathematics and Computer Science.\nNicolas started his career in economics and finance modeling at the French Treasury and then at Société Générale.\nHe co-founded a first company: AlephD, in 2012, where he was also leading Research and Development.\nAlephD got acquired by Yahoo in 2016.\nIn 2020 he co-founded Sarus Technologies with the same founding team as AlephD.","linkedin":"https://www.linkedin.com/in/nicolas-grislain/"},{"name":"Vincent Lepage","title":"Founder","bio":"repeat entrepreneur (Sarus is my third startup), former CTO &amp; co-founder Alephd (ML &amp; big data for online advertising, sell-side).\nFormer CPO Owkin (AI for medical research)\nLove to make things work.","linkedin":"https://www.linkedin.com/in/vincent-lepage-064ab41/"}]</t>
  </si>
  <si>
    <t>Maxime</t>
  </si>
  <si>
    <t>https://bookface-images.s3.amazonaws.com/small_logos/eeaf8f8226d85960b7834ae51a48adfa24515b3b.png</t>
  </si>
  <si>
    <t>Scispot</t>
  </si>
  <si>
    <t>The Best Data Infrastructure for Biotechs</t>
  </si>
  <si>
    <t>[{"name":"Guru Singh","title":"Founder","bio":"I am a biotech researcher by training but an entrepreneur at heart. This combination of scientific and business experience motivated me to start and help grow impactful ventures in the last decade. I founded a few biotech communities, a cancer foundation &amp; biotech trade association in India, and I helped scale life science startups in US and EU such as Scientist.com, Science Exchange, and LabTwin. I tapped into all the experience I gained in biotech, SaaS, and entrepreneurship to create Scispot.","linkedin":"https://www.linkedin.com/in/iamguru/"},{"name":"Satya Singh","title":"Founder","bio":"Co-founder and Chief Product &amp; Operating officer of Scispot.io. I am an engineer turned Product Manager. My experience in tech taught me the importance of product mindset - starting from the customer and working backwards. Before starting Scispot.io, I worked for Hotels.com and Expedia building platforms. My experience in product UX, growth marketing, and platform products brought me to the life science industry that will change human lives for the better.","linkedin":"https://www.linkedin.com/in/satyaravisingh/"}]</t>
  </si>
  <si>
    <t>Scispot is launching the world’s first agent for multi-well plates called Plato.</t>
  </si>
  <si>
    <t>https://bookface-images.s3.amazonaws.com/small_logos/996a065b9b830e170e3a68e207d6245f28dc54b8.png</t>
  </si>
  <si>
    <t>Scribe</t>
  </si>
  <si>
    <t>Scribe is an AI based Sales Development Representative that you can…</t>
  </si>
  <si>
    <t>[{"name":"Sachin Bhat","title":"Founder","bio":".","linkedin":"https://www.linkedin.com/in/sachin-bhat-/"},{"name":"Rutika Muchhala","title":"Founder","bio":"Operator, tech business leader &amp; entrepreneur with 10 years of experience in B2B &amp; B2C\nSeed -&gt; Series D software cos backed by Sequoia, Tencent, etc + Fortune 500 cos + Govts\nHired, managed &amp; trained diverse teams of 20+ (incl. global, remote teams for 5 years)","linkedin":"https://www.linkedin.com/in/rutikamuchhala"}]</t>
  </si>
  <si>
    <t>Scuba</t>
  </si>
  <si>
    <t>Analytics for impatient people.</t>
  </si>
  <si>
    <t>[{"name":"Lior Abraham","title":"Founder","bio":"Facebook engineer. Built first real time newsfeed. Scuba internal app. Scuba Analytics as a companh","linkedin":"https://www.linkedin.com/in/liorabraham"},{"name":"Ann Johnson","title":"Founder","bio":"","linkedin":"https://www.linkedin.com/in/annstimmlerjohnson"},{"name":"Bobby Johnson","title":"Founder","bio":"","linkedin":"https://www.linkedin.com/in/bobby-johnson-2362201a6"}]</t>
  </si>
  <si>
    <t>An analytics service with an easy to use web interface, able to answer large queries in seconds. Think of it as MS Excel for giant data, or a much faster hadoop for non-programmers.</t>
  </si>
  <si>
    <t>Lior</t>
  </si>
  <si>
    <t>https://bookface-images.s3.amazonaws.com/small_logos/75095731e25d34e505b54386e1fbac0016ef69ea.png</t>
  </si>
  <si>
    <t>Seal</t>
  </si>
  <si>
    <t>All-in-one workspace for companies making regulated products</t>
  </si>
  <si>
    <t>[{"name":"Will Moss","title":"Founder","bio":"- Founder of Opvia\n- Love to: run, surf, climb, play chess, ski","linkedin":"https://www.linkedin.com/in/moss-will/"}]</t>
  </si>
  <si>
    <t>Will</t>
  </si>
  <si>
    <t>https://bookface-images.s3.amazonaws.com/small_logos/c7c574f267298b266e49f83004d0138436eb334f.png</t>
  </si>
  <si>
    <t>Seam</t>
  </si>
  <si>
    <t>API for IoT Devices</t>
  </si>
  <si>
    <t>[{"name":"Dawn Ho","title":"Founder","bio":"Everything Engineer. Formerly head of IoT at Sonder. Always hacking on something interesting, and generally passionate about the intersection of automation, design, and living spaces. Also have a law degree.","linkedin":"https://www.linkedin.com/in/dawnho/"},{"name":"Sy Bohy","title":"Founder","bio":"Stitching the interface to the physical world.","linkedin":"https://www.linkedin.com/in/sybohy/"}]</t>
  </si>
  <si>
    <t>Dawn</t>
  </si>
  <si>
    <t>https://bookface-images.s3.amazonaws.com/small_logos/dbd6b903d554c68c4aa51a62e4ba89b6e7fdd13c.png</t>
  </si>
  <si>
    <t>Searchlight</t>
  </si>
  <si>
    <t>Talent Intelligence improving quality of hire</t>
  </si>
  <si>
    <t>[{"name":"Anna Wang","title":"Founder","bio":"Anna is the Co-Founder &amp; CTO of Searchlight. Searchlight is a Series A company backed by top-tier VCs including Dan Levine (Accel) and Keith Rabois. Before Searchlight, Anna worked at Google, McKinsey, and Uber in product management, business consulting, and software engineering roles. She has a BS &amp; MS from Stanford in Computer Science and Artificial Intelligence, where she was Class President and a lecturer in Ethics and Artificial Intelligence.","linkedin":"https://www.linkedin.com/in/annaxwang/"},{"name":"Kerry Wang","title":"(acquired)","bio":"","linkedin":"https://www.linkedin.com/in/kerry-wang/"}]</t>
  </si>
  <si>
    <t>Anna</t>
  </si>
  <si>
    <t>https://bookface-images.s3.amazonaws.com/small_logos/c614da05c9ea2efb343da05c4e5a237c56bad357.png</t>
  </si>
  <si>
    <t>Secoda</t>
  </si>
  <si>
    <t>The second brain for your data team</t>
  </si>
  <si>
    <t>[{"name":"Etai Mizrahi","title":"Founder","bio":"Founder of Secoda","linkedin":"https://www.linkedin.com/in/etai-mizrahi-07656aa1/"},{"name":"Andrew McEwen","title":"Founder","bio":"https://secoda.co","linkedin":"https://www.linkedin.com/in/armcewen"}]</t>
  </si>
  <si>
    <t>Etai</t>
  </si>
  <si>
    <t>https://bookface-images.s3.amazonaws.com/small_logos/4b049a52be34bb701fef7828f1cea14c3624e5f6.png</t>
  </si>
  <si>
    <t>Second Measure</t>
  </si>
  <si>
    <t>Unlock the power of transaction data.</t>
  </si>
  <si>
    <t>[{"name":"Michael Babineau","title":"Founder","bio":"Started and scaled Second Measure (YC S15) to 70+ people and tens of millions in annual revenue. Led the company through a landmark acquisition by Bloomberg, where the team, business, and technology continue to grow.\n\nNow building Turnstile, a usage-based revenue platform that helps companies price however they want.","linkedin":"https://www.linkedin.com/in/mbabineau"},{"name":"Lillian Chou","title":"Founder","bio":"","linkedin":"http://www.linkedin.com/in/lillianychou"}]</t>
  </si>
  <si>
    <t>https://bookface-images.s3.amazonaws.com/small_logos/b0e1ab4f20c9665aacb49bbea815135e794fb13b.png</t>
  </si>
  <si>
    <t>Sekilo</t>
  </si>
  <si>
    <t>Poultry processing &amp;amp; supply chain for the SME foodservice industry.</t>
  </si>
  <si>
    <t>[{"name":"Chandni Chainani","title":"Founder","bio":"Spent the last 8 years building businesses from the ground up, touching base with departments such as erp, hrms, fintech, sales &amp; growth. She started Dropezy with one goal - to change the fact that &lt;0.5% of grocery spend was online despite having a $116B market. Most don’t know that this journey began in her apartment where together with Nitesh, they packed and delivered their first 200 orders orders themselves. Today, her focus is to make e-groceries fast, convenient &amp; accessible for all.","linkedin":"https://www.linkedin.com/in/chandni-chainani/"},{"name":"Nitish Chellaram","title":"COO &amp; Co-","bio":"Nitish Chellaram is the co-founder and COO of Sekilo. His vision is for Sekilo to be Indonesia's leading Poultry distributor that helps deliver poultry to the Warungs (SME's) across Indonesia. Giving them access to not only competitive pricing &amp; good quality but also the opportunity to attain a HALAL certificate, purchase in low MOQ's as well as financing options to further accelerate their growth.","linkedin":"https://www.linkedin.com/in/nitishchellaram/"}]</t>
  </si>
  <si>
    <t>Chandni</t>
  </si>
  <si>
    <t>https://bookface-images.s3.amazonaws.com/small_logos/1ff0b6c32ebbaceaa5a81ba55ba260e8e96957c7.png</t>
  </si>
  <si>
    <t>Semantics3</t>
  </si>
  <si>
    <t>Data and AI platform for Ecommerce &amp;amp; Cross-Border Logistics</t>
  </si>
  <si>
    <t>https://bookface-images.s3.amazonaws.com/small_logos/5307a5e46c396120f6ef685a303ed74085ff242c.png</t>
  </si>
  <si>
    <t>SendHub</t>
  </si>
  <si>
    <t>Simple Business SMS. SMBs to Large Enterprise.</t>
  </si>
  <si>
    <t>Pleasanton, CA</t>
  </si>
  <si>
    <t>https://bookface-images.s3.amazonaws.com/small_logos/ccd5de9c202be8c96d9463fd8dccba59904f658c.png</t>
  </si>
  <si>
    <t>Sendbox</t>
  </si>
  <si>
    <t>Fulfillment by Amazon for African merchants</t>
  </si>
  <si>
    <t>[{"name":"Emotu Balogun","title":"Founder","bio":"Co-founder &amp; CEO at Sendbox. Previously co-founded and ran a fashion marketplace for Nigerian merchants. 10 years+ in software &amp; product development.","linkedin":"https://www.linkedin.com/in/emotu"},{"name":"Olusegun Afolahan","title":"Founder","bio":"Founder at Sendbox","linkedin":"https://ng.linkedin.com/in/segunafolahan"}]</t>
  </si>
  <si>
    <t>Emotu</t>
  </si>
  <si>
    <t>https://bookface-images.s3.amazonaws.com/small_logos/7c08839b8870d46ae5f7dd8e9369668efcc14630.png</t>
  </si>
  <si>
    <t>Shaped</t>
  </si>
  <si>
    <t>The fastest path to relevant recommendations and search</t>
  </si>
  <si>
    <t>[{"name":"Tullie Murrell","title":"/CEO","bio":"CEO of Shaped. \nPreviously an AI researcher at Facebook AI Research (FAIR).\nCreator of PyTorchVideo &amp; original core contributor to PyTorch Lightning.\nPassionate about anything AI, machine-learning and statistics.","linkedin":"https://www.linkedin.com/in/tullie/"},{"name":"Daniel Camilleri","title":"Founder","bio":"COO of Shaped. \nPreviously head of product research at Afterpay and lead UXR at Uber. \nPassionate about behavioural economics, statistics and design.","linkedin":"https://www.linkedin.com/in/danielcamilleri/"}]</t>
  </si>
  <si>
    <t>Tullie</t>
  </si>
  <si>
    <t>https://bookface-images.s3.amazonaws.com/small_logos/241b1f1931647920258ef5ae6571461ada0b62f1.png</t>
  </si>
  <si>
    <t>Shelf Engine</t>
  </si>
  <si>
    <t>Transforms how grocery stores buy highly perishable foods.</t>
  </si>
  <si>
    <t>https://bookface-images.s3.amazonaws.com/small_logos/30d8273cf77bf9ee7c72f1c08b3457034ba910b3.png</t>
  </si>
  <si>
    <t>Shipamax</t>
  </si>
  <si>
    <t>Simple, end-to-end automation for logistics orgs</t>
  </si>
  <si>
    <t>https://bookface-images.s3.amazonaws.com/small_logos/0485262b3034147c1f753ae66224e32cd01bffa2.png</t>
  </si>
  <si>
    <t>Shipmates</t>
  </si>
  <si>
    <t>Shipping platform for online merchants in the Philippines</t>
  </si>
  <si>
    <t>[{"name":"David Marquez","title":"Founder","bio":"CTO of Shipmates","linkedin":"https://ph.linkedin.com/in/dayvough"},{"name":"Josh Supan","title":"Founder","bio":"CEO of Shipmates","linkedin":"http://www.linkedin.com/in/joshsupan/"}]</t>
  </si>
  <si>
    <t>https://bookface-images.s3.amazonaws.com/small_logos/76a28e876eb9c3cbdcc9c73b1d02c839d73c053e.png</t>
  </si>
  <si>
    <t>Shogun</t>
  </si>
  <si>
    <t>Shogun empowers brands to create exceptional ecommerce experience.</t>
  </si>
  <si>
    <t>San Carlos, CA</t>
  </si>
  <si>
    <t>[{"name":"Nick Raushenbush","title":"Founder","bio":"CEO at Shogun, fmr Cofounder, COO. Fmr Cofounder, COO @ Glass + Marker.","linkedin":"https://www.linkedin.com/in/nickraushenbush"},{"name":"Finbarr Taylor","title":"/CEO","bio":"CTO at Shogun (YC W18). Former Software Engineer at Y Combinator. Scottish in California.","linkedin":"https://linkedin.com/in/finbarrtaylor"}]</t>
  </si>
  <si>
    <t>https://bookface-images.s3.amazonaws.com/small_logos/c4c9d88ca349da23988cd75431bf7ae58301ff05.png</t>
  </si>
  <si>
    <t>Shuttle</t>
  </si>
  <si>
    <t>Build Backends. Fast.</t>
  </si>
  <si>
    <t>[{"name":"Nodar Daneliya","title":"Founder","bio":"Founder and CEO at Shuttle. Previously worked at Google and led trading for an ML-driven quant hedge fund.","linkedin":"https://www.linkedin.com/in/ndaneliya/"}]</t>
  </si>
  <si>
    <t>Nodar</t>
  </si>
  <si>
    <t>https://bookface-images.s3.amazonaws.com/small_logos/0c189cabb560e9c254a44aff2d8e3ff94ea9d36e.png</t>
  </si>
  <si>
    <t>SigNoz</t>
  </si>
  <si>
    <t>Open source alternative to DataDog</t>
  </si>
  <si>
    <t>[{"name":"Pranay Prateek","title":"Founder","bio":"Co-founder at SigNoz, open-core alternative to DataDog. ex-Microsoft. IIT Madras alum","linkedin":"https://www.linkedin.com/in/pranay-prateek-b8b563b/"},{"name":"Ankit Nayan","title":"Founder","bio":"A tech enthusiast, always eager to learn how technology can create big businesses. \nCurrently co-founding SigNoz with a mission to give the best application performance tool to developers. Ex Citi, IIT Delhi alum.","linkedin":"https://www.linkedin.com/in/ankitnayan"}]</t>
  </si>
  <si>
    <t>Hey folks 👋</t>
  </si>
  <si>
    <t>Pranay</t>
  </si>
  <si>
    <t>https://bookface-images.s3.amazonaws.com/small_logos/bf9bf94469ea296eac6cbf6d10f7674c4a8a91ef.png</t>
  </si>
  <si>
    <t>SigOpt is an Optimization-as-a-Service platform that seamlessly tunes…</t>
  </si>
  <si>
    <t>[{"name":"Patrick Hayes","title":"/CTO","bio":"Former Cofounder &amp; CTO at SigOpt. Made in Canada","linkedin":"http://www.linkedin.com/pub/pfjhayes"},{"name":"Scott Clark","title":"/CEO","bio":"","linkedin":"http://www.linkedin.com/in/sc932"}]</t>
  </si>
  <si>
    <t>https://bookface-images.s3.amazonaws.com/small_logos/8587155629554384fccbdcf060b0568e458358d4.png</t>
  </si>
  <si>
    <t>SimpleLegal</t>
  </si>
  <si>
    <t>Legal Operations for corporate legal teams.</t>
  </si>
  <si>
    <t>[{"name":"Patrik Outericky","title":"/CTO","bio":"CTO / CoFounder at SimpleLegal - built much of the initial version of product. Have a strong focus on python, django, postgres, product, design, UI/UX. \n\nStrong knowledge in growing and navigating an enterprise SaaS startup and all the pitfalls that come with.\n\nBackground in BI, reporting, data analytics.\n\nNot really job hunting, but open to helping formally or informally.","linkedin":"https://www.linkedin.com/in/dashboard/"}]</t>
  </si>
  <si>
    <t>Patrik</t>
  </si>
  <si>
    <t>https://bookface-images.s3.amazonaws.com/small_logos/eb7ce56fc4d7716b3ceae151008b7dd130aca547.png</t>
  </si>
  <si>
    <t>Sixa</t>
  </si>
  <si>
    <t>Personal computer in the cloud</t>
  </si>
  <si>
    <t>SketchDeck</t>
  </si>
  <si>
    <t>Operating system for creative agencies</t>
  </si>
  <si>
    <t>[{"name":"David Mack","title":"/CTO","bio":"I like creating stuff, building ML models and climbing mountains","linkedin":"https://www.linkedin.com/in/davidhhmack/"},{"name":"Chris Finneral","title":"/CEO","bio":"","linkedin":"https://www.linkedin.com/in/chrisfinneral/"}]</t>
  </si>
  <si>
    <t>https://bookface-images.s3.amazonaws.com/small_logos/edd480d76c88913d52db5c536fac9c346f44ad91.png</t>
  </si>
  <si>
    <t>Skio</t>
  </si>
  <si>
    <t>Subscriptions for Shopify</t>
  </si>
  <si>
    <t>[{"name":"Kennan Davison","title":"Founder","bio":"CEO at Icon (The AI Admaker, icon.me). Previously: Skio (CEO 2021-2024, $10M ARR in 3 years, profitable), Pinterest, Hulu, W+K (ad agency), Top 200 NA LoL, YC S20 (solo founder), Dropout.","linkedin":"https://linkedin.com/in/kennandavison"}]</t>
  </si>
  <si>
    <t>Kennan</t>
  </si>
  <si>
    <t>https://bookface-images.s3.amazonaws.com/small_logos/c87a6ed342316be397663cebac7a3099c11d1320.png</t>
  </si>
  <si>
    <t>SkyLink</t>
  </si>
  <si>
    <t>Travel Management Meets AI</t>
  </si>
  <si>
    <t>[{"name":"Atyab Bhatti","title":"Founder","bio":"Atyab is the co-founder of SkyLink","linkedin":"https://www.linkedin.com/in/atyab/"},{"name":"Kush Maheshwari","title":"Founder","bio":"Kush Maheshwari is the co-founder of SkyLink","linkedin":"https://www.linkedin.com/in/kushmaheshwari"}]</t>
  </si>
  <si>
    <t>Atyab</t>
  </si>
  <si>
    <t>https://bookface-images.s3.amazonaws.com/small_logos/e8cb2f021ba1541f2a0f502e119d294cbd78b4ba.png</t>
  </si>
  <si>
    <t>Slite</t>
  </si>
  <si>
    <t>Team documentation removing the pain of maintaining and finding info</t>
  </si>
  <si>
    <t>[{"name":"Christophe Pasquier","title":"Founder","bio":"French engineer &amp; product guy, creator of slite.com, and, way more importantly, of wikiwa.rs","linkedin":"http://fr.linkedin.com/pub/christophe-pasquier/56/759/938"}]</t>
  </si>
  <si>
    <t>Slite is a workspace built for remote and async teams to organise all their work - wiki, project, meetings, anything - but also open async discussions and make decisions in context, where remote work happens.</t>
  </si>
  <si>
    <t>Christophe</t>
  </si>
  <si>
    <t>https://bookface-images.s3.amazonaws.com/small_logos/db873106ddb92ab7ceb9101417308ccab78f6f3c.png</t>
  </si>
  <si>
    <t>Smarking</t>
  </si>
  <si>
    <t>Digitize $655B parking industry</t>
  </si>
  <si>
    <t>[{"name":"Wen Sang","title":"/CEO","bio":"Wen Sang is the Co-Founder and CEO of Smarking (https://www.smarking.com/), currently empowering 2,000+ parking facilities with AI backed yield management and business intelligence software solution across North America. Wen has an PhD in Mechanical Engineering from MIT. Wen loves running, sailing (MIT Sailing Club), and golfing.","linkedin":"https://www.linkedin.com/in/wen-s-3815b04b/"},{"name":"Maokai Lin","title":"/CTO","bio":"","linkedin":"https://www.linkedin.com/in/maokailin/"}]</t>
  </si>
  <si>
    <t>Wen</t>
  </si>
  <si>
    <t>https://bookface-images.s3.amazonaws.com/small_logos/ebad8fcce5239d928f1d4d5d9a93312dd9a5c4f9.png</t>
  </si>
  <si>
    <t>SmartHelio</t>
  </si>
  <si>
    <t>Software to prevent downtime in a solar plant</t>
  </si>
  <si>
    <t>Lausanne, Switzerland</t>
  </si>
  <si>
    <t>[{"name":"Govinda Upadhyay","title":"Founder","bio":"Husband | Father | Sustainability | Climate change warrior| \n\nI am is a serial entrepreneur and work in climate domain. I want to accelerate the adoption of clean tech in our society. I have a background in Physics, Smart electrical system and climate change. I studied in Sweden, Netherlands, Switzerland and  India. I am an Indian, married to a Swiss/Japanese and live in Switzerland. I like food and travel. I became father recently. I want my child to live in a better world than mine.","linkedin":"https://www.linkedin.com/in/govindaupadhyay/"},{"name":"Neeraj Dasila","title":"Founder","bio":"Born and bred in a remote Himalayan hamlet, I learned early on how tech or even the smallest innovation can help improve the quality of life of people. With this vision, I studied Electrical Engineering at IIT Bombay and later worked on Connected Vehicles &amp; Electric Mobility as a product manager at TATA. Then, I moved to the Govt. of India to work on sustainable energy transitions. Today, my aim is to build affordable &amp; scalable solutions for all to tackle climate change.","linkedin":"https://www.linkedin.com/in/neerajkumardasila"}]</t>
  </si>
  <si>
    <t>Govinda</t>
  </si>
  <si>
    <t>https://bookface-images.s3.amazonaws.com/small_logos/fada073ad0b6d9c3b509c6673811cf6d8acf80ed.png</t>
  </si>
  <si>
    <t>Smyte</t>
  </si>
  <si>
    <t>Smyte stops bad actors on social networks and marketplaces.</t>
  </si>
  <si>
    <t>SnapMagic</t>
  </si>
  <si>
    <t>AI copilot for electronics design</t>
  </si>
  <si>
    <t>https://bookface-images.s3.amazonaws.com/small_logos/28d703d7d5920b0a08a9902602fdc87b96bb313b.png</t>
  </si>
  <si>
    <t>Soraban</t>
  </si>
  <si>
    <t>Automates data intake and service delivery process for tax firms.</t>
  </si>
  <si>
    <t>Tempe, AZ</t>
  </si>
  <si>
    <t>[{"name":"Enoch Ko","title":"Founder","bio":"Enoch is the founder and CEO at Soraban. He studied Computer Science at Arizona State University and spent four years doing software engineering work for companies like AppOmni, Sophos. Prior to Soraban, he started and ran a tech-enabled accounting firm for two years.","linkedin":"https://www.linkedin.com/in/koenoch/"}]</t>
  </si>
  <si>
    <t>Enoch</t>
  </si>
  <si>
    <t>https://bookface-images.s3.amazonaws.com/small_logos/86fe3bfd9f0947fd674a2b55047687dd231a935d.png</t>
  </si>
  <si>
    <t>Sorting Robotics</t>
  </si>
  <si>
    <t>We create automation technology for the cannabis industry.</t>
  </si>
  <si>
    <t>[{"name":"Nohtal Partansky","title":"Founder","bio":"Trained as an aerospace engineer and an inventor at heart. My goal is to automate all the repetitive tasks in the world to unlock the creativity of a workforce that is preoccupied with trying to make ends meet.","linkedin":"https://www.linkedin.com/in/nohtal-partansky-ab087b66/"},{"name":"Cassio Santos Jr","title":"Founder","bio":"","linkedin":"https://www.linkedin.com/in/cassiosantosjr"}]</t>
  </si>
  <si>
    <t>Nohtal</t>
  </si>
  <si>
    <t>https://bookface-images.s3.amazonaws.com/small_logos/2dfc5eeb06e8051af24bd5a9c7758dbe219fba21.png</t>
  </si>
  <si>
    <t>Sourceress</t>
  </si>
  <si>
    <t>https://bookface-images.s3.amazonaws.com/small_logos/cd298ab7cc0e50b44f16100129fb3d4a93dcabc0.png</t>
  </si>
  <si>
    <t>Sourcify</t>
  </si>
  <si>
    <t>Sourcify helps brands manufacture products in Asia.</t>
  </si>
  <si>
    <t>San Diego, CA</t>
  </si>
  <si>
    <t>[{"name":"Nathan Resnick","title":"/CEO","bio":"https://linkedin.com/in/nathanresnick","linkedin":"https://linkedin.com/in/nathanresnick"}]</t>
  </si>
  <si>
    <t>Nathan</t>
  </si>
  <si>
    <t>https://bookface-images.s3.amazonaws.com/small_logos/5e4fd99a7fb118297905e55e8fc4ca3a82b0b560.png</t>
  </si>
  <si>
    <t>Enriched transaction data you can build on</t>
  </si>
  <si>
    <t>[{"name":"Oban MacTavish","title":"Founder","bio":"Oban MacTavish is the CEO of Spade. Before starting Spade Oban co-founded Hubly - a vertical SaaS platform for independent RIAs.","linkedin":"https://www.linkedin.com/in/oban/"},{"name":"Cooper Hart","title":"Founder","bio":"","linkedin":"https://www.linkedin.com/in/cooper-hart-30536b226/"}]</t>
  </si>
  <si>
    <t>Oban</t>
  </si>
  <si>
    <t>https://bookface-images.s3.amazonaws.com/small_logos/0c34a890239baf0d72f56f357f5a24dee709b667.png</t>
  </si>
  <si>
    <t>Speechly</t>
  </si>
  <si>
    <t>Natural Language Understanding API for Speech that runs on device</t>
  </si>
  <si>
    <t>Helsinki, Finland</t>
  </si>
  <si>
    <t>[{"name":"Otto Soderlund","title":"Founder","bio":"Tech entrepreneur who has been passionate about AI for two decades. Nerd kid who started programming at 10 and run a BBS for many years. Prior to Speechly founded the leading digital management consultancy in the Nordics, grew it, internationalized it and sold it to a global management consultancy.\n\nLove tech, traveling, nature and my two boys.","linkedin":"https://www.linkedin.com/in/ottosoderlund/"},{"name":"Hannes Heikinheimo","title":"Founder","bio":"A data scientist and an a software engineer. Holds a PhD in Machine Learning from the Aalto University (former Helsinki University of Technology). A seasoned professional in industry grade data applications. Prior to founding Speechly has worked in projects like Apple Siri, Angry Birds, Nokia Music and Google Maps. Has published several original papers on machine learning and data mining in venues like Interspeech, KDD, ICDM and HCOMP.","linkedin":"https://www.linkedin.com/in/hannesheikinheimo/"}]</t>
  </si>
  <si>
    <t>https://bookface-images.s3.amazonaws.com/small_logos/febfa54460e405902a61eadb81f1f82d2be08da0.png</t>
  </si>
  <si>
    <t>Spire Law</t>
  </si>
  <si>
    <t>Tech enabled business and employment litigation law firm.</t>
  </si>
  <si>
    <t>Orlando, FL</t>
  </si>
  <si>
    <t>[{"name":"Kyle Harris","title":"Founder","bio":"Cofounder of CaseGuide, Inc.","linkedin":""},{"name":"Jesse Unruh","title":"Founder","bio":"","linkedin":"https://www.linkedin.com/in/jesse-unruh-5b857525/"}]</t>
  </si>
  <si>
    <t>https://bookface-images.s3.amazonaws.com/small_logos/8a1e963fe8d08ca86e5fc056086ee498a90aabbb.png</t>
  </si>
  <si>
    <t>Spline</t>
  </si>
  <si>
    <t>Design and collaborate in multiple dimensions.</t>
  </si>
  <si>
    <t>Reston, VA</t>
  </si>
  <si>
    <t>[{"name":"Alejandro Leon","title":"Founder","bio":"Designer &amp; Developer. Have a thing for design and computer graphics.","linkedin":"https://www.linkedin.com/in/alelepd/"}]</t>
  </si>
  <si>
    <t>Alejandro</t>
  </si>
  <si>
    <t>https://bookface-images.s3.amazonaws.com/small_logos/cb39af82fd79053c000de86fa1986b9da4e89073.png</t>
  </si>
  <si>
    <t>Spokn</t>
  </si>
  <si>
    <t>Easy employee video-maker for People teams</t>
  </si>
  <si>
    <t>https://bookface-images.s3.amazonaws.com/small_logos/b078ddf7fbb72dfb07922637b13b56046e39ad12.png</t>
  </si>
  <si>
    <t>SprintAI</t>
  </si>
  <si>
    <t>AI-led platform for inventory and fulfillment optimization</t>
  </si>
  <si>
    <t>[{"name":"Anurag Bhatt","title":"Founder","bio":"Love to build stuff from scratch. Have experience with fintech, consulting and e-commerce.","linkedin":"https://in.linkedin.com/in/anurag-bhatt"},{"name":"Sharad Lahoti","title":"Founder","bio":"","linkedin":"https://www.linkedin.com/in/sharad-lahoti/"}]</t>
  </si>
  <si>
    <t>https://bookface-images.s3.amazonaws.com/small_logos/88ed649d4ffefdc8e5652f12e5915dd242bed4ff.png</t>
  </si>
  <si>
    <t>Stack AI</t>
  </si>
  <si>
    <t>AI Agents for the Enterprise</t>
  </si>
  <si>
    <t>[{"name":"Bernardo Aceituno","title":"Founder","bio":"Co-Founder of Stack AI (W23). MIT PhD. AI for Enterprise.","linkedin":"https://www.linkedin.com/in/baceituno/"},{"name":"Antoni Rosinol","title":"Co- &amp; Customer Support","bio":"Co-Founder of Stack AI (W23). MIT PhD. Bringing us one step closer to AGI.","linkedin":"https://www.linkedin.com/in/rosinol/"}]</t>
  </si>
  <si>
    <t>Enterprise-grade platform and service</t>
  </si>
  <si>
    <t>Bernardo</t>
  </si>
  <si>
    <t>https://bookface-images.s3.amazonaws.com/small_logos/56ffdf7e6d54cd05e1b72f0622c42dba01ae7c84.png</t>
  </si>
  <si>
    <t>StafBook</t>
  </si>
  <si>
    <t>Rippling for Southeast Asia</t>
  </si>
  <si>
    <t>[{"name":"Fransiskus Raymond","title":"Founder","bio":"","linkedin":"https://www.linkedin.com/in/fransiskus-raymond-59b2604a/"},{"name":"Ghuniyu Fattah Rozaq","title":"Founder","bio":"Co-Founder and CTO of Blocknom. 9+ years of experience in Security and Software Engineering","linkedin":"https://www.linkedin.com/in/ghuniyu"}]</t>
  </si>
  <si>
    <t>Fransiskus</t>
  </si>
  <si>
    <t>https://bookface-images.s3.amazonaws.com/small_logos/77275acc16452910484633575de217e093bc7173.png</t>
  </si>
  <si>
    <t>Stayflexi</t>
  </si>
  <si>
    <t>Operating System for Hotels and Vacation Rentals</t>
  </si>
  <si>
    <t>[{"name":"Venkatesh Sakamuri","title":"Founder","bio":"Venkat is Co-Founder and CEO of Stayflexi Inc. Invented flexible slot based booking model for rental industry. Architected and developed the core Stayflexi Platform. Venkat previously worked at Oracle in Core database development group, SQL engine team. He is a computer science major from Carnegie Mellon University.\n\nVenkat loves coffee, he learnt how to make a perfect cup from the scratch, right from grinding beans to proper latte (sometimes latte art), he does things this way.","linkedin":"https://www.linkedin.com/in/venkatsakamuri/"},{"name":"Preetam Mohan Shetty","title":"Founder","bio":"Preetam Shetty is the Co Founder, CTO at Stayflexi. He Invented the flexible slot based booking model for the rental industry. Architected and developed the core Stayflexi Platform. \n\nPreetam previously worked for Oracle and was part of the engineering team responsible for building the NoSQL database service in Oracle cloud. He earned his masters degree in Computer Science at Cornell University.","linkedin":"https://www.linkedin.com/in/preetam-shetty-890202178/"},{"name":"Krishna Sasank Talasila","title":"Founder","bio":"Krishna Sasank Talasila is the Co-Founder and Chief Information Officer at Stayflexi. Leads the UI/UX development, Cloud Infrastructure and Operations. Co-invented the time-based flexible inventory booking model to revolutionize the hospitality industry.\n\nKrishna holds a Masters degree in Computer science from Cornell University.","linkedin":"https://www.linkedin.com/in/sasank-stayflexi/"}]</t>
  </si>
  <si>
    <t>Venkatesh</t>
  </si>
  <si>
    <t>https://bookface-images.s3.amazonaws.com/small_logos/2a6dec6c9c300ba44b097b02c1380f0a1f7e1b10.png</t>
  </si>
  <si>
    <t>Storylane</t>
  </si>
  <si>
    <t>Build Interactive Product Demo in 10 mins for SaaS companies</t>
  </si>
  <si>
    <t>Santa Clara, CA</t>
  </si>
  <si>
    <t>[{"name":"Akash Bansal","title":"Founder","bio":"Founded Kinderlime, the largest preschool SaaS platform, ran it for 7 years and then sold it in 2019 to Warburg Pincus. Product and Pre-sales at Rambus (high speed signalling), worked at multiple networking hardware startups. Obsesses over customers, mission driven teams and product.","linkedin":"https://www.linkedin.com/in/akashbansal/"},{"name":"Nalin Senthamil","title":"Founder","bio":"Nalin is technologist and product driven entrepreneur with more than 15+ years of experience in machine learning.  He is now Founder of Storylane. Prior to that, he co-founded Kinderlime (acquired by Warburg), an early education platform for schools. \n\nHe was CTO at DAQRI building AR wearable product for industrial applications and led teams of 150+.  And, before that he built the first product recognition app for Amazon and was granted many patents.","linkedin":"https://www.linkedin.com/in/nalinpradeep/"}]</t>
  </si>
  <si>
    <t>https://bookface-images.s3.amazonaws.com/small_logos/2ea7660c6ef79a3f3c31b84b9791afa7da450839.png</t>
  </si>
  <si>
    <t>Streak</t>
  </si>
  <si>
    <t>Streak transforms Gmail into a powerful CRM</t>
  </si>
  <si>
    <t>[{"name":"Aleem Mawani","title":"Founder","bio":"Founder of Streak","linkedin":"https://www.linkedin.com/in/aleemmawani/"}]</t>
  </si>
  <si>
    <t>Aleem</t>
  </si>
  <si>
    <t>https://bookface-images.s3.amazonaws.com/small_logos/34b83cec1f2ebdc9cb570890712a93e354509aec.png</t>
  </si>
  <si>
    <t>Strikingly</t>
  </si>
  <si>
    <t>The easiest way to create a beautiful, mobile optimized website.</t>
  </si>
  <si>
    <t>Shanghai, China</t>
  </si>
  <si>
    <t>https://bookface-images.s3.amazonaws.com/small_logos/045dc2771d5bced4ae0b64cde731aa40775048cf.png</t>
  </si>
  <si>
    <t>A place for independent writing.</t>
  </si>
  <si>
    <t>[{"name":"Chris Best","title":"/CEO","bio":"Co-founder &amp; CEO at Substack.\n\nPreviously: Co-founder &amp; CTO at Kik","linkedin":"https://www.linkedin.com/in/cjgbest/"},{"name":"Hamish McKenzie","title":"/COO","bio":"","linkedin":"http://linkedin.com/in/hamishmckenzie"},{"name":"Jairaj Sethi","title":"Founder","bio":"","linkedin":"https://www.linkedin.com/in/jairaj-sethi-3823b525"}]</t>
  </si>
  <si>
    <t>https://bookface-images.s3.amazonaws.com/small_logos/5fdff68c6d284e1d2cbab6306ca3f1e7774d4d36.png</t>
  </si>
  <si>
    <t>Sully.ai</t>
  </si>
  <si>
    <t>AI Medical Employees for Healthcare</t>
  </si>
  <si>
    <t>[{"name":"Ahmed Omar","title":"Founder","bio":"At 13, Omar started selling online and started MMA (Mixed Martial Arts) fighting, becoming the #1 fighter in Egypt (holding 3x gold medals); he quickly realized he was more passionate about tech. In 2014, he fled to NYC and built a brand from $0 to $55M in e-commerce sales in 3.5 years, ranking #1 in Amazon placement for certain sizes. In 2019, he headed back to Egypt and met Nasser, and together, they built the #1 car parts marketplace, acquiring over 55% market share.","linkedin":"https://www.linkedin.com/in/ao7/"},{"name":"Ahmed Nasser","title":"Founder","bio":"He invented a math formula in high school, studied computer science, and corrected his professors' code. Still, his passion grew towards sales and marketing, so he worked in healthcare early on and was a top sales performer from over 500 sales &amp; marketing representatives selling medical products to US customers. In 2019, Nasser took the startup from $0 to $14M (RR) in sales in 22 months to the highest-ever auto-marketplace sales in the region.","linkedin":"https://www.linkedin.com/in/realahmednasser"}]</t>
  </si>
  <si>
    <t>Doctors spend 50% of their time on things other than patient care, and the other 50% is inefficient.</t>
  </si>
  <si>
    <t>https://bookface-images.s3.amazonaws.com/small_logos/911656ff1b74ea563f6a15aeb96e439e4b168e0e.png</t>
  </si>
  <si>
    <t>Supabase</t>
  </si>
  <si>
    <t>Build in a weekend. Scale to billions.</t>
  </si>
  <si>
    <t>[{"name":"Paul Copplestone","title":"Founder","bio":"CEO, Supabase.","linkedin":"https://www.linkedin.com/in/paulcopplestone/"},{"name":"Ant Wilson","title":"Founder","bio":"CTO @ Supabase (YC S20)","linkedin":"https://www.linkedin.com/in/anthony-wilson-46179937/"}]</t>
  </si>
  <si>
    <t>https://bookface-images.s3.amazonaws.com/small_logos/9e8c106f46123a6f28b7a7da41f0ee695da48786.png</t>
  </si>
  <si>
    <t>SuperTokens</t>
  </si>
  <si>
    <t>Open source alternative to Auth0 / AWS Cognito / Firebase Auth</t>
  </si>
  <si>
    <t>[{"name":"Advait Ruia","title":"Founder","bio":"I am a cofounder at SuperTokens (a service to securely manage web user sessions). My background includes:\n\n- Venture Capital experience at $450M consumer tech fund\n\n- Head of $1.6 million (USD) crowdfunding campaign for BLOCKS smartwatch on Kickstarter\n\n- A BEng in Mechanical Engineering from Imperial College London\n\nI have a strong technical background in engineering and a broad set of leadership and teamwork skills that are demonstrated by my various roles and responsibilities.","linkedin":"https://www.linkedin.com/in/advait-ruia-2aa52a85/"}]</t>
  </si>
  <si>
    <t>Advait</t>
  </si>
  <si>
    <t>https://bookface-images.s3.amazonaws.com/small_logos/4353b29adbf3c289fd3165964d86888720519f1b.png</t>
  </si>
  <si>
    <t>Superb AI</t>
  </si>
  <si>
    <t>Superb AI is a training data management platform</t>
  </si>
  <si>
    <t>[{"name":"Hyun Kim","title":"Founder","bio":"- Co-founder, CEO @ Superb AI ('18-now)\n- AI Engineer @ SK Telecom ('16-'18)\n- Duke University, B.S / Ph.D. dropout","linkedin":"https://www.linkedin.com/in/hyunsoo-kim-a60557b2/"},{"name":"Moonsu Cha","title":"Founder","bio":"","linkedin":"https://www.linkedin.com/in/moonsucha/"},{"name":"Jonghyuk Lee","title":"Founder","bio":"","linkedin":"https://www.linkedin.com/in/jonghyuk-lee-5612a312a"},{"name":"Jungkwon Lee","title":"Founder","bio":"","linkedin":"https://www.linkedin.com/in/jung-kwon-lee-67a36a152/"}]</t>
  </si>
  <si>
    <t>Hyun</t>
  </si>
  <si>
    <t>https://bookface-images.s3.amazonaws.com/small_logos/7c9d721a968bad9c98d3ba3e84214eaeb329eeff.png</t>
  </si>
  <si>
    <t>Design system platform joins developers and designers together</t>
  </si>
  <si>
    <t>Prague, Czech Republic</t>
  </si>
  <si>
    <t>There are almost no tools to help and data needed to build one are all over the place - in Figma, Storybook, maybe in Notion or Confluence, resulting in a huge mess and teams struggling with adopting your creation. And to make the matter worse, many teams don’t know how to build a proper design system in the first place.</t>
  </si>
  <si>
    <t>https://bookface-images.s3.amazonaws.com/small_logos/ada23a7187727888f29e6f21fc082493f5396066.png</t>
  </si>
  <si>
    <t>Superorder</t>
  </si>
  <si>
    <t>AI customer reputation &amp;amp; performance management for restaurant chains.</t>
  </si>
  <si>
    <t>[{"name":"Raghav Poddar","title":"Founder","bio":"CEO at Superorder","linkedin":"https://www.linkedin.com/in/poddarraghav/"}]</t>
  </si>
  <si>
    <t>Raghav</t>
  </si>
  <si>
    <t>https://bookface-images.s3.amazonaws.com/small_logos/db10327c5327a64bf7bf615e4aebcb38c48d13de.png</t>
  </si>
  <si>
    <t>Enterprise ready webhooks service, open-source and in the cloud</t>
  </si>
  <si>
    <t>[{"name":"Tom Hacohen","title":"&amp; CEO","bio":"I've been programming for as long as I can remember, and I'm passionate about coding and technology.\n\nI'm also a long-time open-source developer, have contributed to many projects, and was even shortlisted for the \"HaMakor prize\" (Israeli equivalent to the FSF award).","linkedin":"https://uk.linkedin.com/in/tomhacohen/"}]</t>
  </si>
  <si>
    <t>https://bookface-images.s3.amazonaws.com/small_logos/e7fe48d854a5e26f76b915462fef2c4d177bfa49.png</t>
  </si>
  <si>
    <t>Swayable</t>
  </si>
  <si>
    <t>Swayable predicts consumer opinion and the impact of content</t>
  </si>
  <si>
    <t>[{"name":"James Slezak","title":"&amp; CEO","bio":"James is Founder and CEO of Swayable.\n\nHe was previously Executive Director of Digital Strategy for The New York Times. Before that, he was a founding partner at Purpose.com, a consultant at McKinsey, and co-founded Peers.org, working closely with the founders of Airbnb.\n\nOriginally from Australia, James earned a PhD in experimental physics at Cornell, with discoveries published in Science, Nature, and PNAS, and also studied economics under World Bank Chief Economist Kaushik Basu.","linkedin":"https://www.linkedin.com/in/jslezak"}]</t>
  </si>
  <si>
    <t>https://bookface-images.s3.amazonaws.com/small_logos/a5d215c7313a052e41f5b021db99a546ebcecf7a.png</t>
  </si>
  <si>
    <t>Swif.ai</t>
  </si>
  <si>
    <t>Compliance-First Device Security</t>
  </si>
  <si>
    <t>Sunnyvale, CA</t>
  </si>
  <si>
    <t>[{"name":"Angelo (KC) Huang","title":"Founder","bio":"I'm the CEO &amp; Founder of SWIF.ai. Swif is a Compliance-First Device Security to secure and manage all your devices with Swif. Automate compliance, streamline onboarding and discover Shadow IT—all in one platform.","linkedin":"https://www.linkedin.com/in/angelokh"}]</t>
  </si>
  <si>
    <t>Swif’s strength lies in its automation. Instead of manually hunting down unapproved apps, our extension monitors usage, generates compliance reports, and offers automated solutions for securing access. This gives you control without adding complexity, saving both time and resources.</t>
  </si>
  <si>
    <t>Angelo</t>
  </si>
  <si>
    <t>https://bookface-images.s3.amazonaws.com/small_logos/3f00f6931229f64701cd737b9839f92f72e20005.png</t>
  </si>
  <si>
    <t>SwiftSku</t>
  </si>
  <si>
    <t>Management and analytics software for convenience stores</t>
  </si>
  <si>
    <t>[{"name":"Mit Patel","title":"Founder","bio":"I started SwiftSku because I saw an opportunity to solve the problems that stole time and money from my family and friends in convenience stores.\nAs co-founder and CEO of SwiftSku, I have a burning passion for product development and nothing satisfies me more than building software that delights our customers.\n\nMy technical background is in backend and network engineering.","linkedin":"https://www.linkedin.com/in/mitpatel283"},{"name":"Daniel Mazur","title":"Founder","bio":"As co-founder and COO of SwiftSku, I manage operations and strategy, however, I come from a background of analytics and design.\n\nFor pleasure, I enjoy playing tennis and learning about emergent technologies in the fields of additive manufacturing, machine learning, and decentralized applications.","linkedin":"https://www.linkedin.com/in/danielmazur1"}]</t>
  </si>
  <si>
    <t>Mit</t>
  </si>
  <si>
    <t>https://bookface-images.s3.amazonaws.com/small_logos/3bb40b858fa07c3be03a29e849b4171670bbe91c.png</t>
  </si>
  <si>
    <t>Smart search for the modern team.</t>
  </si>
  <si>
    <t>[{"name":"Matt Riley","title":"/CEO","bio":"Founder of Swiftype (W12), acquired by Elastic (NYSE: ESTC) in Nov 2017. Early engineer at both Scribd (S06) and HomeAway/VRBO (acq Expedia).","linkedin":"https://www.linkedin.com/in/matthewriley/"},{"name":"Quin Hoxie","title":"Founder","bio":"","linkedin":"https://www.linkedin.com/in/qhoxie"}]</t>
  </si>
  <si>
    <t>https://bookface-images.s3.amazonaws.com/small_logos/be45196d0c3d5704a20fa4748726a49983ba28aa.png</t>
  </si>
  <si>
    <t>Swipe</t>
  </si>
  <si>
    <t>Simple billing and payments for 75M+ Indian SMBs 🇮🇳</t>
  </si>
  <si>
    <t>[{"name":"Aditya Vemuganti","title":"Founder","bio":"Cofounder, Swipe.","linkedin":"https://www.linkedin.com/in/aditya-v-b0838622/"},{"name":"Sri Teja Allaparthi","title":"Founder","bio":"Co-founder, Swipe","linkedin":"https://www.linkedin.com/in/sriteja95"}]</t>
  </si>
  <si>
    <t>Aditya</t>
  </si>
  <si>
    <t>https://bookface-images.s3.amazonaws.com/small_logos/e9858cc76fba57ade8f38dcfd4726735f88c3531.png</t>
  </si>
  <si>
    <t>Switchboard</t>
  </si>
  <si>
    <t>Technology for Trucking</t>
  </si>
  <si>
    <t>[{"name":"Michael Ip","title":"Founder","bio":"My doggo's name is Wall-E","linkedin":"https://www.linkedin.com/in/ipmichael/"}]</t>
  </si>
  <si>
    <t>https://bookface-images.s3.amazonaws.com/small_logos/dfaf68c602e9d13793a1ce6bf58310eff1ce2121.png</t>
  </si>
  <si>
    <t>Symple</t>
  </si>
  <si>
    <t>Last mile logistics for delivery &amp;amp; service teams. We bring real-time…</t>
  </si>
  <si>
    <t>Tablevibe</t>
  </si>
  <si>
    <t>All-in-one digital ordering system for restaurants</t>
  </si>
  <si>
    <t>[{"name":"Jeroen Rutten","title":"Founder","bio":"With 6.5 years of product leadership experience at Google in Dublin, Singapore and Amsterdam, and with a passion for digital product development and entrepreneurship I started Tablevibe.co. \n\nTablevibe is the one-stop platform to help restaurants grow. We do this through smarter booking features, capturing guest experiences, and driving loyalty and online reputation.","linkedin":"https://www.linkedin.com/in/jeroen-rutten-60499921/"},{"name":"Guido Caldara","title":"Founder","bio":"CTO @ tablevibe.co\n\nTech enthusiast, developer and coding teacher with a management background @ Decathlon. \nI've spent the last few years teaching others how to code by sharing my passion with students from all over the world @ Le Wagon coding school.\n\nI'm in love with building tech products, addicted to ultramarathons and always ready to embrace new challenges.","linkedin":"https://www.linkedin.com/in/guidocaldara/"},{"name":"Mathieu Sneep","title":"Founder","bio":"Co-founder and head of growth @ tablevibe.co. \n\nI love and live internet businesses. I have ≈10 years of sales and people management experience at both start-ups and multinationals (Google, AdRoll, Fyber) in Europe and Asia.\n\nTrying to live by this motto: ”Twenty years from now, you will be more disappointed by the things you didn’t do than by the ones you did do. Explore. Dream. Discover.\"","linkedin":"http://linkedin.com/in/mathieusneep"}]</t>
  </si>
  <si>
    <t>Jeroen</t>
  </si>
  <si>
    <t>https://bookface-images.s3.amazonaws.com/small_logos/4ad6d65b73663c6f23ddabd04f80d71e271e2d37.png</t>
  </si>
  <si>
    <t>Tailor</t>
  </si>
  <si>
    <t>Highly Customizable Headless ERP</t>
  </si>
  <si>
    <t>Tokyo, Japan</t>
  </si>
  <si>
    <t>[{"name":"Yo Shibata","title":"Founder","bio":"Yo Shibata is co-founder/CEO of Tailor. Previously, Yo founded Smapo (Acquired by Rakuten, RetailTech), Shoppi (Acquired by IMJ, mobile app),  co-founded Funds (FinTech), and Watashikampo (HealthTech). Prior to being a serial entrepreneur, he worked for McKinsey.","linkedin":"https://www.linkedin.com/in/yo-shibata-12742621/"},{"name":"Misato Takahashi","title":"Founder","bio":"Co-founder/CTO of Tailor, previously co-founder/CTO of Speee (TSE IPO in 2020), CTO of Spotlight (Acquired by Rakuten), engineer at Rakuten and GREE, and head of R4D, a research institute at Mercari.","linkedin":"https://www.linkedin.com/in/mistat/"}]</t>
  </si>
  <si>
    <t>Yo</t>
  </si>
  <si>
    <t>https://bookface-images.s3.amazonaws.com/small_logos/b5b96a023a0830adeacef1c406e170299676baab.png</t>
  </si>
  <si>
    <t>Taiv</t>
  </si>
  <si>
    <t>Taiv uses AI to make businesses TVs more entertaining &amp;amp; valuable.</t>
  </si>
  <si>
    <t>Winnipeg, Canada</t>
  </si>
  <si>
    <t>[{"name":"Jordan Davis","title":"Founder","bio":"Cofounder &amp; CTO of Taiv (W20)","linkedin":"https://www.linkedin.com/in/jordan-davis-b6894b162/"},{"name":"Noah Palansky","title":"Founder","bio":"","linkedin":"https://www.linkedin.com/in/noahpalansky/"},{"name":"Avi Stoller","title":"Founder","bio":"","linkedin":"https://www.linkedin.com/in/avichai-stoller-77071b137/"}]</t>
  </si>
  <si>
    <t>https://bookface-images.s3.amazonaws.com/small_logos/517858a2f6d1535b89d71bd9bf5a0f334c3c7f8d.png</t>
  </si>
  <si>
    <t>Tajir</t>
  </si>
  <si>
    <t>The one-stop shop for mom-and-pop stores in Pakistan to buy inventory.</t>
  </si>
  <si>
    <t>Lahore, Pakistan</t>
  </si>
  <si>
    <t>https://bookface-images.s3.amazonaws.com/small_logos/ce1648d37651c02150fcb49f3e67f87e9ae1acb1.png</t>
  </si>
  <si>
    <t>Empowers decision makers to make smarter and safer decisions at scale</t>
  </si>
  <si>
    <t>[{"name":"Maik Taro Wehmeyer","title":"Founder","bio":"Industrial Engineer (Harvard University, École Polytechnique, Karlsruhe Institute of Technology) that loves building tech","linkedin":"https://www.linkedin.com/in/maik-taro-wehmeyer-ba9a338b/"},{"name":"Maximilian Eber","title":"Founder","bio":"Born and raised in Germany. Undergrad at the London School of Economics. PhD in Financial Economics at Harvard. Moved to private sector and spent a few years building custom ML solutions for e-commerce, insurance, and healthcare applications. Started Taktile to shorten the road to production for ML-applications.","linkedin":"https://www.linkedin.com/in/maximilian-eber-bb58a32/"}]</t>
  </si>
  <si>
    <t>Maik</t>
  </si>
  <si>
    <t>https://bookface-images.s3.amazonaws.com/small_logos/fda6209e5ce1deac3dd962c779d7c375cd750a5a.png</t>
  </si>
  <si>
    <t>Talentropy.ai</t>
  </si>
  <si>
    <t>AI solution that streamlines candidate screening and recruitment</t>
  </si>
  <si>
    <t>[{"name":"Ruben Cordoba","title":"Founder","bio":"MBA, I have more than 10 years of experience in entrepreneurship. I worked in planning and fundraising for infrastructure projects. \nI have 3 years of experience in the recruiting &amp; staffing industry. \nI´m passionate about companies, art, and activities that involve risk. I consider myself good at solving problems and motivating his team.","linkedin":"https://www.linkedin.com/in/rubencordoba/"},{"name":"Sebastian Arce","title":"Founder","bio":"Sebastian Arce Rubio - Co-Founder &amp; Strategy Director\nIndustrial Engineer with technological Background focused on mathematical models and project management. He is passionate about working and influencing other people's lives with his work. It is considered very strong in B2B sales.","linkedin":"https://www.linkedin.com/in/sebastian-arce-rubio-499921126/"},{"name":"Vladimir Guzman","title":"Founder","bio":"Co-founder and CTO. I have been involved with entrepreneurship for more than 10 years of my professional life, although my background is technical, I'm more passionate about the business line as such, which has led me to work as Product Manager and CTO in the companies in which I have taken part. Co-founder of several digital businesses, responsible for technological guidance with market needs. Connoisseur of agile methodologies such as SCRUM.","linkedin":"https://www.linkedin.com/in/vlaguzman/"}]</t>
  </si>
  <si>
    <t>The driving force behind HoyTrabajas comes from a personal fire that's also burning in my co-founders. We saw how the traditional job boards have been a real headache for job seekers, especially those who are just starting. I know this because I've been there myself, hunting for my first job and not getting any feedback on my applications. That made me crazy at that moment. Now picture what's going down for all those people who aren't chasing professional jobs. They're probably in a rush to put food on the table for their families. And you know what? This struggle is very real for around 100 million low-skilled individuals in LATAM. People are feeling the pain of job finding. That was our motivation to be over this bote.</t>
  </si>
  <si>
    <t>Ruben</t>
  </si>
  <si>
    <t>https://bookface-images.s3.amazonaws.com/small_logos/c5f38bdb112c8bf97e2445f8e9171780c45e0dc5.png</t>
  </si>
  <si>
    <t>Talkable</t>
  </si>
  <si>
    <t>Online store referrals.</t>
  </si>
  <si>
    <t>https://bookface-images.s3.amazonaws.com/small_logos/32c3e67d3146d4db5470d6b6731cf422c4c9a2c0.png</t>
  </si>
  <si>
    <t>Tall Poppy</t>
  </si>
  <si>
    <t>Protecting your employees against online harassment</t>
  </si>
  <si>
    <t>[{"name":"Leigh Honeywell","title":"/CEO","bio":"Leigh is the founder and CEO of Tall Poppy, where she helps companies protect their employees from online harassment. She was previously a Technology Fellow at the ACLU, and before that worked at a bunch of tech companies including Slack and Microsoft.","linkedin":"https://www.linkedin.com/in/hypatia/"},{"name":"Logan Dean","title":"Founder","bio":"","linkedin":"https://www.linkedin.com/in/logan-dean-41b0192"}]</t>
  </si>
  <si>
    <t>Leigh</t>
  </si>
  <si>
    <t>https://bookface-images.s3.amazonaws.com/small_logos/dea1b3e7cb043f7da1f6f8f5cf22b81184391a3d.png</t>
  </si>
  <si>
    <t>Tandem</t>
  </si>
  <si>
    <t>Marketplace to help companies lease and share office space</t>
  </si>
  <si>
    <t>[{"name":"Rafi Sands","title":"Founder","bio":"Rafi is Co-Founder &amp; CEO of Tandem. \n\nRafi is an 18-time marathon runner, Guinness World Record Holder, Oaklandian, and former management consultant (one of these things is less exciting than the others…).  He spent two years at Stanford researching the future of the office market after COVID under Professor Nick Bloom.  Read his blog at rafisands.substack.com","linkedin":"https://linkedin.com/in/rafisands"},{"name":"Brendan Suh","title":"Founder","bio":"Co-founder @ Tandem","linkedin":"https://linkedin.com/in/brendansuh"}]</t>
  </si>
  <si>
    <t>Renting an office is expensive and hard.</t>
  </si>
  <si>
    <t>Rafi</t>
  </si>
  <si>
    <t>https://bookface-images.s3.amazonaws.com/small_logos/a0375efe2659827ada4255426aac1e4a4f979b63.png</t>
  </si>
  <si>
    <t>Tara AI</t>
  </si>
  <si>
    <t>Meet Tara AI, your new engineering efficiency co-pilot.</t>
  </si>
  <si>
    <t>[{"name":"Syed Ahmed","title":"/CTO","bio":"Syed Ahmed is an experienced CTO and Engineering leader with over 15 years of experience in architecting software &amp;  building high performance teams. Him and his cofounder launched their first bootstrapped and profitable SaaS business in 2010 which became an award winning startup called Gradberry. His second venture Elements was a specialized Engineering and Design firm that was acquired and his current venture Tara AI is focused on making the Software Lifecycle more Predictable.","linkedin":"https://www.linkedin.com/in/syedahmedz/"},{"name":"Iba Masood","title":"/CEO","bio":"ba Masood is the co-founder and CEO of Tara AI, a smart platform helping thousands of engineers and teams deliver on planned releases. Iba was awarded Forbes 30 under 30, for the 2018 list, under the field of Enterprise Technology. She is the youngest winner of the Cartier Women's Initiative Award, and has an undergraduate degree in Finance from the American University of Sharjah, graduating magna cum laude. Iba has also previously worked at McKinsey &amp; Co, and GE.","linkedin":"https://www.linkedin.com/in/ibamasood"}]</t>
  </si>
  <si>
    <t>Syed</t>
  </si>
  <si>
    <t>https://bookface-images.s3.amazonaws.com/small_logos/5150a8797d7be6783f61a5e2ea17ea19cd3721a3.png</t>
  </si>
  <si>
    <t>Taskade</t>
  </si>
  <si>
    <t>Build Your AI Agent Workforce — AI-Powered Productivity &amp;amp; Automation</t>
  </si>
  <si>
    <t>[{"name":"Stan Chang","title":"Founder","bio":"CTO of Taskade","linkedin":"https://www.linkedin.com/in/lxcid"},{"name":"John Xie","title":"Founder","bio":"Co-founder, CEO of Taskade","linkedin":"https://www.linkedin.com/in/johnxie/"},{"name":"Dionis Loire","title":"Founder","bio":"","linkedin":"https://www.linkedin.com/in/dionis-loire-6000588"}]</t>
  </si>
  <si>
    <t>Team Task, Notes and Chat, All-in-one Workspace.</t>
  </si>
  <si>
    <t>Stan</t>
  </si>
  <si>
    <t>https://bookface-images.s3.amazonaws.com/small_logos/6902f9194abc25bd591410dc7d36f885a97b62e1.png</t>
  </si>
  <si>
    <t>Tasker AI</t>
  </si>
  <si>
    <t>Building AI agent automation layer of the internet</t>
  </si>
  <si>
    <t>[{"name":"Ahmed AJ","title":"Founder","bio":"Co-founder of Tasker AI, an AI Agent platform fundamentally re-imaging human computer interactions. Fonder of Dapia global open source open banking API powered by AI agents.","linkedin":"https://www.linkedin.com/in/ajoor"},{"name":"Hesham Ghandour","title":"Founder","bio":"Engineer, studied Computer Science in Cairo and Munich. Been building software and apps since I taught myself code. \nGot a few games published while in University. \nBuilt a digital recycling platform in Germany, paid my expenses through college.\nBuilt the first bus tracking application in Cairo. Used BLE beacons on buses, and tablets in kiosks all over Cairo to detect when the bus passed by.\nBuilt Egypt's first Venmo like app that connected to your bank account and transfer money.","linkedin":"https://www.linkedin.com/profile/view?id=AAIAAAbI0jwBtGMfgzMsbSUHdZ9B4NfdxqsgWFY&amp;trk=nav_responsive_tab_profile"}]</t>
  </si>
  <si>
    <t>Task automation on the internet is a complex and challenging process ⚙️</t>
  </si>
  <si>
    <t>https://bookface-images.s3.amazonaws.com/small_logos/ab0f6f3b7f550864435009079aaabbc0721a377f.png</t>
  </si>
  <si>
    <t>Building the human layer of AI</t>
  </si>
  <si>
    <t>[{"name":"Hassaan Raza","title":"Founder","bio":"Building the human layer of AI","linkedin":"http://linkedin.com/in/hassaanraza/"},{"name":"Quinn Favret","title":"Founder","bio":"Building the human layer of AI","linkedin":"https://www.linkedin.com/in/quinn-favret/"}]</t>
  </si>
  <si>
    <t>This brings a human face, voice, emotion, and intelligence to daily digital interactions via life-like digital twins.</t>
  </si>
  <si>
    <t>Hassaan</t>
  </si>
  <si>
    <t>https://bookface-images.s3.amazonaws.com/small_logos/8e67cf96446cc05ab25099e8ab94b8256f0f724e.png</t>
  </si>
  <si>
    <t>TaxGPT</t>
  </si>
  <si>
    <t>AI tax assistant for professionals and businesses</t>
  </si>
  <si>
    <t>[{"name":"Kashif Ali","title":"Co-founder and CEO","bio":"Automating tax filing at TaxGPT.com\nPreviously worked for Adobe &amp; WSJ.","linkedin":"https://linkedin.com/in/chkashifali"},{"name":"Isabella Maceda-Ali","title":"Founder","bio":"Co-Founder &amp; CTO of TaxGPT\nUC Berkeley Alum\nFocused on A.I. in Fintech","linkedin":"https://linkedin.com/in/imaceda"}]</t>
  </si>
  <si>
    <t>Kashif</t>
  </si>
  <si>
    <t>https://bookface-images.s3.amazonaws.com/small_logos/925a4d89b983d4afdeba53e9f6b6672031081f94.png</t>
  </si>
  <si>
    <t>TeamNote</t>
  </si>
  <si>
    <t>Mobile Productivity(Slack for mobile workforces)</t>
  </si>
  <si>
    <t>https://bookface-images.s3.amazonaws.com/small_logos/5e80f24cb6eb0be2ffe43f35c7a912d2e48af9eb.png</t>
  </si>
  <si>
    <t>TeamOut</t>
  </si>
  <si>
    <t>Online marketplace for team retreat venues</t>
  </si>
  <si>
    <t>[{"name":"Thomas Mazimann","title":"Founder","bio":"CEO @TeamOut / Ex Head of Growth @SaaStr / Ex 1st Employee @Voxeet (Acquired by Dolby Lab)","linkedin":"https://www.linkedin.com/in/thomas-mazimann/"},{"name":"vincent albouy","title":"Founder","bio":"- Co-Founder / CPO / CTO @ TeamOut inc\n- Worked @IBM @VantAI (Acquired by RoivantScience )\n- Software engineer and Machine Learning Scientist\nHold patents and 7 AI papers","linkedin":"https://www.linkedin.com/in/vincent-albouy-71132a92/"}]</t>
  </si>
  <si>
    <t>TeamOut's latest update makes it easy for teams under 20 people to plan a team offsite. Choose among a selection of thousands of villas and hotels, add food, activities, and transportation in one click. Don’t delay your next offsite; make it happen today.</t>
  </si>
  <si>
    <t>https://bookface-images.s3.amazonaws.com/small_logos/185c56dbefb7e6cc77211e637e0c8ab47d642d7b.png</t>
  </si>
  <si>
    <t>Teleborder</t>
  </si>
  <si>
    <t>Dashboard for companies to manage immigration for their employees.</t>
  </si>
  <si>
    <t>[{"name":"James Richards","title":"Founder","bio":"CEO @ Evergrow. Venture Partner @ Garuda Ventures; investor in 30+ startups. Primarily focused on climate change. Before, CEO @ Teleborder (YC S13, acquired by TriNet).","linkedin":"https://www.linkedin.com/in/jpr2120/"},{"name":"Michael Smith","title":"Founder","bio":"","linkedin":""}]</t>
  </si>
  <si>
    <t>Telmai</t>
  </si>
  <si>
    <t>Automated data observability and quality for Data Lake</t>
  </si>
  <si>
    <t>[{"name":"Mona Rakibe","title":"Founder","bio":"Started Telmai in November 2020 with a vision to improve data quality.\nPrior to Telmai spend 5 years at a Data management start-up as director of product management.","linkedin":"https://www.linkedin.com/in/monarakibe/"},{"name":"Maxim Lukichev","title":"Founder","bio":"Data Science and Engineering Leader with over 15 years of experience in various environments including startups and Fortune 500 companies","linkedin":"http://linkedin.com/in/maximlukichev"}]</t>
  </si>
  <si>
    <t>Intelligent data observability platform</t>
  </si>
  <si>
    <t>Mona</t>
  </si>
  <si>
    <t>https://bookface-images.s3.amazonaws.com/small_logos/263d4d84c92376ed8c755e0f7348f5c855dc3ec8.png</t>
  </si>
  <si>
    <t>Templarbit</t>
  </si>
  <si>
    <t>Protecting applications from malicious activity</t>
  </si>
  <si>
    <t>https://bookface-images.s3.amazonaws.com/small_logos/388bf404240294f2fa8cff1b093bc8030dcd540c.png</t>
  </si>
  <si>
    <t>Tenderd</t>
  </si>
  <si>
    <t>AI Platform for Efficient and Sustainable Operations</t>
  </si>
  <si>
    <t>[{"name":"Arjun Mohan","title":"Founder","bio":"Arjun started his career as a strategy analyst at a technology company in Toronto, Canada. He later co-founded a software development company building ecommerce marketplaces.\nHe completed his undergrad at the University of Toronto and his Masters at the Richard Ivey School of Business.","linkedin":"https://www.linkedin.com/in/mohanarjun"}]</t>
  </si>
  <si>
    <t>https://bookface-images.s3.amazonaws.com/small_logos/ee2e6fd4d1cfa51f7b35ac4ebf653eb66c08723b.png</t>
  </si>
  <si>
    <t>Tenjin</t>
  </si>
  <si>
    <t>Mobile marketing analytics and infrastructure</t>
  </si>
  <si>
    <t>[{"name":"Christopher Farm","title":"/CEO","bio":"Like to make things","linkedin":"https://www.linkedin.com/in/christopherfarm"},{"name":"Amir Manji","title":"/Head Barista","bio":"","linkedin":"https://www.linkedin.com/in/amirmanji"}]</t>
  </si>
  <si>
    <t>https://bookface-images.s3.amazonaws.com/small_logos/463e52171480a4ebcdbd25d4442d7be28671da6a.png</t>
  </si>
  <si>
    <t>Turn your healthcare operations into growth</t>
  </si>
  <si>
    <t>[{"name":"Trey Holterman","title":"Founder","bio":"Former All-American rower, Computer science major and TA before going to work as a Software engineer at Strava. Left Strava to start a company with my former teammate Diego and former roommate Tyler. \n\nOutside of work, (pre-startup) I did standup whenever I had time","linkedin":"https://www.linkedin.com/in/trey-holterman-09b904153/"},{"name":"Diego Baugh","title":"Founder","bio":"Built cool things in undergrad. Then discovered a love for design — turns out I generally like the process of finding patterns — helps me in work and in poker. Also, software should probably be less painful to use than it is ;)\n\nRowed in college, now living in NYC.","linkedin":"https://www.linkedin.com/in/diego-baugh/"},{"name":"Tyler Johnson","title":"Founder","bio":"Tyler is the co-founder and CTO at Tennr. He met his co-founders, Trey and Diego, while studying at Stanford, and spent a year working in technical consulting before leaving to work with them. A dedicated midwesterner, he lives in Wisconsin with a lot of dogs!","linkedin":"https://www.linkedin.com/in/tyler-johnson-482a42158/"}]</t>
  </si>
  <si>
    <t>Trey</t>
  </si>
  <si>
    <t>https://bookface-images.s3.amazonaws.com/small_logos/6e91e9315abad17e20d9922b02f02927ab3652b4.png</t>
  </si>
  <si>
    <t>Tenyks</t>
  </si>
  <si>
    <t>Data-Centric Co-Pilot for Computer Vision Engineers</t>
  </si>
  <si>
    <t>Cambridge, United Kingdom</t>
  </si>
  <si>
    <t>[{"name":"Botty Dimanov","title":"Founder","bio":"Botty holds a PhD in Explainable AI from the University of Cambridge. During his studies, he started 4 bootstrapped businesses with little external funding, while publishing 7 papers at Top Tier AI conferences. As the President of the Cambridge University Entrepreneurs Society, Botty turned around the organisation during its worst years to increase the annual KPIs by 50%.","linkedin":"https://www.linkedin.com/in/botty-dimanov/"},{"name":"Dmitry Kazhdan","title":"Founder","bio":"Dmitry is finishing his PhD in Explainable AI from the University of Cambridge. During his studies, Dmitry has co-authored over 8 academic papers, and supervised 4 student thesis projects. In addition to his academic expertise, Dmitry has gained relevant industry experience through Software Engineer and Machine Learning Researcher internships at companies such as Arm, Nokia Bell Labs, and Redgate Software.","linkedin":"https://www.linkedin.com/in/dmitry-kazhdan/"}]</t>
  </si>
  <si>
    <t>Botty</t>
  </si>
  <si>
    <t>https://bookface-images.s3.amazonaws.com/small_logos/7006298209ca0e4b566665242aadbc44f58b1d59.png</t>
  </si>
  <si>
    <t>Termii</t>
  </si>
  <si>
    <t>Termii is helps businesses communicate with customers globally.</t>
  </si>
  <si>
    <t>[{"name":"EMMANUEL GBOLADE","title":"Founder","bio":"I am a digital marketing expert with vast experience in web technology, business management, business analytics, financial technology and entrepreneurship. Currently serving as the CEO at Termii, my past roles include Chief Operating Officer at Accounteer, Chief Technology Officer at heels.com.ng and Chief Technology Officer at ingenius.ng.","linkedin":"https://www.linkedin.com/in/gboladeemmanuel/"},{"name":"Ayomide Awe","title":"Founder","bio":"","linkedin":"https://www.linkedin.com/in/oluwatayo-awe/"}]</t>
  </si>
  <si>
    <t>EMMANUEL</t>
  </si>
  <si>
    <t>https://bookface-images.s3.amazonaws.com/small_logos/a54a2a9f21db0b647ce9e9aeb97ad44e0ab45105.png</t>
  </si>
  <si>
    <t>Termius</t>
  </si>
  <si>
    <t>Termius is an SSH client with team collaboration features</t>
  </si>
  <si>
    <t>https://bookface-images.s3.amazonaws.com/small_logos/f2ba51393107c60fc73e0c01a4165e444e0e8755.png</t>
  </si>
  <si>
    <t>Terra API</t>
  </si>
  <si>
    <t>API for developers to connect to health data from wearables and…</t>
  </si>
  <si>
    <t>[{"name":"Kyriakos Eleftheriou","title":"Founder","bio":"CEO and founder of Terra API.  ex Special Forces, Forbes 30 under 30 and Imperial Alumnus","linkedin":"https://www.linkedin.com/in/kyriakos-eleftheriou/"}]</t>
  </si>
  <si>
    <t>We are launching today Health Scores: The easiest way for developers to integrate and display scores such as Sleep, Stress, Heart Health, Training Load and many more.</t>
  </si>
  <si>
    <t>Kyriakos</t>
  </si>
  <si>
    <t>https://bookface-images.s3.amazonaws.com/small_logos/97a6c134a2281fc0b76fb07a0fe0c197e4948543.png</t>
  </si>
  <si>
    <t>Tesorio</t>
  </si>
  <si>
    <t>Tesorio is the cash flow performance platform that helps finance…</t>
  </si>
  <si>
    <t>[{"name":"Fabio Fleitas","title":"Founder","bio":"Co-Founder &amp; CTO @ Tesorio","linkedin":"http://www.linkedin.com/in/fabiofleitas"},{"name":"Carlos Vega","title":"/CEO","bio":"Co-founder &amp; CEO","linkedin":"https://www.linkedin.com/pub/carlos-r-vega/"}]</t>
  </si>
  <si>
    <t>Fabio</t>
  </si>
  <si>
    <t>https://bookface-images.s3.amazonaws.com/small_logos/ca7ba720859e309c7fb63d87f38791243c9e8a8f.png</t>
  </si>
  <si>
    <t>The Muse</t>
  </si>
  <si>
    <t>The Muse is values-based job search &amp;amp; hiring for 7M+ monthly</t>
  </si>
  <si>
    <t>[{"name":"Alex Cavoulacos","title":"Founder","bio":"Founder at Meta Angels and Angel Labs.\nPrevious: Founder at The Muse (W12). Author \"The New Rules of Work\", Parisian living in NYC","linkedin":"https://www.linkedin.com/in/acavoulacos/"},{"name":"Kathryn Minshew","title":"Founder","bio":"","linkedin":"https://www.linkedin.com/in/kathryn-minshew/"},{"name":"Melissa Quino McCreery","title":"Founder","bio":"","linkedin":""}]</t>
  </si>
  <si>
    <t>https://bookface-images.s3.amazonaws.com/small_logos/bb7ca44603c00a75f64928d565e780f76a618ec7.png</t>
  </si>
  <si>
    <t>Thematic</t>
  </si>
  <si>
    <t>We analyze feedback to help companies improve customer experience</t>
  </si>
  <si>
    <t>Auckland, New Zealand</t>
  </si>
  <si>
    <t>[{"name":"Alyona Medelyan","title":"/CEO","bio":"Alyona Medelyan, Ph.D. is the CEO of Thematic, an AI-driven customer insights solution. Thematic helps companies improve customer and product experience through insights from customer feedback. Their customers include LinkedIn, DoorDash, LinkedIn and Vodafone. Alyona holds a PhD in Natural Language Processing (NLP). Her academic publications have been cited by more than 2500 researchers. She frequently speaks on this topic at Data Science, AI and Customer Experience conferences.","linkedin":"https://www.linkedin.com/in/medelyan"},{"name":"Nathan Holmberg","title":"/Vice President of Product","bio":"","linkedin":"https://www.linkedin.com/in/nathanholmberg/"}]</t>
  </si>
  <si>
    <t>Alyona</t>
  </si>
  <si>
    <t>https://bookface-images.s3.amazonaws.com/small_logos/9fdfd6d76b44b6fa6fbb40a4e9c99072a13924b8.png</t>
  </si>
  <si>
    <t>Thera</t>
  </si>
  <si>
    <t>Payroll, Banking, Bill Pay For Global Teams</t>
  </si>
  <si>
    <t>https://bookface-images.s3.amazonaws.com/small_logos/be48f91ee0abbdfaf66f197ff24389b8250091c8.png</t>
  </si>
  <si>
    <t>ThinAir</t>
  </si>
  <si>
    <t>Intelligent data security for teams</t>
  </si>
  <si>
    <t>Threshold</t>
  </si>
  <si>
    <t>Network for decentralized threshold cryptography and end-to-end…</t>
  </si>
  <si>
    <t>tBTC is a trust-minimized bitcoin bridge that lets users wrap their BTC in exchange for tBTC tokens that can be deployed permissionlessly in the Ethereum DeFi ecosystem. Bitcoin is the most pristine digital asset and it deserves a decentralized financial system that's equally pristine. Mint tBTC and use your BTC as collateral to borrow, lend, LP, and more on Ethereum.</t>
  </si>
  <si>
    <t>Thunderpod</t>
  </si>
  <si>
    <t>Community Engagement Platform</t>
  </si>
  <si>
    <t>India</t>
  </si>
  <si>
    <t>https://bookface-images.s3.amazonaws.com/small_logos/91478c7c3ca52d34bc10c964c9668b6eb566be9c.png</t>
  </si>
  <si>
    <t>Thunkable</t>
  </si>
  <si>
    <t>Thunkable is the no-code platform to build powerful native mobile apps</t>
  </si>
  <si>
    <t>[{"name":"Arun Saigal","title":"/CEO","bio":"Named to Forbes 30 Under 30 and a sought-after thought leader in the no code space, Arun Saigal is leading the revolution in no code mobile development. He is the co-founder and CEO of Thunkable, the no-code tool that allows anyone to design, develop, and deploy native Android, iOS, and mobile web applications. Through Thunkable, Arun has empowered more than three million people in 184 countries to build more than seven million apps with his company.","linkedin":"https://www.linkedin.com/in/aksaigal"},{"name":"WeiHua Li","title":"/CTO","bio":"","linkedin":"https://www.linkedin.com/pub/weihua-li/14/877/62b"}]</t>
  </si>
  <si>
    <t>Arun</t>
  </si>
  <si>
    <t>https://bookface-images.s3.amazonaws.com/small_logos/44fe9d14461cf9ef20c54977438d35f2f917c3bf.png</t>
  </si>
  <si>
    <t>TigerEye</t>
  </si>
  <si>
    <t>Modern enterprise software for sales leaders</t>
  </si>
  <si>
    <t>[{"name":"Tracy Young","title":"Founder","bio":"","linkedin":"https://www.linkedin.com/in/tracy-young-0a17441"},{"name":"Ralph Gootee","title":"Founder","bio":"My name is Ralph.  \n- I'm a second time founder, my first company exited to ADSK for $900m Net.\n- My background is abstract mathematics\n- I have 3 young children\n- My free time is spent reading and drawing","linkedin":"https://www.linkedin.com/in/ralphleon/"}]</t>
  </si>
  <si>
    <t>Tracy</t>
  </si>
  <si>
    <t>https://bookface-images.s3.amazonaws.com/small_logos/cb773861a8ee7d9c8f9ea1ad72eeeb3cc4a2283e.png</t>
  </si>
  <si>
    <t>Together Software</t>
  </si>
  <si>
    <t>Learn from the experts at your company.</t>
  </si>
  <si>
    <t>[{"name":"Nathan Goldstein","title":"Founder","bio":"Product at Together Software.","linkedin":"https://www.linkedin.com/in/nathan-goldstein-4a65aa52/"},{"name":"Matthew Reeves","title":"Founder","bio":"Co-founder Together, ex-BCG","linkedin":"https://www.linkedin.com/in/matthew-reeves-b406b962/"}]</t>
  </si>
  <si>
    <t>https://bookface-images.s3.amazonaws.com/small_logos/e02812a1fa539decb61773abfaa6945dded7849f.png</t>
  </si>
  <si>
    <t>Topline Pro</t>
  </si>
  <si>
    <t>Generative AI powered Shopify for home service professionals</t>
  </si>
  <si>
    <t>[{"name":"Nick Ornitz","title":"Founder","bio":"Nick is the Co-Founder and CEO of Topline Pro. Nick has a background working and consulting in the construction industry focusing on building technologies. He has focused primarily on go-to-market strategy and sales. He graduated Cornell university with a degree in chemical engineering and has completed one year of Harvard Business School before taking leave to work on ProPhone full time. \n\nIn his free time, Nick likes almost anything in nature including hiking, sailing, skiing and scuba diving.","linkedin":"https://www.linkedin.com/in/nick-ornitz-766935a5/"},{"name":"Shannon Kay","title":"Founder","bio":"Shannon is the co-founder and CPO of ProPhone. Prior to ProPhone, she completed her first year of Harvard MS in Engineering Sciences / MBA dual degree. She has a background in data and analytics and systems engineering. She's an amateur photographer, ice cream aficionado, and swimming enthusiast.","linkedin":"https://www.linkedin.com/in/shannonekay/"}]</t>
  </si>
  <si>
    <t>https://bookface-images.s3.amazonaws.com/small_logos/c43a0f3a8285bc157c443799365f68e59cff1e3c.png</t>
  </si>
  <si>
    <t>Topship</t>
  </si>
  <si>
    <t>Flexport for African Merchants - Building the OS for Global Logistics</t>
  </si>
  <si>
    <t>[{"name":"Moses Enenwali","title":"Founder","bio":"Moses spent over 8 years working at the intersection of technology and supply chain. \nHe has a background in finance and consulting, and worked as an Associate at EY, specialising in transfer pricing, tax planning, and corporate finance. As a college student, Moses founded Timewall Coffee, focused on importing and distributing coffee beans from rural Nigeria to local coffee shops in the UK.","linkedin":"https://www.linkedin.com/in/moses-o-enenwali-b37694192/"},{"name":"Junaid Babatunde","title":"Founder","bio":"• Built largest auto financing platform in Africa - Autochek.\n• Lead Engineer at Cars45 (acquired).\n• Ex founder of Nigeria’s first online ticketing platform - Ticketmax","linkedin":"https://www.linkedin.com/in/junaid-babatunde-9a7929147/"}]</t>
  </si>
  <si>
    <t>Moses</t>
  </si>
  <si>
    <t>https://bookface-images.s3.amazonaws.com/small_logos/0515d5ceabf1836928bb3854d46f1f16a5323c01.png</t>
  </si>
  <si>
    <t>Traces</t>
  </si>
  <si>
    <t>Transform your video monitoring with AI</t>
  </si>
  <si>
    <t>[{"name":"Veronika Yurchuk","title":"Founder","bio":"CTO and co-founder at Traces AI","linkedin":"https://www.linkedin.com/in/veronikayurchukdatascience/"},{"name":"Kostyantyn Shysh","title":"Founder","bio":"","linkedin":"https://www.linkedin.com/in/kostyantyn-shysh-a8ab4a77/"}]</t>
  </si>
  <si>
    <t>Veronika</t>
  </si>
  <si>
    <t>https://bookface-images.s3.amazonaws.com/small_logos/95c9d28f031050f88288e5b80195b4ca69c2dd41.png</t>
  </si>
  <si>
    <t>TrackChain</t>
  </si>
  <si>
    <t>AI-Logistics Operating System for Shippers &amp;amp; 3PLs</t>
  </si>
  <si>
    <t>[{"name":"Eduardo Narvaez","title":"Founder","bio":"Founder and CEO\n\nWith over 10 years of experience in the logistics industry, I have had the privilege of being involved in our family's transport business, a company with over 20 years of standing in the sector. I've been engaged in projects centered on Environmental Economics, emission reductions in the Supply Chain, and Global Change. I've had the honor of collaborating with esteemed organizations such as the Caixa Bank Foundation, the Generalitat of Catalunya, and the Club of Rome.","linkedin":"https://www.linkedin.com/in/eduardoakil/"},{"name":"Hugo Alvarez","title":"Founder","bio":"Founder and CFO-Growth \n\nI worked as director of development of financial algorithms in Microbit, a company based in CDMX, and I was an advisor on investment strategies at Cretum Capital Partners, a company that specializes in investment management, corporate advisory services, and more informed decision making with Bigdata, a place were I learned software coding. My family is working in international trade for 10 years ago.","linkedin":"https://www.linkedin.com/in/hugo-alvarez-248867132/"}]</t>
  </si>
  <si>
    <t>https://bookface-images.s3.amazonaws.com/small_logos/342433dcc9840812ba21edf14f03992ff4d9704f.png</t>
  </si>
  <si>
    <t>Trella</t>
  </si>
  <si>
    <t>Trella is a platform that connects shippers to carriers. Trella…</t>
  </si>
  <si>
    <t>[{"name":"Omar Hagrass","title":"Founder","bio":"Omar is the founder and CEO of Trella. Prior to Trella, Hagrass was a launch and expansion manager where he led the launch of Uber Eats in EMEA and launched more than 50 cities across UAE, South Africa, Egypt and the United Kingdom.","linkedin":"https://www.linkedin.com/in/omar-hagrass-9674a663/"},{"name":"Ali El Atrash","title":"Founder","bio":"","linkedin":"https://www.linkedin.com/in/alielatrash/"},{"name":"Pierre Saad","title":"Founder","bio":"","linkedin":"https://www.linkedin.com/in/pierresaad"}]</t>
  </si>
  <si>
    <t>Omar</t>
  </si>
  <si>
    <t>https://bookface-images.s3.amazonaws.com/small_logos/cc0392a6dc28d30c2289f39323355c013d2df608.png</t>
  </si>
  <si>
    <t>Trellis</t>
  </si>
  <si>
    <t>AI-powered workflows for unstructured data</t>
  </si>
  <si>
    <t>[{"name":"Mac Klinkachorn","title":"Founder","bio":"Mac is the co-founder and CEO of Trellis. Previously, he worked at the Stanford AI lab on large multimodal models with the DoD and built ML infrastructure at Cresta, Moveworks, and Amazon. Mac started his first company at 15, building water leak detection systems, and grew it to six figures in ARR.","linkedin":"https://linkedin.com/in/sirapop-klinkachorn-stanford"},{"name":"Jacky Lin","title":"Founder","bio":"Jacky is a co-founder of Trellis and has taught hundreds of Stanford graduate students how to build, train, and deploy AI models in the Stanford School of Engineering &amp; Graduate School of Business. Previously, he worked at Meta, the World Bank, and Wayfair.","linkedin":"https://linkedin.com/in/jhslin"}]</t>
  </si>
  <si>
    <t>After launching our APIs and ETL solution earlier this year on HackerNews, we saw great adoption from fast-growing startups and enterprises looking to deliver best-in-class PDF and unstructured data processing experiences.</t>
  </si>
  <si>
    <t>Mac</t>
  </si>
  <si>
    <t>https://bookface-images.s3.amazonaws.com/small_logos/75cdaab0ca75d9873d7ed2e377b25cb3ae95abb5.png</t>
  </si>
  <si>
    <t>Trendpop</t>
  </si>
  <si>
    <t>Discover trends as they happen</t>
  </si>
  <si>
    <t>[{"name":"Jonathan Ben-tzur","title":"Founder","bio":"With 13+ years of experience under my belt and combining a strong technical foundation with entrepreneurial spirit, I've successfully navigated the tech landscape from software engineering to founding and scaling my own company. My experience spans across top tech companies where I've driven significant advancements in data engineering, product management, and team development. My passion lies in creating environments where innovation and collaboration thrive.","linkedin":"https://www.linkedin.com/in/bentzur"}]</t>
  </si>
  <si>
    <t>https://bookface-images.s3.amazonaws.com/small_logos/b40e160733825b6020e2d1156723b24f3f649def.png</t>
  </si>
  <si>
    <t>Trigger</t>
  </si>
  <si>
    <t>Better PhoneGap.</t>
  </si>
  <si>
    <t>Triplebyte</t>
  </si>
  <si>
    <t>Intelligent technical hiring.</t>
  </si>
  <si>
    <t>https://bookface-images.s3.amazonaws.com/small_logos/b2db5bb9d86da1264497210fa121a02814b31acb.png</t>
  </si>
  <si>
    <t>TrueNorth</t>
  </si>
  <si>
    <t>TrueNorth gives truckers a single place to manage their business.</t>
  </si>
  <si>
    <t>https://bookface-images.s3.amazonaws.com/small_logos/88bc0fa14209c82724c39b4b394f18e06ea23e95.png</t>
  </si>
  <si>
    <t>Truora</t>
  </si>
  <si>
    <t>Reliable background checks &amp;amp; fraud prevention tools for Latin America.</t>
  </si>
  <si>
    <t>Cali, Colombia</t>
  </si>
  <si>
    <t>https://bookface-images.s3.amazonaws.com/small_logos/77b3d44d91a474eb7bbba036d2f49c592582fe31.png</t>
  </si>
  <si>
    <t>Turing Labs Inc.</t>
  </si>
  <si>
    <t>AI for R&amp;amp;D of consumer brands like P&amp;amp;G to develop better products</t>
  </si>
  <si>
    <t>[{"name":"Manmit Shrimali","title":"Founder","bio":"Manmit Shrimali is founder &amp; CEO of Turing Labs, a world's first AI-R&amp;D platform. He founded the company in 2019 to help CPG R&amp;D formulate consumer winning products 10x faster and better. embrace. He raised more than $18m in funding from leading venture fund and notable angels in Silicon Valley. Today, Turing serves several global CPGs helping them embrace new way of formulating consumer products - from detergents to sauces.","linkedin":"https://www.linkedin.com/in/manmitshrimali/"}]</t>
  </si>
  <si>
    <t>Manmit</t>
  </si>
  <si>
    <t>https://bookface-images.s3.amazonaws.com/small_logos/51b9cb2b4a9873a75bbecddb957db0e52fd65b12.png</t>
  </si>
  <si>
    <t>Two Dots</t>
  </si>
  <si>
    <t>AI fraud prevention and underwriting agent</t>
  </si>
  <si>
    <t>[{"name":"Henson Orser","title":"Founder","bio":"Building Two Dots - AI fraud prevention and underwriting agent.","linkedin":"https://www.linkedin.com/in/henson-orser/"},{"name":"Max Ponte","title":"Founder","bio":"Max started his career as one of the first engineers on the income verification team at Blend, spending years working on this problem before making the jump to work on search at Google. After experiencing both the excitement of being early at a rapidly scaling startup (Blend is now public), and the mega-scale of search at Google, we decided we were the team to tackle the gigantic problem of payroll data.","linkedin":"http://linkedin.com/in/maxponte"}]</t>
  </si>
  <si>
    <t>Traditionally when a consumer wants to borrow money, take out a mortgage, or rent an apartment, they need to provide the underwriter with a bunch of financial documents to prove they can afford the product.  This is a time consuming &amp;amp; fraud ridden process!</t>
  </si>
  <si>
    <t>Henson</t>
  </si>
  <si>
    <t>https://bookface-images.s3.amazonaws.com/small_logos/e8b36a45fa3e2b7353a65799934a6decddebd57a.png</t>
  </si>
  <si>
    <t>Two Tap</t>
  </si>
  <si>
    <t>Two Tap connects retailers to companies that want to sell their…</t>
  </si>
  <si>
    <t>[{"name":"Radu Spineanu","title":"/CEO","bio":"Founded: Two Tap (acquired by Honey, Honey was later acquired by PayPal) - 2Performant (first affiliate network in Romania, had a tiny IPO).\n\nSide projects: YC's Carbon RFS, HelpWithCovid.","linkedin":"https://linkedin.com/in/sradu"},{"name":"Razvan Roman","title":"/President","bio":"","linkedin":"https://www.linkedin.com/in/razvanr/"}]</t>
  </si>
  <si>
    <t>Radu</t>
  </si>
  <si>
    <t>Tydo</t>
  </si>
  <si>
    <t>Turn your data into intelligence</t>
  </si>
  <si>
    <t>[{"name":"Scott Sonneborn","title":"Founder","bio":"","linkedin":"https://www.linkedin.com/in/scottsonneborn/"},{"name":"Manav Kohli","title":"Founder","bio":"Portland, Oregon native, now in Los Angeles. Claremont McKenna College graduate.","linkedin":"https://www.linkedin.com/in/manavkohli/"}]</t>
  </si>
  <si>
    <t>https://bookface-images.s3.amazonaws.com/small_logos/48848c19693fc99f897c757145ed09f04881b72f.png</t>
  </si>
  <si>
    <t>TyltGO</t>
  </si>
  <si>
    <t>TyltGO powers retailers with same-day delivery.</t>
  </si>
  <si>
    <t>[{"name":"Aaron Paul","title":"Founder","bio":"Ever since a young age Aaron has always had an entrepreneurial mindset, from selling study notes in Grade 9, to building TyltGO currently. With both an entrepreneurial mindset and his broad technical skillset Aaron is the perfect fit for TyltGO as the Chief Technology Officer. Aaron currently is in the University of Waterloo studying Engineering and applies what he learns from the world renowned university daily with TyltGO.","linkedin":"https://linkedin.com/in/a29paul"}]</t>
  </si>
  <si>
    <t>Aaron</t>
  </si>
  <si>
    <t>https://bookface-images.s3.amazonaws.com/small_logos/98904e01474bc9ab78f2791e442a5ff851498135.png</t>
  </si>
  <si>
    <t>Typewise</t>
  </si>
  <si>
    <t>Boosting customer service and sales productivity by 2-3x.</t>
  </si>
  <si>
    <t>Zürich, Switzerland</t>
  </si>
  <si>
    <t>[{"name":"David Eberle","title":"Founder","bio":"Co-Founder and CEO at Typewise, formerly Engagement Manager at Booz &amp; Company. Lived in 7+ countries.","linkedin":"https://www.linkedin.com/in/davidaeberle/"},{"name":"Janis Berneker","title":"Founder","bio":"Co-Founder and CTO at Typewise, formerly Lead Data Science at Swiss National Broadcaster SRF. Loves coding since he was a kid. Speaks 5+ languages.","linkedin":"https://www.linkedin.com/in/janis-berneker/"}]</t>
  </si>
  <si>
    <t>Hi guys, we’re Janis and David on a mission to make daily lives easier by decoding human thoughts. We build text prediction software, which is used in various customer service and sales teams of large enterprises.</t>
  </si>
  <si>
    <t>https://bookface-images.s3.amazonaws.com/small_logos/037b66c1bbe3365f03b5de5fac263f8ea652ae3f.png</t>
  </si>
  <si>
    <t>URX</t>
  </si>
  <si>
    <t>Mobile ads that users like. Acquired by Pinterest in May 2016.</t>
  </si>
  <si>
    <t>[{"name":"Nate Smith","title":"Founder","bio":"designer | investor | 2x founder \n\nCurrently founder and CEO at Plato Design Inc (S18)\nPreviously co-founder of URX (S13) – acquired by Pinterest","linkedin":"https://www.linkedin.com/in/nathanaelhsmith"}]</t>
  </si>
  <si>
    <t>Uiflow</t>
  </si>
  <si>
    <t>No-code platform for enterprise software companies</t>
  </si>
  <si>
    <t>[{"name":"Sol Eun","title":"Founder","bio":"- Co-founder and CEO of UI Flow\n- Formally at Workday as a PM Manager, Analytics\n- MEng Industrial Engineering '20 @ UC Berkeley\n- Previously at Pega leading reporting and data visualization","linkedin":"https://www.linkedin.com/in/soleun/"}]</t>
  </si>
  <si>
    <t>Sol</t>
  </si>
  <si>
    <t>https://bookface-images.s3.amazonaws.com/small_logos/f68a4b24e2ee28b18236caa367656f8fd63bfb11.png</t>
  </si>
  <si>
    <t>Unify</t>
  </si>
  <si>
    <t>Take Back Control of Your LLM ✨</t>
  </si>
  <si>
    <t>[{"name":"Daniel Lenton","title":"Founder","bio":"PhD in ML for 3D Vision + Robotics, Imperial College London.\n\nLove to dive deep into engineering rabbit holes 🕳️🐇","linkedin":"https://www.linkedin.com/in/daniellenton"}]</t>
  </si>
  <si>
    <t>Unify dynamically routes each prompt to the best LLM and provider so you can balance quality, speed, and cost with ease ✨</t>
  </si>
  <si>
    <t>https://bookface-images.s3.amazonaws.com/small_logos/027aebd8670e1f9af979f5faf2e16000e83da2c8.png</t>
  </si>
  <si>
    <t>Unlayer</t>
  </si>
  <si>
    <t>Unlayer makes embeddable email and web editing software.</t>
  </si>
  <si>
    <t>[{"name":"Adeel Raza","title":"Founder","bio":"I'm a serial technology entrepreneur with strong product focus.","linkedin":"https://www.linkedin.com/in/adeelr/"},{"name":"Muhammad Umair Siddique","title":"Founder","bio":"","linkedin":"https://linkedin.com/in/umairsiddique"}]</t>
  </si>
  <si>
    <t>Adeel</t>
  </si>
  <si>
    <t>https://bookface-images.s3.amazonaws.com/small_logos/3aea0f2a5c81d31fe777bfb89e0a2f8505498583.png</t>
  </si>
  <si>
    <t>Unravel Carbon</t>
  </si>
  <si>
    <t>Enterprise software for companies to track &amp;amp; reduce their carbon…</t>
  </si>
  <si>
    <t>[{"name":"Grace Sai","title":"Founder","bio":"Founder (exited), turned VC (Kauffman Fellow), turned ClimateTech founder (YCW22). Oxford MBA, INSEAD; based in Singapore.","linkedin":"https://www.linkedin.com/in/gracesai/"},{"name":"Marc Allen","title":"Founder","bio":"I'm a chemical engineer with over 20 years' experience in a number of areas, including in operations and design of hydrogen facilities. Since 2007, I've been focussed on climate change and sustainability - helping organisations estimate their emissions, determine their exposure to climate risk and develop climate change strategies. I've worked extensively in low-carbon energy, large-scale decarbonisation and in carbon markets and offsets.","linkedin":"https://www.linkedin.com/in/marc-allen-90697227/"}]</t>
  </si>
  <si>
    <t>Grace</t>
  </si>
  <si>
    <t>https://bookface-images.s3.amazonaws.com/small_logos/5ea8243f6dc8eeb03dde825a84292c7087f12559.png</t>
  </si>
  <si>
    <t>Unsaddl</t>
  </si>
  <si>
    <t>education benefits and leave of absence management</t>
  </si>
  <si>
    <t>[{"name":"Steve Troy","title":"Founder","bio":"Steve Troy is CEO and Co-Founder of Unsaddl, Inc.\n\nHe was previously a Financial Analyst at Education Loan Finance (“ELFI”) where he launched student loan products with over $1B in originations\n\nHe received an AB in Economics with a certificate in Finance from Princeton University.","linkedin":"https://www.linkedin.com/in/steve-t-79268b102/"},{"name":"Chris Hsu","title":"Founder","bio":"Chris Hsu is CTO and Co-Founder of Unsaddl, Inc.\n\nHe was previously a Senior Software Engineer at Squarespace, building out the platforms powering customer communications, customer protection, and interactive media across millions of Squarespace sites.\n\nHe received a BSE in Computer Science from Princeton University.","linkedin":"http://linkedin.com/in/cjhsu"}]</t>
  </si>
  <si>
    <t>https://bookface-images.s3.amazonaws.com/small_logos/b77103b76f2f5deecfe6a6d496bb7883350ab523.png</t>
  </si>
  <si>
    <t>Upfort</t>
  </si>
  <si>
    <t>Turnkey security &amp;amp; hassle-free cyber insurance from leading insurers</t>
  </si>
  <si>
    <t>[{"name":"Han Wang","title":"Founder","bio":"US Army Officer turned startup founder, with an expertise in cybersecurity and computational mathematics.","linkedin":"http://www.linkedin.com/in/hanwangcyber"},{"name":"Daniel Bilbao","title":"Founder","bio":"","linkedin":"https://www.linkedin.com/in/danielbilbao/"}]</t>
  </si>
  <si>
    <t>https://bookface-images.s3.amazonaws.com/small_logos/00594b41a6ca6cb9abcc26aadf60196e866c0990.png</t>
  </si>
  <si>
    <t>Upverter</t>
  </si>
  <si>
    <t>The future of hardware design. A marketplace for hardware engineering…</t>
  </si>
  <si>
    <t>Upwave</t>
  </si>
  <si>
    <t>Marketing analytics for the world&amp;#39;s biggest brand marketers</t>
  </si>
  <si>
    <t>https://bookface-images.s3.amazonaws.com/small_logos/1f54497f04f477d48798e121ae874b32c9bb6f4e.png</t>
  </si>
  <si>
    <t>UserGems</t>
  </si>
  <si>
    <t>AI-powered sales solution based on your best customers</t>
  </si>
  <si>
    <t>Austria</t>
  </si>
  <si>
    <t>https://bookface-images.s3.amazonaws.com/small_logos/4871a9dcb74ef8a41b1532167a4c54c5ba5b7354.png</t>
  </si>
  <si>
    <t>Valienta</t>
  </si>
  <si>
    <t>Helping Dropshippers in Colombia run the business and increase sales</t>
  </si>
  <si>
    <t>Medellín, Colombia</t>
  </si>
  <si>
    <t>[{"name":"Juan Camilo Vallejo","title":"Founder","bio":"Product manager, entrepreneur, and Y Combinator-backed founder with experience managing organizations &amp; building digital products. With experience in; structuring value propositions &amp; business models, raising capital ($1MM raised), developing product strategies, aligning teams, coordinating development, and taking product &amp; features from idea to launch. Understanding that in the end, the only thing that matters is finding Product-Market Fit.","linkedin":"https://www.linkedin.com/in/juan-camilo-vallejo-432431ba/"},{"name":"Juan M Botero","title":"Founder","bio":"","linkedin":"https://www.linkedin.com/in/juanmanuelbotero/"},{"name":"Jose Tamura","title":"Founder","bio":"","linkedin":"https://www.linkedin.com/in/josegabrieltamura/"}]</t>
  </si>
  <si>
    <t>Juan</t>
  </si>
  <si>
    <t>https://bookface-images.s3.amazonaws.com/small_logos/ed69a13f5824e52e08a1fbd94f003fd4adf6c6bc.png</t>
  </si>
  <si>
    <t>VectorShift</t>
  </si>
  <si>
    <t>No-Code Generative AI Automations Platform</t>
  </si>
  <si>
    <t>[{"name":"Alexander Leonardi","title":"Founder","bio":"CEO at VectorShift. Previously Private Equity Data Science Analyst at Blackstone, where he evaluated private equity transactions, deployed AI/ML solutions for portfolio companies, and helped establish Blackstone's perspectives and capabilities surrounding Generative AI. AB/SM in Statistics &amp; Computer Science from Harvard. Grew the Harvard College Consulting Group &gt;200% YoY to &gt;$1m annual revenue as CEO.","linkedin":"https://linkedin.com/in/alexanderleonardi"},{"name":"Albert Mao","title":"Founder","bio":"COO at VectorShift. Former Tech GTM / product consultant at McKinsey. Studied Statistics at Harvard '21. Grew the Harvard College Consulting Group &gt;200% Y/Y to &gt;$1M Revenue as the CRO.","linkedin":"https://linkedin.com/in/albert-mao-8b263aa2"}]</t>
  </si>
  <si>
    <t>Through drag-and-drop components, VectorShift’s no-code builder allows you to:</t>
  </si>
  <si>
    <t>https://bookface-images.s3.amazonaws.com/small_logos/5a28987b3e1b3effc2a33ce770fc25f4424fc775.png</t>
  </si>
  <si>
    <t>Velt</t>
  </si>
  <si>
    <t>Add powerful collaboration features to your product ridiculously fast.</t>
  </si>
  <si>
    <t>[{"name":"Rakesh Goyal","title":"Founder","bio":"I am the co-founder &amp; CEO of Velt. Previously, I was a Product Manager at Google for 9 yrs. I've launched strategic products like AR in Google Maps &amp; Search.\n\nNothing great was ever built alone. Technology has made the world a small place. It enables people to work together no matter where they are. This was never possible before. Velt will make the world more collaborative &amp; build more great things. \n\nI grew up in India &amp; now live in San Francisco. I love camping 🏕 &amp; star gazing 🌌","linkedin":"https://www.linkedin.com/in/rmgoyal/"}]</t>
  </si>
  <si>
    <t>It's fully customizable and comes with a lot of powerful built-in features like attachments, mentions, recording, notifications and more.</t>
  </si>
  <si>
    <t>Rakesh</t>
  </si>
  <si>
    <t>https://bookface-images.s3.amazonaws.com/small_logos/36bc77538c7b2b901965b5e1ff49fe05b84cc1f1.png</t>
  </si>
  <si>
    <t>Verihubs</t>
  </si>
  <si>
    <t>AI-powered Deepfake Detection</t>
  </si>
  <si>
    <t>[{"name":"Rick Firnando","title":"Founder","bio":"Rick is a CEO at Verihubs who has 9+ years of B2B experience. Strong focus on business and customer development. Prior to this venture, he has worked as Head of BD at B2B CPaaS company focused on SEA digital apps and services and helped the company grew ARR by 3x within a year.","linkedin":"https://www.linkedin.com/in/rickfirnando/"}]</t>
  </si>
  <si>
    <t>https://bookface-images.s3.amazonaws.com/small_logos/6cd1bdfd7d2437eb0039877d56e28ab3c08383b4.png</t>
  </si>
  <si>
    <t>Versori</t>
  </si>
  <si>
    <t>Add fully custom native connectors to your SaaS in hours</t>
  </si>
  <si>
    <t>Manchester, United Kingdom</t>
  </si>
  <si>
    <t>[{"name":"Sean Brown","title":"Founder","bio":"Previously Founder and CEO at Mercarto (eCommerce/marketplace platform - acquired) and Hatch (Influencer Platform Acquired by Social Chain AG), Sean is fanatical about building technology to provide critical business infrastructure. \n\nHis strengths lie in Product and Business Development, by merging the two results in great product that delivers best in class products that provide high value solutions to clients.","linkedin":"https://www.linkedin.com/in/sean1brown/"},{"name":"Dan Jones","title":"Founder","bio":"Dan is a CTO/Founder who loves getting stuck into code and is an advocate for all things cloud-native. With experiences in both public and private sectors, spanning industries such as Finance, Telecoms, Healthcare and Commerce, Dan has grounded himself as a versatile software engineer capable of solving complex problems in simple ways.","linkedin":"https://www.linkedin.com/in/dan-jones25217"}]</t>
  </si>
  <si>
    <t>https://bookface-images.s3.amazonaws.com/small_logos/4a43c6cd4040e511134228e1f184c25114b22329.png</t>
  </si>
  <si>
    <t>Veryfi, Inc.</t>
  </si>
  <si>
    <t>APIs to Liberate Trapped Data in Unstructured Documents</t>
  </si>
  <si>
    <t>[{"name":"Dmitry Birulia","title":"Founder","bio":"2017: Cofounded Veryfi to build Stripe for Data Extraction &amp; Transformation   \n2010: Led 3 Engineering teams at Coupons, Inc. (NYSE: QUOT). Experienced evolution of the company from a Startup to IPO   \n2009: Came to the US from Belarus   \n2006: Master's Degree in Computer Science","linkedin":"https://www.linkedin.com/in/birulia"},{"name":"Ernest Semerda","title":"Founder","bio":"2017: Cofounded Veryfi to build the world’s most experienced data extraction expert!\n2012: Cofounded (Medlert, now VectorCare); a logistics &amp; communication platform to connect hospitals to ambulances in the US #HealthTech. Today the software powers logistics &amp; communication at Kaiser, Sutter, Emery et al.\n2010: Led International Engineering at Coupons, Inc. (now Quotient Technologies NYSE: QUOT). Got to experience the journey from startup to a $2B IPO.","linkedin":"https://www.linkedin.com/in/semerda"}]</t>
  </si>
  <si>
    <t>Dmitry</t>
  </si>
  <si>
    <t>https://bookface-images.s3.amazonaws.com/small_logos/b363a44bfe1278786c4092bd157ce82f208e1a21.png</t>
  </si>
  <si>
    <t>Vetcove</t>
  </si>
  <si>
    <t>Powering the animal health supply chain.</t>
  </si>
  <si>
    <t>Miami, FL</t>
  </si>
  <si>
    <t>[{"name":"Alex Kates","title":"/CEO","bio":"N/A","linkedin":"http://linkedin.com/in/alexkates"},{"name":"Mitchell Kates","title":"/Tech","bio":"","linkedin":"https://www.linkedin.com/in/mitchkates"}]</t>
  </si>
  <si>
    <t>https://bookface-images.s3.amazonaws.com/small_logos/c14ca2790645cac39d58fb3153dab0e3e2c7e005.png</t>
  </si>
  <si>
    <t>Videopixie</t>
  </si>
  <si>
    <t>Marketplace for Video Production Services.  We help you hire the best…</t>
  </si>
  <si>
    <t>Vimmerse</t>
  </si>
  <si>
    <t>Bring your photos to life with Vimmerse</t>
  </si>
  <si>
    <t>[{"name":"Basel Salahieh","title":"Founder","bio":"Basel Salahieh is a founder and CEO of Vimmerse, Inc. with over 18 years of experience and 20+ patent in immersive media, and a Ph.D. in Electrical and Computer Engineering. Prior to Vimmerse, Basel worked as an immersive media algorithms and standards architect at Intel and served as the lead editor for MPEG Immersive Video Test Model. Through Vimmerse, Basel is helping businesses, marketplaces, and designers to animate their visuals and expand their digital branding capabilities.","linkedin":"https://www.linkedin.com/in/baselsalahieh/"}]</t>
  </si>
  <si>
    <t>Basel</t>
  </si>
  <si>
    <t>https://bookface-images.s3.amazonaws.com/small_logos/a1482a962d8fe4ce7caaf57c66235bd646c33977.png</t>
  </si>
  <si>
    <t>Vinco</t>
  </si>
  <si>
    <t>Retaining employees in LatAm via education</t>
  </si>
  <si>
    <t>[{"name":"Lissy Giacoman","title":"Founder","bio":"Lissy is CEO of Vinco, responsible for corporate matters, investor relations and overall company alignment. As a former BCG consultant, Lissy has experience in digital strategy, big data and analytics. Throughout her life, she has also taken on several teaching jobs. Currently, she teaches a Strategy course at the Tec de Monterrey. Although born and raised in Monterrey, Mexico, Lissy did her MBA at the MIT Sloan School of Management and her undergraduate degree in Economics at Yale University.","linkedin":"https://www.linkedin.com/in/lissymgiacoman/"},{"name":"Miriam Fernandez","title":"Founder","bio":"Miriam is co-founder and COO at Vinco, where she oversees academic and employer partnerships. Miriam is a graduate of Georgetown's School of Foreign Service. Hoya Saxa!","linkedin":"https://www.linkedin.com/in/miriam-fernandezgg/"},{"name":"Sofia Sada","title":"Founder","bio":"","linkedin":"http://linkedin.com/in/sasegovs/"}]</t>
  </si>
  <si>
    <t>Lissy</t>
  </si>
  <si>
    <t>https://bookface-images.s3.amazonaws.com/small_logos/504a9d091b6d5a424fb58e57a3490518c6e5262c.png</t>
  </si>
  <si>
    <t>Virool</t>
  </si>
  <si>
    <t>Virool provides native video advertising experience for the biggest…</t>
  </si>
  <si>
    <t>[{"name":"Alexander Debelov","title":"/CEO","bio":"I &lt;3 YC :)","linkedin":"https://www.linkedin.com/in/techentrepreneur1/"}]</t>
  </si>
  <si>
    <t>VoiceOps</t>
  </si>
  <si>
    <t>VoiceOps is a platform for analyzing enterprise voice. Our mission is…</t>
  </si>
  <si>
    <t>https://bookface-images.s3.amazonaws.com/small_logos/44ac30bb614305ce52fa98fc517bb853eae8d2ab.png</t>
  </si>
  <si>
    <t>Volantio</t>
  </si>
  <si>
    <t>Post-booking revenue and capacity optimization for airlines…</t>
  </si>
  <si>
    <t>https://bookface-images.s3.amazonaws.com/small_logos/cf9bb5e6e2675a17e58680fdafb1e6a3bef6c968.png</t>
  </si>
  <si>
    <t>Voosh</t>
  </si>
  <si>
    <t>Making Restaurants more data-driven!</t>
  </si>
  <si>
    <t>[{"name":"Priyam Saraswat","title":"Founder","bio":"I am second time entrepreneur after starting a bike sharing startup named Tazzobikes. Post that launched OYO in China and led new initiatives for a bike sharing startup Bounce.","linkedin":"https://www.linkedin.com/in/priyam-saraswat-93836020/"},{"name":"Kshitiz Sanghi","title":"Founder","bio":"Building Voosh- One-stop solution for restaurants to manage and grow on third party delivery platforms","linkedin":"htpp://linkedin.com/in/kshitizsanghi/"}]</t>
  </si>
  <si>
    <t>Priyam</t>
  </si>
  <si>
    <t>https://bookface-images.s3.amazonaws.com/small_logos/ef1e643c10958ceb8cbae838ae55d8e2e2a2d5d9.png</t>
  </si>
  <si>
    <t>Vori</t>
  </si>
  <si>
    <t>Vori is a modern operating system for supermarkets</t>
  </si>
  <si>
    <t>East Palo Alto, CA</t>
  </si>
  <si>
    <t>https://bookface-images.s3.amazonaws.com/small_logos/ce04cea0c7c1fdd2893b4d50aca57d665d3153ef.png</t>
  </si>
  <si>
    <t>Warmly,</t>
  </si>
  <si>
    <t>Autonomous sales platform to auto-email your warmest leads</t>
  </si>
  <si>
    <t>[{"name":"Max Greenwald","title":"Founder","bio":"First time founder learning a lot.","linkedin":"https://www.linkedin.com/in/max-greenwald/"},{"name":"Carina Boo","title":"Founder","bio":"Co-founder &amp; CTO at Warmly,. Learn more about who I am at a deeper level at https://pushpull.community/user/carina.","linkedin":"https://www.linkedin.com/in/carinaboo"},{"name":"Alan Zhao","title":"Founder","bio":"Traded foreign currency as a hobby throughout college. Joined the legacy proprietary trading group at Wells Fargo, and helped launch the bank’s first credit derivatives trading business. Saw that software and hardware breakthroughs were reaching an inflection point, and decided to transition to tech. Took a job building out the data analytics infrastructure at x.ai from scratch while picking up programming on the side. Joined On Deck, and met my current co-founders of Warmly 😊","linkedin":"https://www.linkedin.com/in/alan-j-zhao/"}]</t>
  </si>
  <si>
    <t>https://bookface-images.s3.amazonaws.com/small_logos/480be3f11921bc9ec24d0fe4b1f09548d6b9ec5c.png</t>
  </si>
  <si>
    <t>Wasmer</t>
  </si>
  <si>
    <t>The Operating System for Edge Computing</t>
  </si>
  <si>
    <t>https://bookface-images.s3.amazonaws.com/small_logos/97ea02f8fa3d6250285b27eb9529ebfee68db334.png</t>
  </si>
  <si>
    <t>Waterplan</t>
  </si>
  <si>
    <t>Water risk mitigation for industrial sites</t>
  </si>
  <si>
    <t>[{"name":"Jose Ignacio Galindo","title":"Founder","bio":"Jose Ignacio is co-founder &amp; CEO of Waterplan, helping orgs tackle water risk. Born in Patagonia’s Ushuaia, he’s a second-time founder with a background in software engineering. Before Waterplan, he co-founded Herolens (acquired by Innovid, NYSE: CTV) and was CSO at Wolox (now Accenture).","linkedin":"https://www.linkedin.com/in/joseignaciosg/"},{"name":"Nicolas Wertheimer","title":"Founder","bio":"New on the tech world. Medical doctor and social water entrepreneur for almost 10 years. Founder of Proyecto Agua Segura (Safe Water), a Latin American consulting firm that provides safe water access &amp; hygiene training to more than 300k people and delivered 3260 water projects with Fortune 500 companies. Global Shaper of the World Economic Forum, member of the Youth Congress for Sustainable Americas, Forbes 30 under 30, Chivas Venture Finalist.","linkedin":"https://www.linkedin.com/in/nicolas-wertheimer/"}]</t>
  </si>
  <si>
    <t>Jose</t>
  </si>
  <si>
    <t>https://bookface-images.s3.amazonaws.com/small_logos/56794ad6ea12a6e16aa87fe26ec5e7109ba0e46d.png</t>
  </si>
  <si>
    <t>Waydev</t>
  </si>
  <si>
    <t>AI Agents for Software Engineering Intelligence (SEI) market</t>
  </si>
  <si>
    <t>[{"name":"Alex Circei","title":"Founder","bio":"Chat GPT 4 Description: \n\nAlex Circei is an entrepreneur and technology professional. He is the co-founder and CEO of Waydev, an analytics platform for engineering leaders. Waydev helps engineering managers and executives gain insights into their software development teams' performance by analyzing codebases, pull requests, and other development metrics.\n\nBefore founding Waydev, Alex Circei had been involved in multiple technology companies and projects, gaining experience in software developmen","linkedin":"https://www.linkedin.com/in/alexcircei"},{"name":"Valentin Buzea","title":"Founder","bio":"Software is eating the world, but we are not data-driven in understanding software development.\n\nMost of the software development reports are related to manual input from engineers, Waydev generates useful reports for managers, without the input of the engineers.\n\nWaydev provides value with real-time metrics for your daily stand-ups, 1-to-1 meetings, history of your engineers' work, and benchmarking the stats with the industry average.","linkedin":"https://www.linkedin.com/in/valentinbuzea/"}]</t>
  </si>
  <si>
    <t>https://bookface-images.s3.amazonaws.com/small_logos/34b205bfaa1f489d8476a0f6fc5723576e3a9a03.png</t>
  </si>
  <si>
    <t>WaystoCap</t>
  </si>
  <si>
    <t>We are Alibaba of Africa. We are building a marketplace for African…</t>
  </si>
  <si>
    <t>[{"name":"Aziz Jaouhari","title":"/CTO","bio":"Aziz is the Co-founder and CTO of Swyt, leading the platform's technical innovation. Previously, he co-founded WaystoCap, the first Moroccan startup backed by Y Combinator, securing $4M in funding and achieving successful acquisition. Aziz has extensive experience in scaling tech ventures, including roles at Yola Fresh and YouCan Group, where he drove significant growth through advanced tech solutions. He holds a Master's in New Technologies and Project Management","linkedin":"https://www.linkedin.com/in/medaziz/"},{"name":"Anis Abdeddine","title":"/CSO","bio":"","linkedin":"https://www.linkedin.com/in/anis-abdeddine-a9ab74113"},{"name":"Niama El Bassunie","title":"/CEO","bio":"","linkedin":"https://www.linkedin.com/in/niama-el-bassunie-cfa"}]</t>
  </si>
  <si>
    <t>Aziz</t>
  </si>
  <si>
    <t>https://bookface-images.s3.amazonaws.com/small_logos/08707f6c6b2d9cf414a1e48065c876db689f59bd.png</t>
  </si>
  <si>
    <t>Weekday</t>
  </si>
  <si>
    <t>Hire engineers vouched by other techies</t>
  </si>
  <si>
    <t>[{"name":"Amit Singh","title":"Founder","bio":"Building Weekday - hire tech talent 10x faster. We help startup build teams in India. Previously built and exited a consumer social company (Memer)","linkedin":"https://www.linkedin.com/in/amitsy/"},{"name":"Chetan Dalal","title":"Founder","bio":"Founder of Weekday. We help companies hire premium talent in India. \nPreviously founded Memer (exited to ShareChat)","linkedin":"https://www.linkedin.com/in/chetan-dalal-68b7b249/"},{"name":"Anubhav Malik","title":"Founder","bio":"Co-founder at Weekday (W21). Previously worked at Unacademy and ShareChat as a software engineer and now building Tech at Weekday.","linkedin":"https://www.linkedin.com/in/anubhav-malik-developer/"}]</t>
  </si>
  <si>
    <t>Amit</t>
  </si>
  <si>
    <t>https://bookface-images.s3.amazonaws.com/small_logos/abebec09c171112b2f825b920689d4885969573a.png</t>
  </si>
  <si>
    <t>Welcome</t>
  </si>
  <si>
    <t>Create jaw dropping virtual events</t>
  </si>
  <si>
    <t>TLDR: Webinars are one of the most effective ways to get leads. Welcome focuses on creating webinars that drive engagement and revenue.</t>
  </si>
  <si>
    <t>https://bookface-images.s3.amazonaws.com/small_logos/064e50b587a597760a1cc224a7610121deca1c86.png</t>
  </si>
  <si>
    <t>Wingback</t>
  </si>
  <si>
    <t>Wingback provides tools and APIs for SaaS pricing and packaging.</t>
  </si>
  <si>
    <t>[{"name":"Torben Friehe","title":"Founder","bio":"I've been fascinated by technology since early childhood, which led me to founding 1aim, an IoT startup. I ran 1aim together with my co-founder Yann for seven years before it was acquired. After that, I provided advice to some founder friends. In late 2020, I joined On Deck. After many conversations with On Deck fellows in SaaS, Yann and I started building Wingback. Besides startups, I'm interested in Formula 1, cars, and planes, but also in architecture, fashion, and history.","linkedin":"http://linkedin.com/in/tfriehe"},{"name":"Yann Leretaille","title":"Founder","bio":"Co-Founder Wingback, Former Co-Founder 1aim","linkedin":"https://www.linkedin.com/in/yleretaille/"}]</t>
  </si>
  <si>
    <t>Torben</t>
  </si>
  <si>
    <t>https://bookface-images.s3.amazonaws.com/small_logos/de4dd6debd3ed51accf437ceb7b1b316e5fc5f36.png</t>
  </si>
  <si>
    <t>Wingman</t>
  </si>
  <si>
    <t>Wingman helps inside sales reps with coaching while they&amp;#39;re on a call.</t>
  </si>
  <si>
    <t>https://bookface-images.s3.amazonaws.com/small_logos/d85dfc73c9692fefd19b7eeec4502dc106fae113.png</t>
  </si>
  <si>
    <t>Wit.ai</t>
  </si>
  <si>
    <t>Natural Language for Developers --Wit is an API that makes it easy…</t>
  </si>
  <si>
    <t>[{"name":"Laurent Landowski","title":"Founder","bio":"Cofounded VirtuOz (acq. by Nuance), Wit.ai (acq. by FB), working currently on healthcare at Nabla","linkedin":""},{"name":"Willy Blandin","title":"Founder","bio":"","linkedin":""},{"name":"Alexandre Lebrun","title":"Founder","bio":"","linkedin":""}]</t>
  </si>
  <si>
    <t>Laurent</t>
  </si>
  <si>
    <t>https://bookface-images.s3.amazonaws.com/small_logos/9a24800a3244c11aac600b6958821d920becd8ea.png</t>
  </si>
  <si>
    <t>Workpay</t>
  </si>
  <si>
    <t>Payroll, Benefits and HR solutions for local and remote teams.</t>
  </si>
  <si>
    <t>[{"name":"Paul Kimani","title":"Founder","bio":"Paul is an Electrical and Electronics engineer from the University of Nairobi in Kenya. He worked with Equity Bank (East Africa’s largest bank by asset/capital). He is an alumnus of Y Combinator, Google for Startups Africa and eFounders Fellowship (UNCTAD and Alibaba Group)","linkedin":"https://www.linkedin.com/in/paul-kimani/"},{"name":"Jackson Kibigo Kungu","title":"Founder","bio":"","linkedin":"https://www.linkedin.com/in/jackson-kibigo/"}]</t>
  </si>
  <si>
    <t>https://bookface-images.s3.amazonaws.com/small_logos/09dcfca12373bb214263ff9365e1886ef988ba50.png</t>
  </si>
  <si>
    <t>Wufoo</t>
  </si>
  <si>
    <t>Online form builder.</t>
  </si>
  <si>
    <t>Tampa, FL</t>
  </si>
  <si>
    <t>https://bookface-images.s3.amazonaws.com/small_logos/c9244b3d220834b621ae237bc3eb6f4105d2b6a6.png</t>
  </si>
  <si>
    <t>Xobni</t>
  </si>
  <si>
    <t>[{"name":"Matt Brezina","title":"Founder","bio":"Twice-exited founder of Xobni (acq Yahoo) and Sincerely (acq FTD).  I've also now invested in over 80 startups including YC successes: Dropbox, Function of Beauty, Snapdocs, Scratchpad, AlphaFlow, Teleport, and more.  I've been deeply involved or led 15+ M&amp;A transactions.  I've helped many founders sell secondary shares.\n\nI'm also deeply passionate about the built human habitat. Specifically the infrastructure to prioritize safe biking &amp; walking over dangerous and polluting automobiles.","linkedin":"https://linkedin.com/in/brezina"}]</t>
  </si>
  <si>
    <t>Yhat</t>
  </si>
  <si>
    <t>End-to-end data science lifecycle management platform.</t>
  </si>
  <si>
    <t>[{"name":"Austin Ogilvie","title":"Founder","bio":"Founder @ Thoropass. Fmr CEO @ Yhat (W15) (acq by Alteryx NYSE:AYX)","linkedin":"http://www.linkedin.com/in/austinogilvie/"},{"name":"Greg Lamp","title":"Founder","bio":"","linkedin":"https://www.linkedin.com/pub/greg-lamp/36/77b/95b/"}]</t>
  </si>
  <si>
    <t>30k for ScienceOps; 15k for ScienceBox; 15k for Other</t>
  </si>
  <si>
    <t>YouTeam</t>
  </si>
  <si>
    <t>We make it easy for startups to hire engineers.</t>
  </si>
  <si>
    <t>[{"name":"Yura Riphyak","title":"/CEO","bio":"15 years as a founder. Key areas: HR Tech, social media, online marketplaces, product development.\nLSE Graduate, Chevening scholar.\nYouTeam is my 4th company. Previously founded Hubbub.fm -- \"Twitter for voice.\"\nI also play chess and write science fiction.","linkedin":"https://www.linkedin.com/in/riphyak/"}]</t>
  </si>
  <si>
    <t>Yura</t>
  </si>
  <si>
    <t>https://bookface-images.s3.amazonaws.com/small_logos/3c9e2d9613351e5ded12760bc18a55ad140d6f08.png</t>
  </si>
  <si>
    <t>Zazos</t>
  </si>
  <si>
    <t>No-code HR platform for startups.</t>
  </si>
  <si>
    <t>[{"name":"Murilo Narciso","title":"Founder","bio":"Co-founder and CEO of Zazos (YC S21). Murilo is a software engineer and was the Head of HR at Quero Education (YC S16), joining when it had 150 employees and scaling it to 700+. He also built Rio, an HR app that 70% of Quero’s employees used on a weekly basis.","linkedin":"https://www.linkedin.com/in/mknarciso/"}]</t>
  </si>
  <si>
    <t>Murilo</t>
  </si>
  <si>
    <t>https://bookface-images.s3.amazonaws.com/small_logos/c1f3f4524dd0f4939370b9f5a10a8b251218c632.png</t>
  </si>
  <si>
    <t>Zencoder</t>
  </si>
  <si>
    <t>Video Encoding API,
Open source video player (video.js)</t>
  </si>
  <si>
    <t>[{"name":"Jon Dahl","title":"Founder","bio":"Jon is a former engineer and current startup founder at Mux (video for developers). He built software early in the life of Mux, but accidentally dropped the production database and was made CEO. Before Mux, Jon was co-founder at Zencoder until the company was acquired. He’s proud to say he never dropped the production database at Zencoder.","linkedin":"https://www.linkedin.com/in/zencoder"},{"name":"Steve Heffernan","title":"Founder","bio":"Founder of Zencoder (YC W'10, acquired) and Mux (YC W'16). Creator of the popular web video player Video.js. Father of 2 kids, 3 months apart in age, same biological mother (figure that one out).","linkedin":"https://www.linkedin.com/in/heffernan"},{"name":"Brandon Arbini","title":"Founder","bio":"","linkedin":"http://www.linkedin.com/in/brandonarbini"}]</t>
  </si>
  <si>
    <t>Zensors</t>
  </si>
  <si>
    <t>AI to understand and automates the physical world</t>
  </si>
  <si>
    <t>[{"name":"Anuraag Jain","title":"Founder","bio":"Add info here","linkedin":"https://www.linkedin.com/in/jainanuraag/"}]</t>
  </si>
  <si>
    <t>Anuraag</t>
  </si>
  <si>
    <t>https://bookface-images.s3.amazonaws.com/small_logos/01f2ed9f6b2573e18e28f42a8c260ee15a0a777a.png</t>
  </si>
  <si>
    <t>Zentail</t>
  </si>
  <si>
    <t>We&amp;#39;re making ecommerce simple connecting brands with sales channels</t>
  </si>
  <si>
    <t>Columbia, MD</t>
  </si>
  <si>
    <t>[{"name":"Dan Sugarman","title":"/CEO","bio":"CEO &amp; Cofounder of Zentail","linkedin":"https://www.linkedin.com/in/dansugarman/"}]</t>
  </si>
  <si>
    <t>https://bookface-images.s3.amazonaws.com/small_logos/3c3eb0d479545e3450db0e386dc8aa5148e22711.png</t>
  </si>
  <si>
    <t>Zeo Route Planner</t>
  </si>
  <si>
    <t>Route Optimisation platform for SMB in delivery &amp;amp; home services.</t>
  </si>
  <si>
    <t>[{"name":"Kshitij Dixit","title":"Founder","bio":"Kshitij has been building products for over 4 years now. He set up the first data pipeline at OYO, built a co-working office space aggregation platform and worked on tons of failed products in between. Before Zeo, Kshitij led product for Mutual fund and Digital gold platforms at Jio. At ZeoAuto, Kshitij looks after product, tech and growth. He drives inspiration from Zoho founder Mr. Vembu and wants to see people in smaller cities in India find opportunities in technology and entrepreneurship","linkedin":"https://www.linkedin.com/in/kshitijdixit/"},{"name":"Nimit Mehra","title":"Co","bio":"Prior to building Zeo Auto, I worked as a product manager, private banker and management consultant at Reliance Jio, Standard Chartered Bank and Accenture Strategy.  I am interested in working on ideas which have the potential to make a large impact. Through Zeo I want to make last mile logistics seamless for everybody.","linkedin":"https://www.linkedin.com/in/nimitmehra/"},{"name":"Ritesh Singh","title":"Founder","bio":"","linkedin":"https://www.linkedin.com/in/ritesh-singh-a5028a160/"}]</t>
  </si>
  <si>
    <t>Kshitij</t>
  </si>
  <si>
    <t>https://bookface-images.s3.amazonaws.com/small_logos/8d526d18dca9f59c61e788cc7af7ad9c9956ac3d.png</t>
  </si>
  <si>
    <t>Zesty</t>
  </si>
  <si>
    <t>Zesty serves delicious, healthy meals from the best local restaurants…</t>
  </si>
  <si>
    <t>[{"name":"Chris Hollindale","title":"Founder","bio":"I'm Head of Checkr Pay (S14) and co-founded Zesty (W14) which we sold to Square in 2018.","linkedin":"https://www.linkedin.com/in/hollindale/"},{"name":"David Langer","title":"Founder","bio":"","linkedin":"http://www.linkedin.com/in/davidlanger"}]</t>
  </si>
  <si>
    <t>Zinc</t>
  </si>
  <si>
    <t>The secret backbone of e-commerce.</t>
  </si>
  <si>
    <t>[{"name":"Doug Feigelson","title":"Founder","bio":"CEO @ Mystro (mystrodriver.com)","linkedin":"https://www.linkedin.com/in/doug-feigelson-95371825"},{"name":"John Wang","title":"Founder","bio":"CTO / Co-founder at Assembled (www.assembled.com)","linkedin":"https://www.linkedin.com/in/johnjianwang"}]</t>
  </si>
  <si>
    <t>Doug</t>
  </si>
  <si>
    <t>https://bookface-images.s3.amazonaws.com/small_logos/a376b8da869a33224239ad6843be2d21abeb19ac.png</t>
  </si>
  <si>
    <t>We help businesses convert leads into sales in minutes using text</t>
  </si>
  <si>
    <t>https://bookface-images.s3.amazonaws.com/small_logos/84726eaf029b9ba89c36aa373753fe1b0650f8be.png</t>
  </si>
  <si>
    <t>ZumoDrive</t>
  </si>
  <si>
    <t>Media in the cloud</t>
  </si>
  <si>
    <t>Zyper</t>
  </si>
  <si>
    <t>Recreating social networks for brands.</t>
  </si>
  <si>
    <t>[{"name":"Amber Atherton","title":"Founder","bio":"Former founder turned consumer investor. Raised a seed round from Forerunner Ventures to build my community software, start-up Zyper which was acquired by Discord. Wrote a book ‘The Rise of Virtual Communities’. communitiesbook.com joined the early stage VC fund Patron to lead seed rounds in consumer and gaming startups.","linkedin":"https://www.linkedin.com/in/amber-atherton/"}]</t>
  </si>
  <si>
    <t>https://bookface-images.s3.amazonaws.com/small_logos/4248c76a3206fa82425c191a7b09f3b905910b5a.png</t>
  </si>
  <si>
    <t>arnata</t>
  </si>
  <si>
    <t>AI agents for the logistics industry.</t>
  </si>
  <si>
    <t>[{"name":"Georgy Melkonyan","title":"Founder","bio":"Georgy, founder and CEO of Arnata, holds a Ph.D. in transportation engineering and spent 15+ years solving logistics problems both for shippers and carriers globally.","linkedin":"https://www.linkedin.com/in/georgy-melkonyan/"}]</t>
  </si>
  <si>
    <t>Georgy</t>
  </si>
  <si>
    <t>https://bookface-images.s3.amazonaws.com/small_logos/48ce3bed951164a13bbe13af572bd54c82ca1e8e.png</t>
  </si>
  <si>
    <t>autarc</t>
  </si>
  <si>
    <t>autarc is the OS for Europe&amp;#39;s One-Stop Energy Installers</t>
  </si>
  <si>
    <t>[{"name":"Etienne-Noel Krause","title":"Founder","bio":"Etienne, Co-Founder &amp; CEO of autarc. I used to work in the HVAC industry before launching autarc. Would describe myself as a creative mind that loves building digital products.\n\nGet in touch: etienne@autarc.energy","linkedin":"https://linkedin.com/in/etienne-krause"},{"name":"Thies Hansen","title":"Founder","bio":"Co-Founder and COO of autarc. Previously worked at a logistics company within process optimizations, later switched to work in startups and VC - helping installers to install more heat pumps is much more fun though.","linkedin":"https://linkedin.com/in/thies-hansen"},{"name":"Marius Seufzer","title":"Founder","bio":"CTO @autarc.\nPreviously Lead iOS Engineer @Sameday Health and built Passkeys for Apple.","linkedin":"https://www.linkedin.com/in/marius-seufzer"}]</t>
  </si>
  <si>
    <t>We are live in Germany with 380 customers and a 7-digit ARR. Our software empowers installers to shift away from oil and gas, focusing instead on heat pump installations. Check out our website:</t>
  </si>
  <si>
    <t>Etienne-Noel</t>
  </si>
  <si>
    <t>https://bookface-images.s3.amazonaws.com/small_logos/c6f422aa332e520cce9d631b8dfbcdfb14375c6e.png</t>
  </si>
  <si>
    <t>authzed</t>
  </si>
  <si>
    <t>Open Source, Google Zanzibar-inspired permissions database</t>
  </si>
  <si>
    <t>[{"name":"Jake Moshenko","title":"Founder","bio":"Jake Moshenko is an engineering leader that has been building infrastructure tools and services for over 15 years for large companies and startups alike. Having previously struggled to keep up with customer permissions demands on products such as CoreOS’s Quay and Tectonic, he was searching for a better way to do application permissions.","linkedin":"https://www.linkedin.com/in/jacob-moshenko-381161b/"},{"name":"Jimmy Zelinskie","title":"Founder","bio":"Jimmy Zelinskie is a software engineer and product leader with the goal of empowering the world through the democratization of software through open source development. He's currently the CPO and cofounder of authzed where he's focused on bringing hyperscaler best-practices in authorization software to the industry at large.","linkedin":"https://www.linkedin.com/in/jzelinskie"},{"name":"Joseph Schorr","title":"Founder","bio":"","linkedin":"https://www.linkedin.com/in/joseph-s-4324904/"}]</t>
  </si>
  <si>
    <t>https://bookface-images.s3.amazonaws.com/small_logos/ee578b781cb190a51362b9fda6dc57b36d74972d.png</t>
  </si>
  <si>
    <t>bloop</t>
  </si>
  <si>
    <t>Modernising legacy code with AI</t>
  </si>
  <si>
    <t>https://bookface-images.s3.amazonaws.com/small_logos/aef70b7e83ca76aa0901271d0713dbba0919b30c.png</t>
  </si>
  <si>
    <t>boitas.com</t>
  </si>
  <si>
    <t>Largest B2B eCommerce platform for SMBs in Latin America.</t>
  </si>
  <si>
    <t>[{"name":"Raul Maldonado","title":"Founder","bio":"Serial Entrepreneur &amp; Startup Owner | MBA |  Product developer | x-border and trading business expert  |  China trading specialist |  Experience selling to AAA customers and clients","linkedin":"https://www.linkedin.com/in/raulmaldonadomtz/"},{"name":"Marcelo Galvan","title":"Founder","bio":"Co-Founder of Boitas.com. We are building a B2B platform that automates SMB sales process through a WhatsApp Commerce technology.","linkedin":"https://www.linkedin.com/in/marcelogalvandelagarza12/"}]</t>
  </si>
  <si>
    <t>Raul</t>
  </si>
  <si>
    <t>https://bookface-images.s3.amazonaws.com/small_logos/ec7e9bd397f7e7cc1eba33dae6c101b8268ab2f2.png</t>
  </si>
  <si>
    <t>borong</t>
  </si>
  <si>
    <t>borong is a SaaS-enabled marketplace that connects brands like…</t>
  </si>
  <si>
    <t>[{"name":"Lennise Ng","title":"Founder","bio":"CEO and Co-Founder of Dropee - a B2B eCommerce marketplace that simplifies wholesale. We help mom-and-pop stores find the right products from the right suppliers.","linkedin":"https://www.linkedin.com/in/lenniseng"},{"name":"Aizat Rahim","title":"Founder","bio":"Co-founder of Dropee.","linkedin":"https://www.linkedin.com/in/aizatrahim/"},{"name":"Haslinda Rasip","title":"Founder","bio":"","linkedin":"https://www.linkedin.com/in/lindarasip/"}]</t>
  </si>
  <si>
    <t>Lennise</t>
  </si>
  <si>
    <t>https://bookface-images.s3.amazonaws.com/small_logos/7e0a53df0e6800e9f647ef8fda11608026855e1d.png</t>
  </si>
  <si>
    <t>cloud humans</t>
  </si>
  <si>
    <t>AI-powered customer service for startups</t>
  </si>
  <si>
    <t>[{"name":"Ian Kraskoff","title":"Founder","bio":"In 2015, I became a door-to-door salesperson. Going outside, be it sunny or rainy, I realised how much opportunity was needed for talented people who worked in the front-lines. Before that, I had launched products for the unbanked population in the Americas. After that, I joined Uber Eats to launch it in Brazil, leaving the company as a GM. Most recently, I worked for Loft, a prop tech startup in Brazil, to lead it's the apartment acquisition area in addition to support and BPO.","linkedin":"https://www.linkedin.com/in/iankraskoff/"},{"name":"Bruno Cecatto","title":"Founder","bio":"If you're afraid to fail in a startup, you're destined to do so","linkedin":"https://www.linkedin.com/in/bruno-cecatto"},{"name":"Felipe Serra de Oliveira","title":"Founder","bio":"","linkedin":"https://www.linkedin.com/in/felipeserraoliveira/"}]</t>
  </si>
  <si>
    <t>Ian</t>
  </si>
  <si>
    <t>https://bookface-images.s3.amazonaws.com/small_logos/37f0dc4beddd72199475bab9ec433aaf3d593df6.png</t>
  </si>
  <si>
    <t>doola</t>
  </si>
  <si>
    <t>Business-in-a-Box™ for LLCs</t>
  </si>
  <si>
    <t>[{"name":"Arjun Mahadevan","title":"Founder","bio":"CEO @doolaHQ (YC S20) | Helping 1M people start their dream biz with doola.com (a “business-in-a-box” for LLCs) | Slowly turning into my alter ego: Mr. LLC 🇺🇸","linkedin":"https://www.linkedin.com/in/mahadevanarjun/"}]</t>
  </si>
  <si>
    <t>Hey everyone! 👋</t>
  </si>
  <si>
    <t>https://bookface-images.s3.amazonaws.com/small_logos/ef8a47a4ac0a3c3a1af8da2743a4bee6aa5bb8fb.png</t>
  </si>
  <si>
    <t>eBrandvalue</t>
  </si>
  <si>
    <t>Real-time Nielsen ratings for Brands.Accelerate marketing and product…</t>
  </si>
  <si>
    <t>https://bookface-images.s3.amazonaws.com/small_logos/b7687a266acc1565f2404a9e6053b41025b988e9.png</t>
  </si>
  <si>
    <t>farmtheory</t>
  </si>
  <si>
    <t>India&amp;#39;s first vegetable delivery service to restaurants with a hack</t>
  </si>
  <si>
    <t>https://bookface-images.s3.amazonaws.com/small_logos/3d37bcc50ff2f53e1b161407d6bf515c6758d934.png</t>
  </si>
  <si>
    <t>flexEngage</t>
  </si>
  <si>
    <t>Dynamic transactional communications for physical stores to help…</t>
  </si>
  <si>
    <t>haddock</t>
  </si>
  <si>
    <t>SaaS helping restaurants improve their margins through cost control.</t>
  </si>
  <si>
    <t>Barcelona, Spain</t>
  </si>
  <si>
    <t>[{"name":"Arnau Navarro","title":"Founder","bio":"Dreaming is not enough without the doing.\n\nI am a 26-year-old with over 9 years of experience in both the corporate and the startup world. I define myself as an entrepreneur with an international vision who loves learning and creating added value.\n\nFrom my experience leading the creation of three startup companies I have learnt the best asset is people, thus when I am part of a team I am resilient, proactive and assertive.\n\nFeel free to send me a DM!","linkedin":"https://www.linkedin.com/in/arnaunavarro/"},{"name":"Pol Rosell","title":"Founder","bio":"I consider myself a born entrepreneur, resilient, with a great capacity to adapt to the constant changes of today's world. \nI love to create solutions that make people's lives easier. Understanding their needs and being able to transform them into a product that helps them in their daily lives. \n\nI studied economics in Barcelona and I bring my business vision to technology.","linkedin":"https://www.linkedin.com/in/polroselltorrent/"}]</t>
  </si>
  <si>
    <t>Arnau</t>
  </si>
  <si>
    <t>https://bookface-images.s3.amazonaws.com/small_logos/71c4ea7756f719ab0406967511bffcd788ad50be.png</t>
  </si>
  <si>
    <t>hotglue</t>
  </si>
  <si>
    <t>Native user-facing SaaS integrations for your customers</t>
  </si>
  <si>
    <t>[{"name":"Hassan Syyid","title":"Founder","bio":"Co-founder and CEO of hotglue","linkedin":"https://www.linkedin.com/in/hassan-syyid-7031a870/"},{"name":"David Molot","title":"Founder","bio":"having fun building hotglue :)","linkedin":"https://linkedin.com/in/davidmolot"}]</t>
  </si>
  <si>
    <t>https://bookface-images.s3.amazonaws.com/small_logos/17fad6e0528ee0136eda2c81609b88c573cddeef.png</t>
  </si>
  <si>
    <t>iLabService</t>
  </si>
  <si>
    <t>AI powered Lab Operation Management SaaS Platform</t>
  </si>
  <si>
    <t>[{"name":"Kenny Li","title":"Founder","bio":"Kenny is a passionate serial entrepreneur, inspirational leader, and dream chaser. With comprehensive experience in medical &amp; scientific instrument industries, Kenny is excited about creating opportunities for laboratory industrial chain using new technologies.","linkedin":"https://www.linkedin.com/in/kennylee722/"},{"name":"Jing Wang","title":"Founder","bio":"Global footprint spanning US, Switzerland, and China; Hack for launching and scaling from inception to operationalization;Navigate the intricacies of business development, governmental negotiations, team building, and implementing IT systems for operation while maintaining total ownership of P&amp;L dynamics. Extensive lab industry acumen was honed during her tenure at Thermo Fisher Scientific in the United States. Currently founder and COO of iLabService (break-even w/140HC)","linkedin":"https://www.linkedin.com/in/jing-wang-5aa8a92b/"},{"name":"Liyang Zhang","title":"Founder","bio":"- An Entrepreneur: passionate about innovating new business &amp; products using technology;\n\n- A Consultant: 15+ consulting experiences at AWS, KPMG, PwC for top-tier global companies such as Bank of America, Citi, MetLife, Vanguard, KKR, Moody's, BNY Mellon, State Street, Federal Reserve, FINRA; thinking strategically, then building things and achieving success side by side with customers\n\n- A Technologist: expertise in product and technology strategy &amp; architecture; former global chief applicatio","linkedin":"https://www.linkedin.com/in/liyang-zhang/"}]</t>
  </si>
  <si>
    <t>Kenny</t>
  </si>
  <si>
    <t>https://bookface-images.s3.amazonaws.com/small_logos/61e5909632a59998a05ddf3639be15ca20ce6478.png</t>
  </si>
  <si>
    <t>imgix</t>
  </si>
  <si>
    <t>The platform for your visual media.</t>
  </si>
  <si>
    <t>[{"name":"Chris Zacharias","title":"/CEO","bio":"Founder of imgix. Ex-YouTuber. YC S2011 alumni. RIT New Media. Former web developer. Hockey player, defense.","linkedin":"https://www.linkedin.com/in/czacharias/"}]</t>
  </si>
  <si>
    <t>The code for Thumbprint was largely created between late-October and today, with some hiatuses in between. Currently, there are about 3200 lines of Python, 3000 lines of HTML/Javascript/CSS. Those numbers only include files that I created and worked on.</t>
  </si>
  <si>
    <t>https://bookface-images.s3.amazonaws.com/small_logos/d95dbc346596e3e1fb9cc6dd5db4cb8d77ce0686.png</t>
  </si>
  <si>
    <t>ngrow.ai</t>
  </si>
  <si>
    <t>Low-code SaaS for marketing in push notifications</t>
  </si>
  <si>
    <t>[{"name":"Alex Sergeev","title":"Founder","bio":"CEO at ngrow.ai\n\nPast:\n&gt;Analytics and marketing advisor and consultant at  30+ mobile products from US, Europe\n&gt; Marketing and analytics director $15B Valuation Easter European tech giant","linkedin":"https://www.linkedin.com/in/adsergeev/"},{"name":"Marat Zhanabekov","title":"Founder","bio":"CTO @ ngrow.ai\n\nPast:\n&gt; Head of Growth &amp; Analytics @ Donut Lab (https://donut.games)\n&gt; Growth &amp; Marketing Analytics @ Scentbird (https://scentbird.com, YC S15)\n\nMakin' marketing of mobile apps as tech- and analytics-driven as possible for 10 years, 30+ apps &amp; services. Was born fluent in Python. Hobbies: swimming in data lakes, plumbing data pipelines.","linkedin":"https://www.linkedin.com/in/marat-zhanabekov/"}]</t>
  </si>
  <si>
    <t>https://bookface-images.s3.amazonaws.com/small_logos/a19487f9d6235e1c02dd412720eb77f6dbaa38bd.png</t>
  </si>
  <si>
    <t>refine</t>
  </si>
  <si>
    <t>Open-source Retool for enterprise</t>
  </si>
  <si>
    <t>[{"name":"Civan Ozseyhan","title":"Founder","bio":"Serial entrepreneur &amp; Open-source enthusiast | 15+ years experience in building enterprise software | Co-founder &amp; CEO @ refine","linkedin":"https://linkedin.com/in/civan-%C3%B6zseyhan-1ab48814"},{"name":"Omer Aplak","title":"Founder","bio":"Co-founder &amp; CTO @ refine. I started my professional software career in high school and dropped out of university in my first year. Developing open-source, building communities, and helping other developers is a passion of mine","linkedin":"https://linkedin.com/in/%C3%B6mer-faruk-aplak-14b87099"},{"name":"Eren Erkalkan","title":"Founder","bio":"Previous: Worked as Head of Product, founder and CEO in the fields of e-commerce and online dating for almost 15 years. Now: Accompanying the journey of refine, which started as an open-source project in 2022. A React-based framework for the rapid development of web applications.","linkedin":"https://linkedin.com/in/eren-erkalkan-1b31a89a"}]</t>
  </si>
  <si>
    <t>➡️ CRUD operations ➡️ State management ➡️ Routing ➡️ Authentication ➡️ Access Control &amp;amp; ➡️ i18n</t>
  </si>
  <si>
    <t>Civan</t>
  </si>
  <si>
    <t>https://bookface-images.s3.amazonaws.com/small_logos/aeaa683b72502977824eb71f47dba97607b154c0.png</t>
  </si>
  <si>
    <t>sync.</t>
  </si>
  <si>
    <t>AI lipsync tool for video content creators</t>
  </si>
  <si>
    <t>[{"name":"Prady Modukuru","title":"Founder","bio":"ceo &amp; cofounder at sync. labs | product engineer obsessed w/ networks of people + products.\n\nbefore startups, I helped incubate, launch, and scale AI-powered cybersecurity products at Microsoft impacting over 500M consumers + $1T worth of publicly traded companies – and became the youngest product leader in my org.","linkedin":"https://linkedin.com/in/prady-modukuru"},{"name":"Prajwal K R","title":"Founder","bio":"Co-founder &amp; Chief Scientist at sync. labs. Ph.D. from University of Oxford with Prof. Andrew Zisserman. Authored multiple breakthrough research papers (incl. Wav2Lip) on understanding and generating humans in video.","linkedin":"https://www.linkedin.com/in/prajwalrenukanand/"},{"name":"Rudrabha Mukhopadhyay","title":"Founder","bio":"I am the co-founder and CTO of Sync Labs. At Sync, We’re building audio-visual models to understand, modify, and synthesize humans in video. I am one of the primary authors of Wav2Lip, one of the most prolific lip syncing models in the world published in 2020. I have done my PhD at IIIT Hyderabad on Audio-visual deep learning and have been involved in several important projects in the community.","linkedin":"https://linkedin.com/in/rudrabha"},{"name":"Pavan Reddy","title":"Founder","bio":"Driving Sales/Operations and Finance/ Strategic roadmap at sync. 2x VC backed entrepreneur. IIT Madras Alumnus. Worked with IIIT Hyderabad in productising research work as per market orientation. Key strength is connecting dots/ identifying patterns across different fields to unlock the value","linkedin":"https://linkedin.com/in/pavan-reddy-8bb85a67"}]</t>
  </si>
  <si>
    <t>we’ve built a state-of-the-art lip-sync model – and we’re building towards real-time face-to-face conversations w/ AI indistinguishable from humans 🦾</t>
  </si>
  <si>
    <t>Prady</t>
  </si>
  <si>
    <t>https://bookface-images.s3.amazonaws.com/small_logos/c534b008e7ff085ee7e32e819767b1f82d6d2396.png</t>
  </si>
  <si>
    <t>testRigor</t>
  </si>
  <si>
    <t>Executable specifications in English for test automation</t>
  </si>
  <si>
    <t>[{"name":"Artem Golubev","title":"Founder","bio":"I Love helping companies to solve test maintenance problems. Check us out on https://testrigor.com","linkedin":"https://www.linkedin.com/in/agolubev/"},{"name":"Enzo Biancato","title":"Founder","bio":"","linkedin":"https://www.linkedin.com/in/enzobiancato/"}]</t>
  </si>
  <si>
    <t>Executable specifications</t>
  </si>
  <si>
    <t>https://bookface-images.s3.amazonaws.com/small_logos/320246972eefed6a269a40ed9fa38e5de40b066e.png</t>
  </si>
  <si>
    <t>treble.ai</t>
  </si>
  <si>
    <t>We help companies scale marketing campaigns through WhatsApp</t>
  </si>
  <si>
    <t>[{"name":"Felipe Otálora","title":"Founder","bio":"Hi! I'm Felipe","linkedin":"https://www.linkedin.com/in/felipe-otalora-813442147/"},{"name":"Wilson Daniel Martinez","title":"Founder","bio":"","linkedin":"https://www.linkedin.com/in/daniel-martinez-b7a764164/"},{"name":"Sebastián Valencia","title":"Founder","bio":"","linkedin":""}]</t>
  </si>
  <si>
    <t>https://bookface-images.s3.amazonaws.com/small_logos/e327caabc10297ebb160260940994aa368fe6f3d.png</t>
  </si>
  <si>
    <t>weweb.io</t>
  </si>
  <si>
    <t>WeWeb is a no-code front-end builder that connects with any back-end.</t>
  </si>
  <si>
    <t>[{"name":"Raphael Goldsztejn","title":"Founder","bio":"CEO weweb.io, no-code enthusiast.","linkedin":"https://www.linkedin.com/in/raphael-goldsztejn-b90b5624/"},{"name":"Florian Briou","title":"Founder","bio":"","linkedin":"https://www.linkedin.com/in/florian-briou-weweb"},{"name":"Marc Fabre","title":"Founder","bio":"","linkedin":""}]</t>
  </si>
  <si>
    <t>Raphael</t>
  </si>
  <si>
    <t>https://bookface-images.s3.amazonaws.com/small_logos/bee0ffda10cfa11258e095397f31eae96aa9aefb.png</t>
  </si>
  <si>
    <t>zeroheight</t>
  </si>
  <si>
    <t>The DevOps platform for UX</t>
  </si>
  <si>
    <t>[{"name":"Jerome de Lafargue","title":"Founder","bio":"Software Engineer with a lot of love for UX who wants to give UX teams the same quality of tools that devops engineers have for delivering UX efficiently.\n\nI studied Computer Science at Imperial College in the UK and worked as an iOS/Android developer at Bloomberg for a few years where I met my co-founder Robin who worked in the devops team. We witnessed first-hand the gap between UX tools and devops when it comes to efficient delivery of UX and decided to try and do something about it :)","linkedin":"https://www.linkedin.com/in/jerome-de-lafargue-13951214/"},{"name":"Robin Tindale","title":"Founder","bio":"","linkedin":"https://www.linkedin.com/in/robinhtindale/"}]</t>
  </si>
  <si>
    <t>Jerome</t>
  </si>
  <si>
    <t>https://bookface-images.s3.amazonaws.com/small_logos/ef6f80a359194cc5d9bf39162453b281c3ff8ccc.png</t>
  </si>
  <si>
    <t>100ms</t>
  </si>
  <si>
    <t>Live-video infrastructure for developers</t>
  </si>
  <si>
    <t>Seed
in
2021</t>
  </si>
  <si>
    <t>1Balance</t>
  </si>
  <si>
    <t>Subscription-based herbal supplements</t>
  </si>
  <si>
    <t>Seed
in
2019</t>
  </si>
  <si>
    <t>Jeff Shiner (CEO), Roustem Karimov, Dave Teare</t>
  </si>
  <si>
    <t>Series A2019</t>
  </si>
  <si>
    <t>99designs</t>
  </si>
  <si>
    <t>Global creative platform for collaboration between designers and clients</t>
  </si>
  <si>
    <t>Series A
in
2011</t>
  </si>
  <si>
    <t>Aavenir</t>
  </si>
  <si>
    <t>SaaS-based source-to-pay solutions</t>
  </si>
  <si>
    <t>Seed
in
2020</t>
  </si>
  <si>
    <t>Acalvio</t>
  </si>
  <si>
    <t>Enterprise-scale cyber deception technology</t>
  </si>
  <si>
    <t>Series A
in
2015</t>
  </si>
  <si>
    <t>Acko</t>
  </si>
  <si>
    <t>Digital insurance platform</t>
  </si>
  <si>
    <t>Seed
in
2013</t>
  </si>
  <si>
    <t>Mike Murchison, David Hariri</t>
  </si>
  <si>
    <t>in 2020</t>
  </si>
  <si>
    <t>AdRoll</t>
  </si>
  <si>
    <t>Marking platform for e-commerce businesses</t>
  </si>
  <si>
    <t>Series A
in
2008</t>
  </si>
  <si>
    <t>API to access data across all construction systems</t>
  </si>
  <si>
    <t>Seed
in
2022</t>
  </si>
  <si>
    <t>Agrostar</t>
  </si>
  <si>
    <t>eCommerce platform for agricultural products</t>
  </si>
  <si>
    <t>Michel Tricot, John Lafleur</t>
  </si>
  <si>
    <t>Seed2021</t>
  </si>
  <si>
    <t>AirKit</t>
  </si>
  <si>
    <t>Customer-led automation platform</t>
  </si>
  <si>
    <t>Seed
in
2017</t>
  </si>
  <si>
    <t>Airmeet</t>
  </si>
  <si>
    <t>Online, interactive event-hosting platform</t>
  </si>
  <si>
    <t>AirWatch</t>
  </si>
  <si>
    <t>Mobile device, application, and content management for enterprises</t>
  </si>
  <si>
    <t>Series A
in
2013</t>
  </si>
  <si>
    <t>Akridata</t>
  </si>
  <si>
    <t>AI information solutions for Autonomous Vehicles</t>
  </si>
  <si>
    <t>Seed
in
2018</t>
  </si>
  <si>
    <t>Akto</t>
  </si>
  <si>
    <t>Plug and play API security</t>
  </si>
  <si>
    <t>Bernadette Nixon (CEO), Nicolas Dessaigne, Julien Lemoine</t>
  </si>
  <si>
    <t>Series A2015</t>
  </si>
  <si>
    <t>Ally</t>
  </si>
  <si>
    <t>Goal-planning and execution management software for teams</t>
  </si>
  <si>
    <t>Series A
in
2019</t>
  </si>
  <si>
    <t>Altinity</t>
  </si>
  <si>
    <t>Software and service provider for ClickHouse – an open-source data warehouse</t>
  </si>
  <si>
    <t>Amagi</t>
  </si>
  <si>
    <t>Targeted advertising and cloud-based broadcast solution</t>
  </si>
  <si>
    <t>Ampool</t>
  </si>
  <si>
    <t>Analytics tool for data engineers and business analytics
Acquired by HPE</t>
  </si>
  <si>
    <t>Anar</t>
  </si>
  <si>
    <t>B2B business network for SMBs</t>
  </si>
  <si>
    <t>Anchor FM</t>
  </si>
  <si>
    <t>Podcast recording, producing, and hosting app for amateurs and pros</t>
  </si>
  <si>
    <t>Seed
in
2016</t>
  </si>
  <si>
    <t>ANSR</t>
  </si>
  <si>
    <t>Global Capability Center (GCC) establishment and management</t>
  </si>
  <si>
    <t>Anyfin</t>
  </si>
  <si>
    <t>Financial services for refinancing debt</t>
  </si>
  <si>
    <t>Series A
in
2018</t>
  </si>
  <si>
    <t>Aorato</t>
  </si>
  <si>
    <t>Enterprise security solutions for Active Directory protection</t>
  </si>
  <si>
    <t>ApnaMart</t>
  </si>
  <si>
    <t>Asset light retail chain</t>
  </si>
  <si>
    <t>Series A
in
2023</t>
  </si>
  <si>
    <t>Appbrew</t>
  </si>
  <si>
    <t>Online mobile app building platform</t>
  </si>
  <si>
    <t>Appsmith</t>
  </si>
  <si>
    <t>Open-source low code tool</t>
  </si>
  <si>
    <t>Series A
in
2021</t>
  </si>
  <si>
    <t>Aptly</t>
  </si>
  <si>
    <t>CRM and Workflow Management for Property Teams</t>
  </si>
  <si>
    <t>Andy Bechtolsheim, Ken Duda, Jayshree Ullal (CEO)</t>
  </si>
  <si>
    <t>in 2012</t>
  </si>
  <si>
    <t>Ascend.io</t>
  </si>
  <si>
    <t>Intelligent data pipeline automation</t>
  </si>
  <si>
    <t>Series A
in
2017</t>
  </si>
  <si>
    <t>Assembly AI</t>
  </si>
  <si>
    <t>API platform that transcribes audio data</t>
  </si>
  <si>
    <t>Series A
in
2022</t>
  </si>
  <si>
    <t>Astral</t>
  </si>
  <si>
    <t>Next-gen Python tooling</t>
  </si>
  <si>
    <t>Astro</t>
  </si>
  <si>
    <t>Online grocery delivery in Indonesia</t>
  </si>
  <si>
    <t>Scott Farquhar, Mike Cannon-Brookes</t>
  </si>
  <si>
    <t>Series A2010</t>
  </si>
  <si>
    <t>Atrato</t>
  </si>
  <si>
    <t>Buy now, pay later solution for merchants in Mexico</t>
  </si>
  <si>
    <t>atSpoke</t>
  </si>
  <si>
    <t>Workplace service desk ticketing system</t>
  </si>
  <si>
    <t>Aura</t>
  </si>
  <si>
    <t>Personal privacy and security solutions for consumers and small businesses</t>
  </si>
  <si>
    <t>Avenue</t>
  </si>
  <si>
    <t>Observability and incident response for ops teams</t>
  </si>
  <si>
    <t>Avito</t>
  </si>
  <si>
    <t>Online platform for free classified advertisements in Russia</t>
  </si>
  <si>
    <t>Jennifer Rubio, Steph Korey</t>
  </si>
  <si>
    <t>Seed2015</t>
  </si>
  <si>
    <t>Axio</t>
  </si>
  <si>
    <t>Medtech R&amp;D and manufacturing company</t>
  </si>
  <si>
    <t>Seed
in
2015</t>
  </si>
  <si>
    <t>Axle Energy</t>
  </si>
  <si>
    <t>Flexible energy platform connecting home energy assets with flexible energy market</t>
  </si>
  <si>
    <t>Axonius</t>
  </si>
  <si>
    <t>Cybersecurity asset and SaaS management</t>
  </si>
  <si>
    <t>BaubleBar</t>
  </si>
  <si>
    <t>Retailer for on-trend women's jewelry</t>
  </si>
  <si>
    <t>Seed
in
2010</t>
  </si>
  <si>
    <t>Bayestree</t>
  </si>
  <si>
    <t>AI/ML platform for workflow automation</t>
  </si>
  <si>
    <t>Billing, compliance, and payment software for construction industry</t>
  </si>
  <si>
    <t>Beek</t>
  </si>
  <si>
    <t>Audio platform in Latin America</t>
  </si>
  <si>
    <t>Media sharing app</t>
  </si>
  <si>
    <t>BestDoc</t>
  </si>
  <si>
    <t>Intelligent patient relationship management (PRM) system</t>
  </si>
  <si>
    <t>David Politis</t>
  </si>
  <si>
    <t>in 2015</t>
  </si>
  <si>
    <t>Bevy</t>
  </si>
  <si>
    <t>Virtual conference and community events software
‍</t>
  </si>
  <si>
    <t>Binocs</t>
  </si>
  <si>
    <t>Tax compliance services</t>
  </si>
  <si>
    <t>Zero friction, omnichannel communication</t>
  </si>
  <si>
    <t>Bird Scooters</t>
  </si>
  <si>
    <t>Vehicle sharing for affordable, sustainable rides</t>
  </si>
  <si>
    <t>Bizongo</t>
  </si>
  <si>
    <t>Online business-to-business marketplace for packaging products</t>
  </si>
  <si>
    <t>Nicolas Brusson, Frédéric Mazzella, Francis Nappez</t>
  </si>
  <si>
    <t>in 2011</t>
  </si>
  <si>
    <t>Rajesh Yabaji, Ramasubramanian B, Chanakya Hridaya</t>
  </si>
  <si>
    <t>Blackpoint</t>
  </si>
  <si>
    <t>Cybersecurity threat hunting, detection, and response technology</t>
  </si>
  <si>
    <t>Blameless</t>
  </si>
  <si>
    <t>End-to-end site reliability engineering</t>
  </si>
  <si>
    <t>Blue Jeans Network</t>
  </si>
  <si>
    <t>Cloud-based video communication platform</t>
  </si>
  <si>
    <t>Series A
in
2009</t>
  </si>
  <si>
    <t>Bluestone</t>
  </si>
  <si>
    <t>Retailer of fine jewelry and accessories</t>
  </si>
  <si>
    <t>Bonobos</t>
  </si>
  <si>
    <t>Digitally-native men's fashion brand</t>
  </si>
  <si>
    <t>Book My Show</t>
  </si>
  <si>
    <t>Indian online ticketing service</t>
  </si>
  <si>
    <t>Series A
in
2012</t>
  </si>
  <si>
    <t>Borqs</t>
  </si>
  <si>
    <t>End-to-end Android software company for building differentiated mobile devices</t>
  </si>
  <si>
    <t>Varun Agni, Vivekananda Hallekere, Anil G</t>
  </si>
  <si>
    <t>Series A2018</t>
  </si>
  <si>
    <t>Bill Ready (CEO), Bryan Johnson</t>
  </si>
  <si>
    <t>Series A2011</t>
  </si>
  <si>
    <t>Breathe Well-being</t>
  </si>
  <si>
    <t>Diabetes reversal and chronic care management company</t>
  </si>
  <si>
    <t>Brick&amp;Bolt</t>
  </si>
  <si>
    <t>Marketplace providing construction services</t>
  </si>
  <si>
    <t>Brik</t>
  </si>
  <si>
    <t>Online marketplace for construction material</t>
  </si>
  <si>
    <t>Seed
in
2023</t>
  </si>
  <si>
    <t>Ritesh Arora, Nakul Aggarwal</t>
  </si>
  <si>
    <t>Brumbrum</t>
  </si>
  <si>
    <t>Online Italian car reseller</t>
  </si>
  <si>
    <t>Bryter</t>
  </si>
  <si>
    <t>No-code building platform automating expert knowledge</t>
  </si>
  <si>
    <t>Whitney Wolfe Herd</t>
  </si>
  <si>
    <t>Series A2020</t>
  </si>
  <si>
    <t>Calastone</t>
  </si>
  <si>
    <t>Global transaction network for mutual funds</t>
  </si>
  <si>
    <t>CallSign</t>
  </si>
  <si>
    <t>Mobile multi-factor authentication engine</t>
  </si>
  <si>
    <t>Campaign Monitor</t>
  </si>
  <si>
    <t>Email marketing platform</t>
  </si>
  <si>
    <t>Series A
in
2014</t>
  </si>
  <si>
    <t>Can Capital</t>
  </si>
  <si>
    <t>Capital for small and medium-sized businesses</t>
  </si>
  <si>
    <t>Jawad Ayaz</t>
  </si>
  <si>
    <t>Captain Fresh</t>
  </si>
  <si>
    <t>B2B supplier of fish and seafood</t>
  </si>
  <si>
    <t>Conway Teng, Hubert Wong, Mark Schopmeyer</t>
  </si>
  <si>
    <t>in 2021</t>
  </si>
  <si>
    <t>CardSpring</t>
  </si>
  <si>
    <t>API for developers to write applications for payments</t>
  </si>
  <si>
    <t>Seed
in
2011</t>
  </si>
  <si>
    <t>CareStack</t>
  </si>
  <si>
    <t>Cloud-based dental practice management software</t>
  </si>
  <si>
    <t>Carto</t>
  </si>
  <si>
    <t>Spatial data analysis platform</t>
  </si>
  <si>
    <t>Cartwheel</t>
  </si>
  <si>
    <t>Text-to-3D animation</t>
  </si>
  <si>
    <t>Carwow</t>
  </si>
  <si>
    <t>New and used car buying platform for franchised dealers</t>
  </si>
  <si>
    <t>CasaOne</t>
  </si>
  <si>
    <t>Online furniture, decor, and home goods destination</t>
  </si>
  <si>
    <t>Catalyst</t>
  </si>
  <si>
    <t>Customer management software</t>
  </si>
  <si>
    <t>Catawiki</t>
  </si>
  <si>
    <t>Online catalogue and auction house for collectibles</t>
  </si>
  <si>
    <t>Catch&amp;Release</t>
  </si>
  <si>
    <t>Content licensing for brands and creators</t>
  </si>
  <si>
    <t>Causal</t>
  </si>
  <si>
    <t>Modern financial planning tool</t>
  </si>
  <si>
    <t>Cdata</t>
  </si>
  <si>
    <t>Leading provider of data access and connectivity solutions</t>
  </si>
  <si>
    <t>Alexander Rinke, Bastian Nominacher, Martin Klenk</t>
  </si>
  <si>
    <t>Series A2016</t>
  </si>
  <si>
    <t>Centaur Labs</t>
  </si>
  <si>
    <t>Medical data labeling solutions</t>
  </si>
  <si>
    <t>Jonathan Levin</t>
  </si>
  <si>
    <t>in 2018</t>
  </si>
  <si>
    <t>Chaos</t>
  </si>
  <si>
    <t>Defense technology</t>
  </si>
  <si>
    <t>Krish Subramanian, KP Saravanan, Rajaraman Santhanam, Thiyagarajan T</t>
  </si>
  <si>
    <t>Series A2013</t>
  </si>
  <si>
    <t>Charles</t>
  </si>
  <si>
    <t>European WhatsApp marketing channel</t>
  </si>
  <si>
    <t>Check24</t>
  </si>
  <si>
    <t>German price comparing platform</t>
  </si>
  <si>
    <t>Series A
in
2007</t>
  </si>
  <si>
    <t>Checkly</t>
  </si>
  <si>
    <t>Active monitoring platform for developers</t>
  </si>
  <si>
    <t>Daniel Yanisse, Jonathan Perichon</t>
  </si>
  <si>
    <t>Series A2014</t>
  </si>
  <si>
    <t>Chronicle</t>
  </si>
  <si>
    <t>An interactive alternative presentation tool</t>
  </si>
  <si>
    <t>Trust and Safety operations to help organizations combat internet abuse at scale</t>
  </si>
  <si>
    <t>CityMall</t>
  </si>
  <si>
    <t>Community commerce platform</t>
  </si>
  <si>
    <t>CleverTap</t>
  </si>
  <si>
    <t>Mobile engagement and analytics platform</t>
  </si>
  <si>
    <t>Seed
in
2014</t>
  </si>
  <si>
    <t>ClockWise</t>
  </si>
  <si>
    <t>AI-powered calendar assistant</t>
  </si>
  <si>
    <t>Cloudera</t>
  </si>
  <si>
    <t>Data management and analytics platform‍</t>
  </si>
  <si>
    <t>Seed
in
2008</t>
  </si>
  <si>
    <t>Payments for vehicle fleets</t>
  </si>
  <si>
    <t>Code 42</t>
  </si>
  <si>
    <t>Data loss protection, visibility and recovery</t>
  </si>
  <si>
    <t>Codecov</t>
  </si>
  <si>
    <t>Code coverage reporting platform</t>
  </si>
  <si>
    <t>Geir Engdahl, Dr. John Markus Lervik</t>
  </si>
  <si>
    <t>Cogoport</t>
  </si>
  <si>
    <t>Tech and data-driven freight rate discovery and management</t>
  </si>
  <si>
    <t>Cohesity</t>
  </si>
  <si>
    <t>AI-powered data security and management</t>
  </si>
  <si>
    <t>CoinTracker</t>
  </si>
  <si>
    <t>Cryptocurrency portfolio tracking and tax reporting tool</t>
  </si>
  <si>
    <t>Dirk Hoerig</t>
  </si>
  <si>
    <t>Complete</t>
  </si>
  <si>
    <t>Compensation management platform</t>
  </si>
  <si>
    <t>ConductorOne</t>
  </si>
  <si>
    <t>Cloud permission management and governance</t>
  </si>
  <si>
    <t>Conduktor</t>
  </si>
  <si>
    <t>Developer platform for Apache Kafka</t>
  </si>
  <si>
    <t>Consure Medical</t>
  </si>
  <si>
    <t>Manufacturer of healthcare equipment for latent clinical needs</t>
  </si>
  <si>
    <t>Corelight</t>
  </si>
  <si>
    <t>Network traffic analysis solutions for cybersecurity</t>
  </si>
  <si>
    <t>Oskar Hjertonsson, Daniel Undurraga, Juan Pablo Cuevas</t>
  </si>
  <si>
    <t>Matt Cain (CEO), Chris Anderson, Steve Yen, Damien Katz, James Phillips, Dustin Sallings</t>
  </si>
  <si>
    <t>Series A2008</t>
  </si>
  <si>
    <t>Coverfox</t>
  </si>
  <si>
    <t>Online insurance brokering</t>
  </si>
  <si>
    <t>Creator Stack</t>
  </si>
  <si>
    <t>Cloud creator economy</t>
  </si>
  <si>
    <t>Credgenics</t>
  </si>
  <si>
    <t>Debt recovery and legal automation</t>
  </si>
  <si>
    <t>CrowdAnalytix</t>
  </si>
  <si>
    <t>AI/ML platform for retailers, distributors, and manufacturers</t>
  </si>
  <si>
    <t>Seed
in
2012</t>
  </si>
  <si>
    <t>George Kurtz, Dmitri Alperovitch</t>
  </si>
  <si>
    <t>in 2013</t>
  </si>
  <si>
    <t>CrownIT</t>
  </si>
  <si>
    <t>Digital consumer research platform</t>
  </si>
  <si>
    <t>Cult.fit</t>
  </si>
  <si>
    <t>Digital and offline health and fitness experiences</t>
  </si>
  <si>
    <t>Series A
in
2016</t>
  </si>
  <si>
    <t>Curefoods</t>
  </si>
  <si>
    <t>Sustainable cloud kitchen service</t>
  </si>
  <si>
    <t>Curejoy</t>
  </si>
  <si>
    <t>Expert advice from natural healthcare professionals</t>
  </si>
  <si>
    <t>Cycognito</t>
  </si>
  <si>
    <t>Next-generation security risk assessment platform
‍</t>
  </si>
  <si>
    <t>Cloud data security platform</t>
  </si>
  <si>
    <t>Dash0</t>
  </si>
  <si>
    <t>The first OpenTelemetry-native observability tool</t>
  </si>
  <si>
    <t>Databand</t>
  </si>
  <si>
    <t>Data pipeline observability platform</t>
  </si>
  <si>
    <t>Series A
in
2020</t>
  </si>
  <si>
    <t>Dealer Dot Com</t>
  </si>
  <si>
    <t>Dealership marketing and operations management solutions</t>
  </si>
  <si>
    <t>Enterprise AI customer service platform</t>
  </si>
  <si>
    <t>DecisionLink</t>
  </si>
  <si>
    <t>Customer Value Management (CVM) platform</t>
  </si>
  <si>
    <t>Deep Rooted</t>
  </si>
  <si>
    <t>Demand-backed supply chain for perishables</t>
  </si>
  <si>
    <t>DeepMap</t>
  </si>
  <si>
    <t>HD mapping and localization</t>
  </si>
  <si>
    <t>Data science notebook for teams</t>
  </si>
  <si>
    <t>Delightree</t>
  </si>
  <si>
    <t>Workflow app for franchise businesses</t>
  </si>
  <si>
    <t>Will Shu, Greg Orlowski</t>
  </si>
  <si>
    <t>in 2014</t>
  </si>
  <si>
    <t>Rishi Bhargava, Slavik Markovich, Guy Rinat, Dan Sarel</t>
  </si>
  <si>
    <t>Deserve</t>
  </si>
  <si>
    <t>Mobile-first credit card platform</t>
  </si>
  <si>
    <t>Despegar</t>
  </si>
  <si>
    <t>Online travel agency</t>
  </si>
  <si>
    <t>Detect</t>
  </si>
  <si>
    <t>Digital technologies for the industrial ecosystem</t>
  </si>
  <si>
    <t>Dezerv</t>
  </si>
  <si>
    <t>Investment advisory and portfolio management platform</t>
  </si>
  <si>
    <t>Marc Lore</t>
  </si>
  <si>
    <t>in 2008</t>
  </si>
  <si>
    <t>Digbi Health</t>
  </si>
  <si>
    <t>Digital health company focused on inflammatory digestive disorders</t>
  </si>
  <si>
    <t>Jason Citron, Stanislav Vishnevskiy</t>
  </si>
  <si>
    <t>Seed2012</t>
  </si>
  <si>
    <t>DJI</t>
  </si>
  <si>
    <t>UAV platform with high-performance software, high-resolution imaging and advanced hardware</t>
  </si>
  <si>
    <t>Stanislas Niox-Chateau, Thomas Landais, Ivan Schneider, Franck Tetzlaff, Steve Abou rjeily, Jessy Bernal</t>
  </si>
  <si>
    <t>Doctor Droid</t>
  </si>
  <si>
    <t>Product troubleshooting and debugging platform</t>
  </si>
  <si>
    <t>Dan Springer (CEO), Tom Gonser, Eric Ranft, Court Lorenzini</t>
  </si>
  <si>
    <t>Donut</t>
  </si>
  <si>
    <t>A software tool that helping others connect virtually</t>
  </si>
  <si>
    <t>Dovetail</t>
  </si>
  <si>
    <t>Cloud-based user research and customer feedback software</t>
  </si>
  <si>
    <t>Drip Capital</t>
  </si>
  <si>
    <t>Trade financing platform</t>
  </si>
  <si>
    <t>Robert S. Cortright</t>
  </si>
  <si>
    <t>Drew Houston, Arash Ferdowsi</t>
  </si>
  <si>
    <t>Greg Duffy, Aamir Virani</t>
  </si>
  <si>
    <t>Duetto</t>
  </si>
  <si>
    <t>Cloud, SAAS, and revenue management systems for hospitality</t>
  </si>
  <si>
    <t>e6data</t>
  </si>
  <si>
    <t>Building a cloud-native SQL compute engine</t>
  </si>
  <si>
    <t>E8 Storage Systems</t>
  </si>
  <si>
    <t>Rack-scale flash storage for enterprises</t>
  </si>
  <si>
    <t>Eagle Eye Networks</t>
  </si>
  <si>
    <t>Cloud video surveillance</t>
  </si>
  <si>
    <t>Ecosoul</t>
  </si>
  <si>
    <t>Bio-based and organic home items</t>
  </si>
  <si>
    <t>Eder Labs</t>
  </si>
  <si>
    <t>AI adoption solutions for data privacy</t>
  </si>
  <si>
    <t>EdgeDB</t>
  </si>
  <si>
    <t>Open-source graph-relational database</t>
  </si>
  <si>
    <t>EduPristine</t>
  </si>
  <si>
    <t>Classroom and online training for certifications.</t>
  </si>
  <si>
    <t>Effectiv</t>
  </si>
  <si>
    <t>Fraud detection platform for financial institutions</t>
  </si>
  <si>
    <t>Elements</t>
  </si>
  <si>
    <t>Mexico-US consumer wallet</t>
  </si>
  <si>
    <t>Ema</t>
  </si>
  <si>
    <t>GenAI workflow engine</t>
  </si>
  <si>
    <t>Ashwin Damera, Chaitanya Kalipatnapu</t>
  </si>
  <si>
    <t>Entytle</t>
  </si>
  <si>
    <t>Single source of truth for Installed Base data</t>
  </si>
  <si>
    <t>Ermetic</t>
  </si>
  <si>
    <t>Exposure management platform to understand and reduce cyber risk</t>
  </si>
  <si>
    <t>Peter Colis, Lingke Wang</t>
  </si>
  <si>
    <t>E-commerce platform for buying and selling vintage and handmade goods</t>
  </si>
  <si>
    <t>FabHotels</t>
  </si>
  <si>
    <t>Digitally-native budget hotel chain</t>
  </si>
  <si>
    <t>Series A2005</t>
  </si>
  <si>
    <t>Facet</t>
  </si>
  <si>
    <t>Collaborative AI image generator</t>
  </si>
  <si>
    <t>Facilio</t>
  </si>
  <si>
    <t>Cloud-driven management software for ops, management, and sustainability</t>
  </si>
  <si>
    <t>Raghu Yarlagadda, Prabhakar Reddy</t>
  </si>
  <si>
    <t>Seed2019</t>
  </si>
  <si>
    <t>Fashinza</t>
  </si>
  <si>
    <t>Trend forecasting and sourcing marketplace for fashion brands and retailers</t>
  </si>
  <si>
    <t>Ignacio Bachiller, Alexandre Perez, Francisco Hein, Pep Gomez</t>
  </si>
  <si>
    <t>Fibmold</t>
  </si>
  <si>
    <t>Eco-friendly packaging products</t>
  </si>
  <si>
    <t>Fibr</t>
  </si>
  <si>
    <t>AI-powered personalization platform</t>
  </si>
  <si>
    <t>Dave Evans, Nathan Evans</t>
  </si>
  <si>
    <t>Filigran</t>
  </si>
  <si>
    <t>Open source cyber threat intelligence platform</t>
  </si>
  <si>
    <t>Series A
in
2024</t>
  </si>
  <si>
    <t>Fin</t>
  </si>
  <si>
    <t>Continuous operations insight platform</t>
  </si>
  <si>
    <t>Finaloop</t>
  </si>
  <si>
    <t>The leading automated e-commerce bookkeeping platform providing flawless, tax-ready financials and actionable insights 24/7</t>
  </si>
  <si>
    <t>Finbots.AI</t>
  </si>
  <si>
    <t>AI-enabled banking platform</t>
  </si>
  <si>
    <t>FitOn</t>
  </si>
  <si>
    <t>Fitness mobile platform and community</t>
  </si>
  <si>
    <t>Fiverr</t>
  </si>
  <si>
    <t>Marketplace for freelance creative and professional services
NYSE: FVRR</t>
  </si>
  <si>
    <t>Flink</t>
  </si>
  <si>
    <t>Digital neobank and brokerage for Latin America</t>
  </si>
  <si>
    <t>Binny Bansal, Sachin Bansal, Kalyan Krishnamurthy (CEO since 2017)</t>
  </si>
  <si>
    <t>Seed2008</t>
  </si>
  <si>
    <t>Flipturn</t>
  </si>
  <si>
    <t>Electric vehicle charging management platform</t>
  </si>
  <si>
    <t>FlyFin</t>
  </si>
  <si>
    <t>AI and CPA tax filing service</t>
  </si>
  <si>
    <t>Mike Massaro (CEO)</t>
  </si>
  <si>
    <t>Folk</t>
  </si>
  <si>
    <t>CRM for building real relationships</t>
  </si>
  <si>
    <t>Fran Rosch (CEO), Jonathan Scudder, Steve Ferris, Lasse Andresen, Hermann Svoren, Victor Ake</t>
  </si>
  <si>
    <t>Series A2012</t>
  </si>
  <si>
    <t>Fortify</t>
  </si>
  <si>
    <t>High-performance 3D printers</t>
  </si>
  <si>
    <t>Fortigo</t>
  </si>
  <si>
    <t>Fleet management service for truck owners</t>
  </si>
  <si>
    <t>Forus Health</t>
  </si>
  <si>
    <t>Ophthalmology technology manufacturing and development</t>
  </si>
  <si>
    <t>Emery Wells, John Traver</t>
  </si>
  <si>
    <t>Framer</t>
  </si>
  <si>
    <t>Interactive prototyping tool</t>
  </si>
  <si>
    <t>Girish Mathrubootham, Shan Krishnasamy</t>
  </si>
  <si>
    <t>Seed2011</t>
  </si>
  <si>
    <t>FRVR</t>
  </si>
  <si>
    <t>Ecosystem that connects players to games
‍</t>
  </si>
  <si>
    <t>Samir Desai, Andrew Mullinger, James Meekings</t>
  </si>
  <si>
    <t>Fundly</t>
  </si>
  <si>
    <t>Healthcare financing and allied solutions</t>
  </si>
  <si>
    <t>Fuse</t>
  </si>
  <si>
    <t>Consumer renewable energy platform</t>
  </si>
  <si>
    <t>Fusion-io</t>
  </si>
  <si>
    <t>Flash memory technology design and manufacturing</t>
  </si>
  <si>
    <t>G2</t>
  </si>
  <si>
    <t>Software marketplace with peer reviews</t>
  </si>
  <si>
    <t>Clay Wilkes</t>
  </si>
  <si>
    <t>Gameforge</t>
  </si>
  <si>
    <t>Free-to-play multiplayer online games</t>
  </si>
  <si>
    <t>Gametime</t>
  </si>
  <si>
    <t>Last-minute ticket purchasing for entertainment events</t>
  </si>
  <si>
    <t>Gamma</t>
  </si>
  <si>
    <t>AI-powered presentation platform</t>
  </si>
  <si>
    <t>Steven Bartel, Nick Bushak</t>
  </si>
  <si>
    <t>Seed2018</t>
  </si>
  <si>
    <t>Genesis</t>
  </si>
  <si>
    <t>Software application development for financial market organizations</t>
  </si>
  <si>
    <t>Gently</t>
  </si>
  <si>
    <t>Personal care brand for infants and children</t>
  </si>
  <si>
    <t>Seed
in
2024</t>
  </si>
  <si>
    <t>Gloat</t>
  </si>
  <si>
    <t>Agile workforce operating system</t>
  </si>
  <si>
    <t>GlowRoad</t>
  </si>
  <si>
    <t>Social e-commerce platform</t>
  </si>
  <si>
    <t>Eddy Lu, Daishin Sugano</t>
  </si>
  <si>
    <t>in 2017</t>
  </si>
  <si>
    <t>GoCardless</t>
  </si>
  <si>
    <t>Recurring payment collection platform for businesses</t>
  </si>
  <si>
    <t>GoFundMe</t>
  </si>
  <si>
    <t>Crowdfunding platform</t>
  </si>
  <si>
    <t>Yakir Gola, Rafael Ilishayev</t>
  </si>
  <si>
    <t>Govini</t>
  </si>
  <si>
    <t>Software built for defense acquisition</t>
  </si>
  <si>
    <t>Gravity Sketch</t>
  </si>
  <si>
    <t>3D design and collaboration platform</t>
  </si>
  <si>
    <t>Andrew Mason, Eric Lefkofsky, Brad Keywell</t>
  </si>
  <si>
    <t>in 2009</t>
  </si>
  <si>
    <t>Knowledge management software</t>
  </si>
  <si>
    <t>Gut Wellness Club</t>
  </si>
  <si>
    <t>AI-based healthcare platform to heal naturally</t>
  </si>
  <si>
    <t>H Company</t>
  </si>
  <si>
    <t>Outrageous AI capabilities for task automation &amp; decision-making</t>
  </si>
  <si>
    <t>Haber</t>
  </si>
  <si>
    <t>AI-driven automation to maximize efficiency &amp; output in process industries</t>
  </si>
  <si>
    <t>Hashnode</t>
  </si>
  <si>
    <t>Content creation platform for developers</t>
  </si>
  <si>
    <t>Hassle</t>
  </si>
  <si>
    <t>Booking and payment platform for in-home services</t>
  </si>
  <si>
    <t>Managed marketplace for mental health professionals</t>
  </si>
  <si>
    <t>Helsing</t>
  </si>
  <si>
    <t>AI-driven defense company</t>
  </si>
  <si>
    <t>Joe Beda, Craig McLuckie</t>
  </si>
  <si>
    <t>Higo</t>
  </si>
  <si>
    <t>B2B payments in Latin America</t>
  </si>
  <si>
    <t>HomeLane</t>
  </si>
  <si>
    <t>Home interior personalization and design</t>
  </si>
  <si>
    <t>Ryan Holmes, David Tedman, Dario Meli</t>
  </si>
  <si>
    <t>Seed2020</t>
  </si>
  <si>
    <t>Hotel Tonight</t>
  </si>
  <si>
    <t>Booking platform for last-minute hotel deals</t>
  </si>
  <si>
    <t>Hotelogix</t>
  </si>
  <si>
    <t>Cloud-based software for hospitality businesses</t>
  </si>
  <si>
    <t>HouseTrip</t>
  </si>
  <si>
    <t>Marketplace for vacation rental properties</t>
  </si>
  <si>
    <t>Hubble</t>
  </si>
  <si>
    <t>Asset intelligence platform
‍</t>
  </si>
  <si>
    <t>David Graff, John Wirtz, Brian Kaiser</t>
  </si>
  <si>
    <t>Humio</t>
  </si>
  <si>
    <t>Time-series logging and aggregation platform for event analysis</t>
  </si>
  <si>
    <t>Hush</t>
  </si>
  <si>
    <t>Discussion community for employees</t>
  </si>
  <si>
    <t>Zero trust segmentation company</t>
  </si>
  <si>
    <t>Indifi</t>
  </si>
  <si>
    <t>Online lending marketplace for small businesses</t>
  </si>
  <si>
    <t>Souvik Sengupta, Aaditya Sharda</t>
  </si>
  <si>
    <t>Innovist</t>
  </si>
  <si>
    <t>Custom made beauty brands</t>
  </si>
  <si>
    <t>Insify</t>
  </si>
  <si>
    <t>Small business insurance</t>
  </si>
  <si>
    <t>Instabug</t>
  </si>
  <si>
    <t>Mobile app testing services for developers</t>
  </si>
  <si>
    <t>Instana</t>
  </si>
  <si>
    <t>Automatic performance management for dynamic applications</t>
  </si>
  <si>
    <t>Invoca</t>
  </si>
  <si>
    <t>Real-time revenue execution solution</t>
  </si>
  <si>
    <t>Invoice 2go</t>
  </si>
  <si>
    <t>Invoice app for professionals</t>
  </si>
  <si>
    <t>Jason Boehmig, Cai Gogwilt</t>
  </si>
  <si>
    <t>Series A2017</t>
  </si>
  <si>
    <t>Jellyfish</t>
  </si>
  <si>
    <t>Engineering management platform</t>
  </si>
  <si>
    <t>Marc Lore, Mike Hanrahan, Nate Faust</t>
  </si>
  <si>
    <t>Jetapult</t>
  </si>
  <si>
    <t>Invest &amp; Operate model for game studios</t>
  </si>
  <si>
    <t>Jifflenow</t>
  </si>
  <si>
    <t>Meeting scheduling automation platform</t>
  </si>
  <si>
    <t>Jify</t>
  </si>
  <si>
    <t>Financial management tool</t>
  </si>
  <si>
    <t>Jiraaf</t>
  </si>
  <si>
    <t>Online platform for alternate investment</t>
  </si>
  <si>
    <t>JobToday</t>
  </si>
  <si>
    <t>Hiring app matching job seekers with employers</t>
  </si>
  <si>
    <t>Juspay</t>
  </si>
  <si>
    <t>Digital payment solutions</t>
  </si>
  <si>
    <t>Steve Hafner, Paul English</t>
  </si>
  <si>
    <t>in 2006</t>
  </si>
  <si>
    <t>Kevin.</t>
  </si>
  <si>
    <t>Open banking payments platform</t>
  </si>
  <si>
    <t>KGeN</t>
  </si>
  <si>
    <t>NFT-based play-to-earn game</t>
  </si>
  <si>
    <t>Seed
in
04/14/2022</t>
  </si>
  <si>
    <t>Kirusa</t>
  </si>
  <si>
    <t>SMS and voice-based communication solutions</t>
  </si>
  <si>
    <t>Andrew Bialecki, Ed Hallen</t>
  </si>
  <si>
    <t>Knight Fintech</t>
  </si>
  <si>
    <t>Full-stack banking technology for lending and treasury</t>
  </si>
  <si>
    <t>Knoetic</t>
  </si>
  <si>
    <t>People analytics software</t>
  </si>
  <si>
    <t>Komodor</t>
  </si>
  <si>
    <t>Incident response tool</t>
  </si>
  <si>
    <t>Koo</t>
  </si>
  <si>
    <t>Indian microblogging and social networking service</t>
  </si>
  <si>
    <t>Krux</t>
  </si>
  <si>
    <t>Cloud-based data management platform</t>
  </si>
  <si>
    <t>Johannes Schildt, Josefin Landgård, Fredrik Jung Abbou, Joachim Hedenius</t>
  </si>
  <si>
    <t>KupiVIP</t>
  </si>
  <si>
    <t>Discounted fashion retailer of luxury goods</t>
  </si>
  <si>
    <t>Laravel</t>
  </si>
  <si>
    <t>Open-source PHP framework for developing web applications</t>
  </si>
  <si>
    <t>Leap</t>
  </si>
  <si>
    <t>Web3 wallet</t>
  </si>
  <si>
    <t>Learnvest</t>
  </si>
  <si>
    <t>Personal financial planning services‍</t>
  </si>
  <si>
    <t>Series A
in
2010</t>
  </si>
  <si>
    <t>Ledger Investing</t>
  </si>
  <si>
    <t>Online marketplace powering interactions between investors and insurance carriers</t>
  </si>
  <si>
    <t>Thomas Tull</t>
  </si>
  <si>
    <t>LetsVenture</t>
  </si>
  <si>
    <t>Angel investing and startup fundraising platform</t>
  </si>
  <si>
    <t>Lica</t>
  </si>
  <si>
    <t>Generative AI for podcasts and videos</t>
  </si>
  <si>
    <t>Lightdash</t>
  </si>
  <si>
    <t>Open-source BI platform</t>
  </si>
  <si>
    <t>Lighthouse</t>
  </si>
  <si>
    <t>Metaverse search engine</t>
  </si>
  <si>
    <t>Lightspeed</t>
  </si>
  <si>
    <t>Point-of-sale management software for restaurant and retail</t>
  </si>
  <si>
    <t>Project and issue tracking system for product teams</t>
  </si>
  <si>
    <t>Locofy</t>
  </si>
  <si>
    <t>Design to code software</t>
  </si>
  <si>
    <t>LogicLoop</t>
  </si>
  <si>
    <t>Technology management software for small businesses</t>
  </si>
  <si>
    <t>Lola</t>
  </si>
  <si>
    <t>Corporate travel management app</t>
  </si>
  <si>
    <t>Jim Dolce (CEO), John Hering, Kevin Mahaffey</t>
  </si>
  <si>
    <t>in 2010</t>
  </si>
  <si>
    <t>Lottie</t>
  </si>
  <si>
    <t>End-to-end eldercare marketplace</t>
  </si>
  <si>
    <t>Lower</t>
  </si>
  <si>
    <t>Direct-to-consumer mortgage lender</t>
  </si>
  <si>
    <t>Lucid Lane</t>
  </si>
  <si>
    <t>Telehealth provider specializing in mental health</t>
  </si>
  <si>
    <t>Luko</t>
  </si>
  <si>
    <t>Online home insurance</t>
  </si>
  <si>
    <t>Peer-to-peer payment platform</t>
  </si>
  <si>
    <t>Lynda Weinman, Bruce Heavin</t>
  </si>
  <si>
    <t>LYST</t>
  </si>
  <si>
    <t>Global fashion search platform</t>
  </si>
  <si>
    <t>Makelog</t>
  </si>
  <si>
    <t>Communication platform for product teams</t>
  </si>
  <si>
    <t>Commerce engine for sellers around the world</t>
  </si>
  <si>
    <t>Maverix</t>
  </si>
  <si>
    <t>Ready-to-cook food solutions</t>
  </si>
  <si>
    <t>Mayhem</t>
  </si>
  <si>
    <t>Gaming community platform</t>
  </si>
  <si>
    <t>Mech Mocha</t>
  </si>
  <si>
    <t>Indian multi-player gaming platform</t>
  </si>
  <si>
    <t>Medigo</t>
  </si>
  <si>
    <t>Third-party administration services for international healthcare</t>
  </si>
  <si>
    <t>Matan Bar, Ilan Atias, Ziv Paz</t>
  </si>
  <si>
    <t>Ananth Narayanan</t>
  </si>
  <si>
    <t>Meragi</t>
  </si>
  <si>
    <t>Wedding planning and management platform</t>
  </si>
  <si>
    <t>Merge</t>
  </si>
  <si>
    <t>Unified API for integrations</t>
  </si>
  <si>
    <t>merXu</t>
  </si>
  <si>
    <t>B2B marketplace</t>
  </si>
  <si>
    <t>Verification and risk assessment for businesses</t>
  </si>
  <si>
    <t>Mihup</t>
  </si>
  <si>
    <t>Intelligent voice-to-text mobile assistant</t>
  </si>
  <si>
    <t>Mind Candy, Moshi</t>
  </si>
  <si>
    <t>Sleep and wellness app for children</t>
  </si>
  <si>
    <t>Series A
in
2006</t>
  </si>
  <si>
    <t>Krishna Depura, Nishant Mungali, Deepak Diwakar</t>
  </si>
  <si>
    <t>Minoan</t>
  </si>
  <si>
    <t>Platform powering native shoppable experiences</t>
  </si>
  <si>
    <t>Mirana Toys</t>
  </si>
  <si>
    <t>Electronic toy manufacturing company</t>
  </si>
  <si>
    <t>Andrey Khusid</t>
  </si>
  <si>
    <t>Misfits Market</t>
  </si>
  <si>
    <t>Subscription box service for organically sourced produce</t>
  </si>
  <si>
    <t>Streamlining recruiting operations</t>
  </si>
  <si>
    <t>Moglix</t>
  </si>
  <si>
    <t>Marketplace for industrial supplies</t>
  </si>
  <si>
    <t>Monarch Money</t>
  </si>
  <si>
    <t>Subscription-based personal finance program</t>
  </si>
  <si>
    <t>Money View</t>
  </si>
  <si>
    <t>Mobile-first personal finance management</t>
  </si>
  <si>
    <t>Monte Carlo</t>
  </si>
  <si>
    <t>Data reliability management for teams</t>
  </si>
  <si>
    <t>TS Anil (CEO), Tom Blomfield, Jonas Huckestein</t>
  </si>
  <si>
    <t>Moonfish</t>
  </si>
  <si>
    <t>Personalized flight-tracking</t>
  </si>
  <si>
    <t>MoPub</t>
  </si>
  <si>
    <t>Mobile monetization platform for publishers</t>
  </si>
  <si>
    <t>Mike Lee, Albert Lee</t>
  </si>
  <si>
    <t>MyGlamm</t>
  </si>
  <si>
    <t>Direct-to-consumer beauty brand marketplace</t>
  </si>
  <si>
    <t>Myntra</t>
  </si>
  <si>
    <t>Indian e-commerce platform for fashion</t>
  </si>
  <si>
    <t>Mynvax</t>
  </si>
  <si>
    <t>Vaccines against respiratory diseases</t>
  </si>
  <si>
    <t>MyWear</t>
  </si>
  <si>
    <t>Mass-customization and on-demand manufacturing platform</t>
  </si>
  <si>
    <t>Myxt</t>
  </si>
  <si>
    <t>Music mangement platform</t>
  </si>
  <si>
    <t>NAKAD</t>
  </si>
  <si>
    <t>AR/AP reconciliationservice provider</t>
  </si>
  <si>
    <t>Nanonets</t>
  </si>
  <si>
    <t>AI-powered document processing</t>
  </si>
  <si>
    <t>Blockchain analytics platform</t>
  </si>
  <si>
    <t>Napkin.AI</t>
  </si>
  <si>
    <t>Visual AI for business storytelling</t>
  </si>
  <si>
    <t>Narvar</t>
  </si>
  <si>
    <t>Intelligent customer experience platform for retailers</t>
  </si>
  <si>
    <t>Nebius</t>
  </si>
  <si>
    <t>Critical Infrastructure for AI Explorers</t>
  </si>
  <si>
    <t>Sanjay Beri, Krishna Narayanaswamy, Lebin Cheng, Ravi Ithal</t>
  </si>
  <si>
    <t>Lew Cirne</t>
  </si>
  <si>
    <t>in 2023</t>
  </si>
  <si>
    <t>Newme</t>
  </si>
  <si>
    <t>Fast fashion brand</t>
  </si>
  <si>
    <t>Nextbit</t>
  </si>
  <si>
    <t>Unlocked Android phone with unlimited space</t>
  </si>
  <si>
    <t>NextG Networks</t>
  </si>
  <si>
    <t>Distributed antenna systems</t>
  </si>
  <si>
    <t>Nimble Robotics</t>
  </si>
  <si>
    <t>Autonomous 3PL fulfillment service for eCommerce</t>
  </si>
  <si>
    <t>Umesh Maheshwari, Varun Mehta, Suresh Vasudevan (CEO)</t>
  </si>
  <si>
    <t>Series A2007</t>
  </si>
  <si>
    <t>Nines</t>
  </si>
  <si>
    <t>AI-powered teleradiology</t>
  </si>
  <si>
    <t>Ninjacart</t>
  </si>
  <si>
    <t>Fresh produce supply chain solutions</t>
  </si>
  <si>
    <t>Niyo</t>
  </si>
  <si>
    <t>Employee benefits and banking solution</t>
  </si>
  <si>
    <t>Nory</t>
  </si>
  <si>
    <t>AI-driven restaurant operating system</t>
  </si>
  <si>
    <t>Nuitee</t>
  </si>
  <si>
    <t>Infrastructure APIs tailored for the travel sector</t>
  </si>
  <si>
    <t>Santiago Sosa (CEO), Alejandro Vazquez, Martin Palombo</t>
  </si>
  <si>
    <t>Nymble</t>
  </si>
  <si>
    <t>Robotic home chef</t>
  </si>
  <si>
    <t>Lifecycle management and security for non-human identities</t>
  </si>
  <si>
    <t>Octarine</t>
  </si>
  <si>
    <t>Multi-cluster network security platform for Kubernetes applications</t>
  </si>
  <si>
    <t>Seed
in
2007</t>
  </si>
  <si>
    <t>Bhavish Aggarwal, Ankit Bhati</t>
  </si>
  <si>
    <t>Omnea</t>
  </si>
  <si>
    <t>AI-powered procurement orchestration and supplier risk management platform</t>
  </si>
  <si>
    <t>Series A
in
06/01/2024</t>
  </si>
  <si>
    <t>Onco.com</t>
  </si>
  <si>
    <t>Internet aggregator for cancer care</t>
  </si>
  <si>
    <t>Onsitego</t>
  </si>
  <si>
    <t>Extended warranty solutions</t>
  </si>
  <si>
    <t>Opal</t>
  </si>
  <si>
    <t>Enterprise marketing collaboration platform</t>
  </si>
  <si>
    <t>OpenGamma</t>
  </si>
  <si>
    <t>Analytics for derivatives trading</t>
  </si>
  <si>
    <t>Openhouse</t>
  </si>
  <si>
    <t>Social learning platform</t>
  </si>
  <si>
    <t>OPOWER</t>
  </si>
  <si>
    <t>Cloud-based customer engagement and energy efficiency solutions for utilities‍
‍</t>
  </si>
  <si>
    <t>Orange Health</t>
  </si>
  <si>
    <t>Tech led on-demand fastest diagnostics at home</t>
  </si>
  <si>
    <t>Origami Logic</t>
  </si>
  <si>
    <t>Marketing analytics services</t>
  </si>
  <si>
    <t>Orum</t>
  </si>
  <si>
    <t>API for fast, reliable payments</t>
  </si>
  <si>
    <t>OSlash</t>
  </si>
  <si>
    <t>An enterprise URL manager</t>
  </si>
  <si>
    <t>Osmo</t>
  </si>
  <si>
    <t>Interactive educational games for tablet</t>
  </si>
  <si>
    <t>OtterTune</t>
  </si>
  <si>
    <t>Database tuning service</t>
  </si>
  <si>
    <t>OzForex</t>
  </si>
  <si>
    <t>International money transfer service
ASX: OFX</t>
  </si>
  <si>
    <t>Packlink</t>
  </si>
  <si>
    <t>Cost-effective package delivery services</t>
  </si>
  <si>
    <t>Jennifer Tejada (CEO), Alex Solomon, Andrew Miklas, Baskar Puvanathasan</t>
  </si>
  <si>
    <t>Parature</t>
  </si>
  <si>
    <t>Cloud-based customer service software</t>
  </si>
  <si>
    <t>Firmin Zocchetto, Ghislain De Fontenay, Florian Fournier</t>
  </si>
  <si>
    <t>PeopleDoc</t>
  </si>
  <si>
    <t>Cloud-based HR service delivery platform</t>
  </si>
  <si>
    <t>Hanno Renner, Arseniy Vershinin, Ignaz Forstmeier, Roman Schumacher</t>
  </si>
  <si>
    <t>in 2019</t>
  </si>
  <si>
    <t>PharmaCCX</t>
  </si>
  <si>
    <t>Digital tools for market access</t>
  </si>
  <si>
    <t>TJ Parker, Brian Hoffer, Elliot Cohen</t>
  </si>
  <si>
    <t>Ricardo Josua, Daniela Binatti, Juliana Motta, Marcelo Parise</t>
  </si>
  <si>
    <t>Bill Berutti (CEO)</t>
  </si>
  <si>
    <t>Pluang</t>
  </si>
  <si>
    <t>Financial technology application for micro-savings and micro-investment</t>
  </si>
  <si>
    <t>Eric Rea, Dennis Steele</t>
  </si>
  <si>
    <t>Poggio Labs</t>
  </si>
  <si>
    <t>AI for Enterprise Sales</t>
  </si>
  <si>
    <t>Pond5</t>
  </si>
  <si>
    <t>Content marketplace for filmmakers</t>
  </si>
  <si>
    <t>Port</t>
  </si>
  <si>
    <t>Internal developer portal and platform</t>
  </si>
  <si>
    <t>Portea</t>
  </si>
  <si>
    <t>In-home healthcare services</t>
  </si>
  <si>
    <t>Power2SME</t>
  </si>
  <si>
    <t>B2B marketplace for SMEs</t>
  </si>
  <si>
    <t>Powerplay</t>
  </si>
  <si>
    <t>Digitally-native management tools for real estate, construction, and architecture.</t>
  </si>
  <si>
    <t>Prezi</t>
  </si>
  <si>
    <t>Dynamic presentation software</t>
  </si>
  <si>
    <t>PrimaryIO</t>
  </si>
  <si>
    <t>Hybrid cloud data management for increased application performance</t>
  </si>
  <si>
    <t>Primer</t>
  </si>
  <si>
    <t>Open payments infrastructure</t>
  </si>
  <si>
    <t>Privacera</t>
  </si>
  <si>
    <t>Open-source cybersecurity tools for developers</t>
  </si>
  <si>
    <t>Privitar</t>
  </si>
  <si>
    <t>Data privacy platform</t>
  </si>
  <si>
    <t>Probe Information</t>
  </si>
  <si>
    <t>Information services with a specialization in financial data</t>
  </si>
  <si>
    <t>Process Street</t>
  </si>
  <si>
    <t>Business process workflow optimization platform for teams</t>
  </si>
  <si>
    <t>Prodigal</t>
  </si>
  <si>
    <t>Enterprise AI for debt collection and recovery</t>
  </si>
  <si>
    <t>Productiv</t>
  </si>
  <si>
    <t>Enterprise-class SaaS management platform</t>
  </si>
  <si>
    <t>Produze</t>
  </si>
  <si>
    <t>Agriculture commodity marketplace</t>
  </si>
  <si>
    <t>ProjectDiscovery</t>
  </si>
  <si>
    <t>Open sourced penetration testing tools for cybersecurity.</t>
  </si>
  <si>
    <t>Propeller Aero</t>
  </si>
  <si>
    <t>3D drone mapping and analytics for worksites</t>
  </si>
  <si>
    <t>PropTiger</t>
  </si>
  <si>
    <t>India-based real estate advisor</t>
  </si>
  <si>
    <t>Employee-centric communication tool
‍</t>
  </si>
  <si>
    <t>QikPod</t>
  </si>
  <si>
    <t>Last mile logistics for India's eCommerce industry</t>
  </si>
  <si>
    <t>QMC</t>
  </si>
  <si>
    <t>Puerto Rico-based wireless cellular telecommunication tower provider</t>
  </si>
  <si>
    <t>Qogita</t>
  </si>
  <si>
    <t>B2B wholesale marketplace</t>
  </si>
  <si>
    <t>Qriously</t>
  </si>
  <si>
    <t>Real-time mobile market research</t>
  </si>
  <si>
    <t>QTalk</t>
  </si>
  <si>
    <t>Hybrid cloud data management for enterprises</t>
  </si>
  <si>
    <t>Ryan Smith, Jared Smith, Scott Smith, Stuart Orgill</t>
  </si>
  <si>
    <t>QuBit</t>
  </si>
  <si>
    <t>Quokka Sports</t>
  </si>
  <si>
    <t>Sports content and data visualization platform</t>
  </si>
  <si>
    <t>QwikCilver</t>
  </si>
  <si>
    <t>Stored value card-based solutions</t>
  </si>
  <si>
    <t>Qwilt</t>
  </si>
  <si>
    <t>Software solutions for content delivery</t>
  </si>
  <si>
    <t>Radar</t>
  </si>
  <si>
    <t>Location data infrastructure</t>
  </si>
  <si>
    <t>Payments-as-a-service provider</t>
  </si>
  <si>
    <t>Raise</t>
  </si>
  <si>
    <t>Retail gift card and payment solutions</t>
  </si>
  <si>
    <t>Rally</t>
  </si>
  <si>
    <t>Platform for buying and selling equity shares in collectible assets</t>
  </si>
  <si>
    <t>RapidCanvas</t>
  </si>
  <si>
    <t>No-code AutoAI platform</t>
  </si>
  <si>
    <t>Open source tools for conversational AI</t>
  </si>
  <si>
    <t>Productivity tool for developers to speed up non-coding tasks</t>
  </si>
  <si>
    <t>ReadMe.io</t>
  </si>
  <si>
    <t>Personalized, interactive developer hubs</t>
  </si>
  <si>
    <t>RecommerceX</t>
  </si>
  <si>
    <t>Industrial waste recycling</t>
  </si>
  <si>
    <t>Seed
in
08/28/2024</t>
  </si>
  <si>
    <t>Adam Evans, Steve Loughlin</t>
  </si>
  <si>
    <t>Job van der Voort, Marcelo Lebre</t>
  </si>
  <si>
    <t>Rentomojo</t>
  </si>
  <si>
    <t>Online furniture rental solution</t>
  </si>
  <si>
    <t>RetainIQ</t>
  </si>
  <si>
    <t>Marketing automation for eCommerce brands</t>
  </si>
  <si>
    <t>Rex</t>
  </si>
  <si>
    <t>Consumer app that enables users to find and share recommendations</t>
  </si>
  <si>
    <t>Rhythms</t>
  </si>
  <si>
    <t>AI operating system to enhance enterprise productivity</t>
  </si>
  <si>
    <t>Rigi</t>
  </si>
  <si>
    <t>Digital community for creators to manage and monetize their community and fanbase</t>
  </si>
  <si>
    <t>RiskRecon</t>
  </si>
  <si>
    <t>Third-party cyber risk solutions</t>
  </si>
  <si>
    <t>Rovio</t>
  </si>
  <si>
    <t>Video game developer and publisher</t>
  </si>
  <si>
    <t>Rows</t>
  </si>
  <si>
    <t>Spreadsheet tool designed for team collaboration</t>
  </si>
  <si>
    <t>Rupeek</t>
  </si>
  <si>
    <t>Asset-backed gold loan facilitator</t>
  </si>
  <si>
    <t>Rylo</t>
  </si>
  <si>
    <t>High-definition video video editing software and cameras‍</t>
  </si>
  <si>
    <t>S4S Technologies</t>
  </si>
  <si>
    <t>Food processing platform</t>
  </si>
  <si>
    <t>Sahi</t>
  </si>
  <si>
    <t>Mobile trading platform for Indian stock and option traders</t>
  </si>
  <si>
    <t>Salto</t>
  </si>
  <si>
    <t>Automated configuration management for enterprise applications</t>
  </si>
  <si>
    <t>Samunnati</t>
  </si>
  <si>
    <t>Microfinance solutions for agricultural enterprises</t>
  </si>
  <si>
    <t>Sarla Aviation</t>
  </si>
  <si>
    <t>Manufacturer of electric vertical take-off and landing (eVTOL) aircrafts</t>
  </si>
  <si>
    <t>Sayre Therapeutics</t>
  </si>
  <si>
    <t>End-to-end oncology &amp; immunology solutions</t>
  </si>
  <si>
    <t>Scratchpad</t>
  </si>
  <si>
    <t>AI powered workspace for sales teams</t>
  </si>
  <si>
    <t>Scripbox</t>
  </si>
  <si>
    <t>Full-stack digital wealth manager</t>
  </si>
  <si>
    <t>Reference assessment platform for finding talent
Acquired by Multiverse</t>
  </si>
  <si>
    <t>SeatGeek</t>
  </si>
  <si>
    <t>Mobile-focused ticketing platform for events</t>
  </si>
  <si>
    <t>Securden</t>
  </si>
  <si>
    <t>Next-gen privileged access governance
‍</t>
  </si>
  <si>
    <t>Peter Reinhardt, Ilya Volodarsky, Calvin French-Owen, Ian Storm Taylor</t>
  </si>
  <si>
    <t>Selency</t>
  </si>
  <si>
    <t>Community marketplace for buying and selling used furniture and décor</t>
  </si>
  <si>
    <t>Semmle</t>
  </si>
  <si>
    <t>Code analysis platform</t>
  </si>
  <si>
    <t>David Nothacker, Nicolaus Schefenacker, Julius Koehler</t>
  </si>
  <si>
    <t>Sense</t>
  </si>
  <si>
    <t>Engagement platform for staffing industry</t>
  </si>
  <si>
    <t>Milin Desai (CEO), Chris Jennings, David Cramer</t>
  </si>
  <si>
    <t>Tom Buiocchi (CEO), Steven Gottfried, Serge Lubensky</t>
  </si>
  <si>
    <t>Jeremy Jawish, David Durrleman, Eric Sibony</t>
  </si>
  <si>
    <t>Shivalik Bank</t>
  </si>
  <si>
    <t>Technology-driven financial services for individuals and businesses</t>
  </si>
  <si>
    <t>Showroomprive.com</t>
  </si>
  <si>
    <t>Online shopping platform for clothing, cosmetics and household products</t>
  </si>
  <si>
    <t>SigTuple</t>
  </si>
  <si>
    <t>Data driven intelligence for healthcare</t>
  </si>
  <si>
    <t>SilverRail</t>
  </si>
  <si>
    <t>Technical solutions for railway and travel distributors</t>
  </si>
  <si>
    <t>Simplismart</t>
  </si>
  <si>
    <t>Infrastructure management platform for AI models</t>
  </si>
  <si>
    <t>Series A
in
08/30/2024</t>
  </si>
  <si>
    <t>simsim</t>
  </si>
  <si>
    <t>Social commerce app
‍Acquired by Google</t>
  </si>
  <si>
    <t>Skeps</t>
  </si>
  <si>
    <t>POS financing solutions provider for merchants and lenders</t>
  </si>
  <si>
    <t>Skipjaq</t>
  </si>
  <si>
    <t>Cloud application optimization</t>
  </si>
  <si>
    <t>Trung Nguyen, Aleksander Larsen, Jeffrey Zirlin, Viet Anh Ho, Tu Doan</t>
  </si>
  <si>
    <t>Adam Bry, Abraham Bachrach, Matt Donahoe</t>
  </si>
  <si>
    <t>Seed2014</t>
  </si>
  <si>
    <t>Lidiane Jones (CEO), Stewart Butterfield, Cal Henderson</t>
  </si>
  <si>
    <t>Seed2009</t>
  </si>
  <si>
    <t>Slay</t>
  </si>
  <si>
    <t>Social gaming company</t>
  </si>
  <si>
    <t>SmallStep</t>
  </si>
  <si>
    <t>End-to-end encryption across infrastructure</t>
  </si>
  <si>
    <t>Snaptrude</t>
  </si>
  <si>
    <t>Automated 3D design software for architects</t>
  </si>
  <si>
    <t>Danny Grander, Assaf Hefetz, Peter McKay (CEO), Guy Podjarny</t>
  </si>
  <si>
    <t>Soldo</t>
  </si>
  <si>
    <t>Multi-user expense account management platform</t>
  </si>
  <si>
    <t>Sonatype</t>
  </si>
  <si>
    <t>Security solutions for developers and dev-ops‍</t>
  </si>
  <si>
    <t>Space Ape</t>
  </si>
  <si>
    <t>Mobile gaming</t>
  </si>
  <si>
    <t>Space Runners</t>
  </si>
  <si>
    <t>Metaverse fashion brand</t>
  </si>
  <si>
    <t>Spacejoy</t>
  </si>
  <si>
    <t>Interactive, 3D interior design platform</t>
  </si>
  <si>
    <t>Speak</t>
  </si>
  <si>
    <t>AI-powered language learning tutor</t>
  </si>
  <si>
    <t>Niraj Singh, Ramanshu Mahaur, Mohit Gupta</t>
  </si>
  <si>
    <t>SplashLearn</t>
  </si>
  <si>
    <t>e-Learning platform offering game-based curriculum</t>
  </si>
  <si>
    <t>Daniel Ek, Martin Lorentzon</t>
  </si>
  <si>
    <t>Continuous in-product user research platform</t>
  </si>
  <si>
    <t>An on-demand mobile health service</t>
  </si>
  <si>
    <t>Sprinto</t>
  </si>
  <si>
    <t>Security assessment software</t>
  </si>
  <si>
    <t>Stacklok</t>
  </si>
  <si>
    <t>Community-centric software supply chain security</t>
  </si>
  <si>
    <t>Stader</t>
  </si>
  <si>
    <t>Liquid staking platform</t>
  </si>
  <si>
    <t>Cybersecurity threat detection and response</t>
  </si>
  <si>
    <t>Stonly</t>
  </si>
  <si>
    <t>Interactive troubleshooting guide producer</t>
  </si>
  <si>
    <t>Strattic</t>
  </si>
  <si>
    <t>Hosting platform for WordPress websites</t>
  </si>
  <si>
    <t>Styra</t>
  </si>
  <si>
    <t>Declarative authorization service for cloud-native security</t>
  </si>
  <si>
    <t>Sunrun</t>
  </si>
  <si>
    <t>Residential solar panel provider</t>
  </si>
  <si>
    <t>Super Payments</t>
  </si>
  <si>
    <t>Closed loop payments system</t>
  </si>
  <si>
    <t>Ilkka Paananen, Lassi Leppinen, Petri Styrman, Visa Forsten, Mikko Kodisoja, Niko Derome</t>
  </si>
  <si>
    <t>SureWaves</t>
  </si>
  <si>
    <t>Advertising aggregator for the cable and satellite TV industries</t>
  </si>
  <si>
    <t>Swiftkey</t>
  </si>
  <si>
    <t>AI-based smartphone keyboard technology</t>
  </si>
  <si>
    <t>Swypex</t>
  </si>
  <si>
    <t>B2B spend management platform</t>
  </si>
  <si>
    <t>Syrup</t>
  </si>
  <si>
    <t>AI-powered inventory optimization</t>
  </si>
  <si>
    <t>Sysdig</t>
  </si>
  <si>
    <t>Cloud-native threat detection and response</t>
  </si>
  <si>
    <t>Tact.ai</t>
  </si>
  <si>
    <t>Conversational AI platform for enterprise sales workflows</t>
  </si>
  <si>
    <t>Tailscale</t>
  </si>
  <si>
    <t>Zero-configuration virtual private networks (VPNs) for secure connectivity</t>
  </si>
  <si>
    <t>Taxdoo</t>
  </si>
  <si>
    <t>Automated financial compliance software for online retail</t>
  </si>
  <si>
    <t>Stanza Living</t>
  </si>
  <si>
    <t>India-based co-living network for students and working professionals</t>
  </si>
  <si>
    <t>Open-source software platform</t>
  </si>
  <si>
    <t>Christian Beedgen, Kumar Saurabh, Ramin Sayar (CEO)</t>
  </si>
  <si>
    <t>Swan</t>
  </si>
  <si>
    <t>Banking-as-a-Service platform for European companies</t>
  </si>
  <si>
    <t>Sriharsha Majety, Nandan Reddy</t>
  </si>
  <si>
    <t>Synthesia</t>
  </si>
  <si>
    <t>AI synthetic video platform</t>
  </si>
  <si>
    <t>Taascom</t>
  </si>
  <si>
    <t>Business model strategy transformation for the service-based economy</t>
  </si>
  <si>
    <t>Taito.ai</t>
  </si>
  <si>
    <t>AI-powered performance enablement platform</t>
  </si>
  <si>
    <t>Taxi For Sure</t>
  </si>
  <si>
    <t>Rental car and taxi aggregator</t>
  </si>
  <si>
    <t>Teabox</t>
  </si>
  <si>
    <t>India-based online tea store</t>
  </si>
  <si>
    <t>ETFs investment platform</t>
  </si>
  <si>
    <t>Tenderly</t>
  </si>
  <si>
    <t>Development platform for Ethereum smart contracts</t>
  </si>
  <si>
    <t>Tessian</t>
  </si>
  <si>
    <t>Cloud email security company</t>
  </si>
  <si>
    <t>Software development platform for the AI era</t>
  </si>
  <si>
    <t>Testsigma</t>
  </si>
  <si>
    <t>AI-powered test automation platform</t>
  </si>
  <si>
    <t>The Zebra</t>
  </si>
  <si>
    <t>Auto and home insurance comparison platform</t>
  </si>
  <si>
    <t>Time is Ltd</t>
  </si>
  <si>
    <t>Inter-company productivity analytics</t>
  </si>
  <si>
    <t>Tines</t>
  </si>
  <si>
    <t>Security orchestration, automation and response platform</t>
  </si>
  <si>
    <t>Operating system for active investment management</t>
  </si>
  <si>
    <t>Trace Data</t>
  </si>
  <si>
    <t>Data monitoring and security platform</t>
  </si>
  <si>
    <t>Tracxn</t>
  </si>
  <si>
    <t>Startup market research and data provider</t>
  </si>
  <si>
    <t>Christian Hecker, Thomas Pischke, Marco Cancellieri</t>
  </si>
  <si>
    <t>Data privacy infrastructure</t>
  </si>
  <si>
    <t>Transit</t>
  </si>
  <si>
    <t>Public transit navigation mobile app</t>
  </si>
  <si>
    <t>Travelstop</t>
  </si>
  <si>
    <t>Business travel and expense management</t>
  </si>
  <si>
    <t>Trinkerr</t>
  </si>
  <si>
    <t>Social trading platform</t>
  </si>
  <si>
    <t>Idris Mokhtarzada, Haroon Mokhtarzada, Yahya Mokhtarzada</t>
  </si>
  <si>
    <t>Safe solutions in background checks and identity theft detection</t>
  </si>
  <si>
    <t>Turbine</t>
  </si>
  <si>
    <t>AI driven drug discovery</t>
  </si>
  <si>
    <t>Tweed</t>
  </si>
  <si>
    <t>End-to-end web3 payment solution</t>
  </si>
  <si>
    <t>Daniel Dines, Marius Tirca</t>
  </si>
  <si>
    <t>Uni Cards</t>
  </si>
  <si>
    <t>Credit card company</t>
  </si>
  <si>
    <t>Uniqode</t>
  </si>
  <si>
    <t>Cloud-based mobile marketing platform for physical-to-digital experience management</t>
  </si>
  <si>
    <t>UnitQ</t>
  </si>
  <si>
    <t>AI-enabled quality monitoring platform</t>
  </si>
  <si>
    <t>Uppercase</t>
  </si>
  <si>
    <t>D2C sustainable travel accessories</t>
  </si>
  <si>
    <t>Andy MacMillan (CEO), Darrell Benatar, Dave Garr</t>
  </si>
  <si>
    <t>USPL Wrogn</t>
  </si>
  <si>
    <t>Marketplace for celebrity endorsed apparel and accessories</t>
  </si>
  <si>
    <t>VComply</t>
  </si>
  <si>
    <t>Integrated governance, risk and compliance management</t>
  </si>
  <si>
    <t>Hitesh Sheth (CEO)</t>
  </si>
  <si>
    <t>Vamsi Krishna, Pulkit Jain, Anand Prakash</t>
  </si>
  <si>
    <t>Andrew Kortina, Iqram Magdon-Ismail</t>
  </si>
  <si>
    <t>Seed2010</t>
  </si>
  <si>
    <t>Venwiz</t>
  </si>
  <si>
    <t>B2B platform for manufacturers and skilled service vendors</t>
  </si>
  <si>
    <t>Guillermo Rauch</t>
  </si>
  <si>
    <t>Veriff</t>
  </si>
  <si>
    <t>AI-powered Identity Verification platform</t>
  </si>
  <si>
    <t>Veza</t>
  </si>
  <si>
    <t>Data security platform</t>
  </si>
  <si>
    <t>Thomas Plantenga (CEO), Milda Mitkute, Justas Janauskas</t>
  </si>
  <si>
    <t>Virgio</t>
  </si>
  <si>
    <t>D2C fashion brand</t>
  </si>
  <si>
    <t>VISO</t>
  </si>
  <si>
    <t>End-to-end computer vision infrastructure.</t>
  </si>
  <si>
    <t>vlt</t>
  </si>
  <si>
    <t>A next-gen, open source, package manager, registry &amp; more</t>
  </si>
  <si>
    <t>VoidZero</t>
  </si>
  <si>
    <t>Next Generation Frontend Tooling</t>
  </si>
  <si>
    <t>Seed
in
09/08/2023</t>
  </si>
  <si>
    <t>Vox Media</t>
  </si>
  <si>
    <t>Digital media company</t>
  </si>
  <si>
    <t>VSCO</t>
  </si>
  <si>
    <t>Community-driven media creation and discovery</t>
  </si>
  <si>
    <t>Wallapop</t>
  </si>
  <si>
    <t>Vlad Magdalin, Sergie Magdalin, Bryant Chou, Linda Tong (CEO)</t>
  </si>
  <si>
    <t>WellTheory</t>
  </si>
  <si>
    <t>Digital health platform for autoimmune conditions</t>
  </si>
  <si>
    <t>WIBMO</t>
  </si>
  <si>
    <t>Payment and processing services for individuals, merchants and banks</t>
  </si>
  <si>
    <t>Wizard</t>
  </si>
  <si>
    <t>AI-driven mobile shopping</t>
  </si>
  <si>
    <t>Marc Lore, Scott Hilton, (CEO)</t>
  </si>
  <si>
    <t>Andrew Geant, Mike Weishuhn</t>
  </si>
  <si>
    <t>Xalts</t>
  </si>
  <si>
    <t>Digital assets management platform</t>
  </si>
  <si>
    <t>Moses Lo, Bo Chen, Juan Gonzalez, Tessa Wijaya</t>
  </si>
  <si>
    <t>Xero</t>
  </si>
  <si>
    <t>Cloud accounting software</t>
  </si>
  <si>
    <t>Website</t>
  </si>
  <si>
    <t>Founded</t>
  </si>
  <si>
    <t>Invested</t>
  </si>
  <si>
    <t>Status</t>
  </si>
  <si>
    <t>Lightspeed Team</t>
  </si>
  <si>
    <t>AFFIRM</t>
  </si>
  <si>
    <t xml:space="preserve">MAX LEVCHIN - CEO, , </t>
  </si>
  <si>
    <t>Affirm is reimagining financial services, from credit cards to deposit banking. We’re starting with an amazingly simple, new way of getting credit, right at the online point of sale. With just a few top-of-mind pieces of information, a shopper can “split this purchase into 6 monthly payments.” This boosts checkout conversion, basket sizes, and customer satisfaction.</t>
  </si>
  <si>
    <t>ALLOY</t>
  </si>
  <si>
    <t xml:space="preserve">TOMMY NICHOLAS - CO-FOUNDER &amp; CEO, , </t>
  </si>
  <si>
    <t xml:space="preserve">, , </t>
  </si>
  <si>
    <t>Alloy solves the identity risk problem for companies that offer financial products. Today, nearly 500 banks and fintechs turn to Alloy’s end-to-end identity risk management platform to take control of fraud, credit, and compliance risk, and grow with confidence. Founded in 2015, Alloy is powering the delivery of great financial products to more customers around the world. Learn more at .</t>
  </si>
  <si>
    <t>APPDYNAMICS</t>
  </si>
  <si>
    <t xml:space="preserve">JYOTI BANSAL - FOUNDER, </t>
  </si>
  <si>
    <t xml:space="preserve">, </t>
  </si>
  <si>
    <t>AppDynamics is a notable provider of application performance management for modern application architectures in both the cloud and the data center. Customers such as Netflix, Priceline, and TiVo use us to monitor and manage their distributed production apps, gaining 100% visibility and getting to root cause .</t>
  </si>
  <si>
    <t>AQUA SECURITY</t>
  </si>
  <si>
    <t xml:space="preserve">DROR DAVIDOFF - CEO &amp; COFOUNDER, , </t>
  </si>
  <si>
    <t>Aqua Security enables enterprises to secure their container-based applications from development to production, accelerating container adoption and bridging the gap between DevOps and IT security. Aqua’s Container Security Platform provides full visibility into container activity, allowing organizations to detect and prevent suspicious activity and attacks in real time. Integrated with container lifecycle and orchestration tools, the Aqua platform provides transparent, automated security while helping to enforce policy and simplify regulatory compliance. Aqua was founded in 2015 and is based in Israel and Boston, MA. For more information, visit www.aquasec.com or follow Aqua on twitter.com/AquaSecTeam.</t>
  </si>
  <si>
    <t>ARCTIC WOLF</t>
  </si>
  <si>
    <t xml:space="preserve">BRIAN NESMITH - CO-FOUNDER &amp; CEO, </t>
  </si>
  <si>
    <t>Arctic Wolf Networks was founded in 2011 by network security veterans Brian NeSmith and Kim Tremblay who saw the need to address the most critical challenge in security today — providing enterprise-class security to organizations that typically don’t have the security expertise, time or resources to effectively manage the complicated ecosystem of point security products needed to protect their networks and sensitive data.</t>
  </si>
  <si>
    <t>AXONIUS</t>
  </si>
  <si>
    <t xml:space="preserve">DEAN SYSMAN - CEO &amp; CO-FOUNDER, , </t>
  </si>
  <si>
    <t xml:space="preserve">, , , </t>
  </si>
  <si>
    <t>Axonius is the cybersecurity asset management platform that gives organizations a comprehensive asset inventory, uncovers security solution coverage gaps, and automatically validates and enforces security policies. By seamlessly integrating with over 200 security and management solutions, Axonius is deployed in minutes, improving cyber hygiene immediately. Founded in 2017, Axonius covers millions of devices for customers like the New York Times, Schneider Electric, Landmark Health, AppsFlyer, and many more.</t>
  </si>
  <si>
    <t>BELIEVER</t>
  </si>
  <si>
    <t xml:space="preserve">MICHAEL CHOW - CEO &amp; CO-FOUNDER, </t>
  </si>
  <si>
    <t>We’re an independent game studio with developers all over the world and a home base in Los Angeles, California. Our team of industry veterans and talented newcomers is united by a deep love for players and a commitment to put them at the center of the games we create, the worlds we build, the stories we tell, and the business we run to keep the fun going for as long as players keep believing.</t>
  </si>
  <si>
    <t>BETTERUP</t>
  </si>
  <si>
    <t xml:space="preserve">ALEXI ROBICHAUX - CO-FOUNDER &amp; CEO, </t>
  </si>
  <si>
    <t>BetterUp is a mobile-based coaching platform that brings personalized professional coaching to employees at all levels. We help managers lead better, teams perform better, and employees thrive personally and inspire professionally. Our mission is to help professionals everywhere pursue their lives with greater clarity, purpose, and passion. Our product was developed by a team of leading behavioral scientists, researchers, and technologists. We’re already transforming the way companies approach leadership development at high-performing fortune 500 companies worldwide.</t>
  </si>
  <si>
    <t>CARTA</t>
  </si>
  <si>
    <t>HENRY WARD - CEO &amp; CO-FOUNDER</t>
  </si>
  <si>
    <t>Carta is an ownership network that’s changing how assets are acquired, valued, and transacted. Carta helps companies manage their cap tables, valuations, and equity plans, and helps investors manage their portfolio, holdings, limited partners, and valuations. Carta’s goal is to transform private markets by increasing liquidity and transparency between shareholders.</t>
  </si>
  <si>
    <t>CATO NETWORKS</t>
  </si>
  <si>
    <t xml:space="preserve">SHLOMO KRAMER - CEO, </t>
  </si>
  <si>
    <t>Cato pioneered the convergence of networking and security into the cloud. Aligned with Gartner’s Secure Access Service Edge (SASE) and Security Service Edge (SSE) frameworks, Cato’s vision is to deliver a next generation secure network architecture that eliminates the complexity, costs, and risks associated with legacy IT approaches based on disjointed point solutions. With Cato, organizations securely and optimally connect any user to any application anywhere on the globe. Our cloud-native architecture enables Cato to rapidly deploy new capabilities and maintain optimum security posture, without any effort from the IT teams. With Cato, your IT organization and your business are ready for whatever comes next.</t>
  </si>
  <si>
    <t>CLICKUP</t>
  </si>
  <si>
    <t>ZEB EVANS - CEO &amp; FOUNDER</t>
  </si>
  <si>
    <t>ClickUp is a customizable productivity platform that replaces other workplace apps for all users and all departments in an organization.</t>
  </si>
  <si>
    <t>DAILY HARVEST</t>
  </si>
  <si>
    <t>RACHEL DRORI - CEO</t>
  </si>
  <si>
    <t>Founded in 2015, Daily Harvest offers a solution to the challenge of eating nutrient-rich, unprocessed meals while leading a busy life. The New York-based direct-to-consumer company delivers convenient, plant-based smoothies, overnight oats, chia parfaits, sundaes and soups to freezers across the U.S. As one of the fastest-growing e-commerce brands, Daily Harvest is reimagining the frozen food category using a “farm-freezing” process — harvesting fruits and vegetables at peak ripeness and immediately freezing them to lock in nutrients and flavor. Each recipe combines organic produce with flavor-packed superfoods and is ready to eat in minutes, prepared by adding a liquid and blending or heating. For more information, visit www.daily-harvest.com.</t>
  </si>
  <si>
    <t>DEXTERITY</t>
  </si>
  <si>
    <t>SAMIR MENON - FOUNDER &amp; CEO</t>
  </si>
  <si>
    <t>Dexterity, Inc. creates intelligent robots with human-like dexterity that enable customers to unlock the maximum value of their workforce.</t>
  </si>
  <si>
    <t>EIGHTFOLD</t>
  </si>
  <si>
    <t xml:space="preserve">ASHUTOSH GARG - CEO &amp; CO-FOUNDER, </t>
  </si>
  <si>
    <t>Eightfold.ai® delivers the Talent Intelligence Platform™, an effective way for companies to retain top performers, upskill and reskill the workforce, recruit top talent efficiently, and reach diversity goals. Eightfold.ai’s deep learning artificial intelligence platform empowers enterprises to turn talent management into a competitive advantage. Built by world experts in artificial intelligence, Eightfold.ai is based in Santa Clara, California.</t>
  </si>
  <si>
    <t>EPIC GAMES</t>
  </si>
  <si>
    <t>TIM SWEENEY - FOUNDER</t>
  </si>
  <si>
    <t>Founded in 1991, Epic Games is an American company founded by CEO Tim Sweeney. The company is headquartered in Cary, North Carolina and has more than 40 offices worldwide. Today Epic is a leading interactive entertainment company and provider of 3D engine technology. Epic operates , one of the world’s largest games with over 350 million accounts and 2.5 billion friend connections. Epic also develops , which powers the world’s leading games and is also adopted across industries such as film and television, architecture, automotive, manufacturing, and simulation. Through Unreal Engine, , and , Epic provides an end-to-end digital ecosystem for developers and creators to build, distribute, and operate games and other content.</t>
  </si>
  <si>
    <t>FAIRE</t>
  </si>
  <si>
    <t xml:space="preserve">MAX RHODES - CEO, , , </t>
  </si>
  <si>
    <t>Faire is on a mission to revolutionize the way retailers shop for their stores. We take all the pain out of buying for store owners. Retailers can come to Faire to find unique and exciting products from thousands of brands all in one place. We have also created the first wholesale marketplace to offer free returns. Our goal is to make every item in your store a bestseller.</t>
  </si>
  <si>
    <t>FORTY SEVEN</t>
  </si>
  <si>
    <t xml:space="preserve">PROFESSOR IRV WEISSMAN, M.D. - FOUNDER &amp; BOARD MEMBER, , , , </t>
  </si>
  <si>
    <t>With a passion to help patients defeat their cancer, Forty Seven is committed to the advancement of immuno-oncology through the engagement of new and complementary phagocytic pathways that enhance anti-tumor efficacy and selectivity.</t>
  </si>
  <si>
    <t>FOUND</t>
  </si>
  <si>
    <t xml:space="preserve">LAUREN MYRICK - CEO &amp; CO-FOUNDER, </t>
  </si>
  <si>
    <t>Found was created with small-business owners in mind. That means no account fees, no monthly minimums, and no credit checks. All the features of a business account. None of the fees.</t>
  </si>
  <si>
    <t>GLEAN</t>
  </si>
  <si>
    <t xml:space="preserve">ARVIND JAIN - CO-FOUNDER &amp; VP OF ENGINEERING, , , </t>
  </si>
  <si>
    <t>Glean is the work assistant with intuition. It finds exactly the information you need, right when you need it. Can’t remember where something is or what it’s called? Use Glean to search across all our workplace apps. Need more context on a new project? Use Glean to discover all the background insights and the people who can help. Curious to know what everyone’s been talking about? Use Glean to see what content is trending among your teammates.</t>
  </si>
  <si>
    <t>GRAFANA</t>
  </si>
  <si>
    <t xml:space="preserve">RAJ DUTT - CO-FOUNDER &amp; CEO, , </t>
  </si>
  <si>
    <t>Grafana Labs is the company behind leading open source projects Grafana and Loki, and the creator of the first open and composable observability platform. The company offers Grafana Enterprise, with key features and support for large organizations, and Grafana Cloud, the official managed hosted Grafana stack.</t>
  </si>
  <si>
    <t>GUARDANT HEALTH</t>
  </si>
  <si>
    <t xml:space="preserve">HELMY ELTOUKHY - CO-CEO, </t>
  </si>
  <si>
    <t>Guardant Health is focused on developing breakthrough diagnostic technologies that can transform cancer from a silent killer into a manageable disease. Through a simple blood draw, Guardant360™ analyzes a patient’s current cancer genomics in order to better inform treatment decisions – all without a biopsy. Guardant Health was founded in 2011 by a team of serial entrepreneurs with expertise in next-generation sequencing, single-cell genomics and cancer diagnostics. The team is committed to positively and significantly impacting patient health through technology that addresses long-standing unmet needs in oncology.</t>
  </si>
  <si>
    <t>HAUS LABORATORIES</t>
  </si>
  <si>
    <t xml:space="preserve">LADY GAGA - FOUNDER, </t>
  </si>
  <si>
    <t>HAUS LABORATORIES wants to inspire you to write your own beauty rules. Every high-quality and pigment-forward product was created with versatility and high-impact payoff in mind, so you can color inside or outside of the lines. The products and collections were thoughtfully co-created by Lady Gaga, the HAUS LABORATORIES Product Development Team and Makeup Artist Sarah Tanno, Global Artistry Director, HAUS LABORATORIES.</t>
  </si>
  <si>
    <t>INWORLD AI</t>
  </si>
  <si>
    <t xml:space="preserve">KYLAN GIBBS - CEO, CO-FOUNDER, , </t>
  </si>
  <si>
    <t>In what presents a “platform shift”-grade opportunity, Inworld has established itself as an influential AI-first game development engine, enabling the creation of previously impossible experiences. While Unreal (PC / console) and Unity (mobile / XR) focus on environments and visuals, Inworld (AI-first) focuses on non-player characters (“NPCs”) and logic. Led by AI/ML pioneers from Google and DeepMind, the company provides a web-based no-code editor, an integrated machine learning infrastructure, and various integration options to enable dialogue, interactions, animation, movement, and goals of virtual characters across gaming, media, and enterprise use cases.</t>
  </si>
  <si>
    <t>MAGIC EDEN</t>
  </si>
  <si>
    <t xml:space="preserve">SIDNEY ZHANG - CTO &amp; CO-FOUNDER, , , </t>
  </si>
  <si>
    <t>After four friends discovered Solana and its tremendous potential, Magic Eden was born. With backgrounds across crypto, DeFi, consumer internet companies and management consulting, they identified gaps in existing NFT marketplaces and created something new.</t>
  </si>
  <si>
    <t>MATILLION</t>
  </si>
  <si>
    <t xml:space="preserve">MATTHEW SCULLION - CEO &amp; CO-FOUNDER, , </t>
  </si>
  <si>
    <t>Matillion makes the world’s data useful with an easy-to-use, cloud-native data integration platform. Matillion delivers rapid returns on cloud investments for global enterprise customers, helping them wield data as their most strategic asset. Optimized for modern enterprise data teams, only Matillion is built on native integrations to cloud data platforms such as Snowflake, Delta Lake on Databricks, Amazon Redshift, Google BigQuery, and Microsoft Azure Synapse to enable new levels of efficiency and productivity in data programs.</t>
  </si>
  <si>
    <t>METHODICAL GAMES</t>
  </si>
  <si>
    <t xml:space="preserve">FRANK GIGLIOTTI - CEO &amp; GAME DIRECTOR, , </t>
  </si>
  <si>
    <t>Methodical Games is a newly formed studio built around a fundamental set of ideals; a lean talented team, direct cross-discipline collaboration, quick iteration, and developer-driven processes. Our goal is to foster a haven for developers to push the bounds of their craft and collaborate directly with other creative minds. As our name suggests, we pride ourselves on a detail oriented approach to game development with a focus on meticulously crafted gameplay. You might even call it an obsession.</t>
  </si>
  <si>
    <t>MISTRAL AI</t>
  </si>
  <si>
    <t xml:space="preserve">ARTHUR MENSCH - CO-FOUNDER, CEO, , </t>
  </si>
  <si>
    <t>Founded by key members of Meta’s and Alphabet’s AI research teams, Mistral AI will provide businesses the foundational technology to automate existing processes and develop innovative new products with state-of-the-art large language models.</t>
  </si>
  <si>
    <t>MOVEWORKS</t>
  </si>
  <si>
    <t xml:space="preserve">BHAVIN SHAH - CO-FOUNDER &amp; CEO, , , </t>
  </si>
  <si>
    <t>Moveworks is a cloud-based AI platform, purpose-built for large enterprises, that solves one, big, frustrating problem: Resolving employees’ IT support issues. Instead of tracking issues, Moveworks uses advanced AI to solve them, instantly and automatically – with no human intervention. Moveworks is pre-trained to understand IT support issues, so it starts delivering right away and continues to get smarter with every interaction. With Moveworks, companies can now deliver a radically better employee experience with a much leaner IT team.</t>
  </si>
  <si>
    <t>MULTIVERSE</t>
  </si>
  <si>
    <t xml:space="preserve">EUAN BLAIR - CO-FOUNDER, </t>
  </si>
  <si>
    <t>Multiverse is building an outstanding alternative to university, college and corporate training through professional apprenticeships. Their focus is on helping employers find high potential non-graduate talent and matching them to roles based on competencies and values, rather than academics and work experience. Multiverse then provides training programs in fields like software engineering, digital marketing, and business, delivering an applied learning experience designed to develop future leaders.</t>
  </si>
  <si>
    <t>NAVAN</t>
  </si>
  <si>
    <t xml:space="preserve">ARIEL COHEN - CO-FOUNDER &amp; CEO, </t>
  </si>
  <si>
    <t>Navan is the all-in-one solution that makes travel easy so you can focus on being there, not getting there. Say goodbye to spending hours on the phone trying to change your flight or saving stacks of receipts to manually input expenses. From EAs and finance teams to travel managers and employees, Navan empowers people to focus on the things that matter most to them—all while providing companies with real-time visibility, savings, and control.</t>
  </si>
  <si>
    <t>NEST</t>
  </si>
  <si>
    <t xml:space="preserve">TONY FADELL - CO-FOUNDER &amp; CEO, </t>
  </si>
  <si>
    <t>Nest reinvents unloved but important home products, like the thermostat and smoke alarm. The company focuses on delighting customers with simple, beautiful and thoughtful hardware, software and services.</t>
  </si>
  <si>
    <t>NETSKOPE</t>
  </si>
  <si>
    <t>SANJAY BERI - CEO</t>
  </si>
  <si>
    <t>Netskope, a global cybersecurity leader, is redefining cloud, data, and network security to help organizations apply Zero Trust principles to protect data. Fast and easy to use, the Netskope platform provides optimized access and zero trust security for people, devices, and data anywhere they go. Netskope helps customers reduce risk, accelerate performance, and get unrivaled visibility into any cloud, web, and private application activity. Thousands of customers, including more than 25 of the Fortune 100, trust Netskope and its powerful NewEdge network to address evolving threats, new risks, technology shifts, organizational and network changes, and new regulatory requirements.</t>
  </si>
  <si>
    <t>NONAME SECURITY</t>
  </si>
  <si>
    <t xml:space="preserve">OZ GOLAN - CO-FOUNDER &amp; CEO, </t>
  </si>
  <si>
    <t>Noname Security eliminates API security blind spots and protects enterprises from data leakage, authorization issues, abuse, misuse, and data corruption with no agents and no network modifications. Fortune 500 companies trust Noname’s holistic API security platform to see and secure their APIs.</t>
  </si>
  <si>
    <t>NUTANIX</t>
  </si>
  <si>
    <t xml:space="preserve">DHEERAJ PANDEY - CO-FOUNDER &amp; CEO, </t>
  </si>
  <si>
    <t>Founded in 2009, Nutanix is the first company to offer a radically simple compute and storage infrastructure for implementing enterprise-class virtualization without complex and expensive network storage (SAN or NAS).</t>
  </si>
  <si>
    <t>OFFCHAIN LABS</t>
  </si>
  <si>
    <t xml:space="preserve">ED FELTEN - CO-FOUNDER, , </t>
  </si>
  <si>
    <t>Building Arbitrum for Secure Ethereum Dapps. Experience economical efficiency of the blockchain without limits.</t>
  </si>
  <si>
    <t>ORCA BIO</t>
  </si>
  <si>
    <t xml:space="preserve">IVAN DIMOV - CEO &amp; CO-FOUNDER, , </t>
  </si>
  <si>
    <t>Orca Bio is transforming allogeneic cell therapy for patients with blood cancer, genetic diseases and autoimmune disorders.</t>
  </si>
  <si>
    <t>PAYHAWK</t>
  </si>
  <si>
    <t xml:space="preserve">HRISTO BORISOV - CEO &amp; CO-FOUNDER, , </t>
  </si>
  <si>
    <t>Payhawk is a notable payments and expense management platform for large SMEs and enterprise customers, especially those with a multinational footprint. The company serves businesses in 30 countries across a variety of industries, currencies and payment methods.</t>
  </si>
  <si>
    <t>PERSONIO</t>
  </si>
  <si>
    <t>HANNO RENNER - CEO &amp; CO-FOUNDER</t>
  </si>
  <si>
    <t>Personio is the holistic HR software for small and medium-sized companies with up to 2,000 employees. The software provider, based in Munich, Madrid and London, has set itself the goal of making HR processes faster, clearer and more efficient. In turn, this allows HR managers to take the time to concentrate on the most valuable assets in any successful company: the employees. With this goal in mind, Personio is developing an all-in-one software solution for recruitment processes, employee management and HR development. .</t>
  </si>
  <si>
    <t>PIKA</t>
  </si>
  <si>
    <t xml:space="preserve">DEMI GUO - CO-FOUNDER, </t>
  </si>
  <si>
    <t>At Pika, we’re crafting a future where video creation is seamless, intuitive, and universally accessible. Our vision is set on a world where videos transcend entertainment, serving as a canvas for everyone’s unique expression. Harnessing AI’s transformative power, we aim to dismantle the technical barriers that have traditionally made video production an exclusive field.</t>
  </si>
  <si>
    <t>RESILIENCE</t>
  </si>
  <si>
    <t xml:space="preserve">RAJ SHAH - CHAIRMAN &amp; CO-FOUNDER, , , , </t>
  </si>
  <si>
    <t>Resilience provides comprehensive insurance coverage and patented cybersecurity tools to protect mid-market companies. By bringing together security, insurance, and recovery, Resilience goes beyond risk transfer to help clients become cyber resilient. Resilience Insurance, the cyber program manager of Intact InsuranceSpecialty Solutions – rated A+ by A.M. Best – leverages Cyber Meteorology, a proprietary data-driven risk analytics platform, to provide highly targeted coverage and allowing for a superior claims experience. Resilience is privately funded and headquartered in San Francisco, California with offices in Chicago, Baltimore, and New York.</t>
  </si>
  <si>
    <t>SKILD AI</t>
  </si>
  <si>
    <t xml:space="preserve">DEEPAK PATHAK - CEO, CO-FOUNDER, </t>
  </si>
  <si>
    <t>At Skild AI, we are building what we believe to be an innovative general-purpose robotic intelligence that is robust and adapts to unseen scenarios without failing. We believe massive scale through data-driven machine learning is the key to unlocking these capabilities for the widespread deployment of robots within society.</t>
  </si>
  <si>
    <t>SNAP</t>
  </si>
  <si>
    <t xml:space="preserve">EVAN SPIEGEL - CO-FOUNDER &amp; CEO, </t>
  </si>
  <si>
    <t>Snapchat is the fastest way to share a moment with friends. The mobile app, allows users to not only share photos with friends but also control how long they can view their message, making it easier to share photos without worrying if it is perfect or Facebook-worthy.</t>
  </si>
  <si>
    <t>SNORKEL AI</t>
  </si>
  <si>
    <t xml:space="preserve">ALEX RATNER - CO-FOUNDER &amp; CEO, , , , </t>
  </si>
  <si>
    <t>Founded by a team spun out of the Stanford AI Lab, Snorkel AI makes AI application development fast and practical by unlocking the power of machine learning without the bottleneck of hand-labeled training data. Snorkel Flow is an innovative AI application development platform that labels and manages machine learning training data programmatically, and has been backed by Lightspeed Venture Partners, Greylock, GV, and In-Q-Tel, the company is based in Palo Alto.</t>
  </si>
  <si>
    <t>STRIPE</t>
  </si>
  <si>
    <t>Stripe is a technology company that builds economic infrastructure for the internet. Businesses of every size—from new startups to public companies—use our software to accept payments and manage their businesses online.</t>
  </si>
  <si>
    <t>TENEOBIO</t>
  </si>
  <si>
    <t xml:space="preserve">ROLAND BUELOW, PH.D. - CEO, , , </t>
  </si>
  <si>
    <t>TeneoBio, Inc. is developing a new class of biologics, Human Heavy Chain Antibodies (UniAbs™), as therapeutics against cancer, autoimmunity, and infectious diseases.</t>
  </si>
  <si>
    <t>THOUGHTSPOT</t>
  </si>
  <si>
    <t xml:space="preserve">SUDHEESH NAIR - CEO, , </t>
  </si>
  <si>
    <t>ThoughtSpot is used by a number of innovative companies worldwide with the potential to empower every person in their organization, from C-suite executive to front-line employee, with the ability to quickly uncover data-driven insights with natural language search and automatically get relevant, actionable insights pushed to them with AI. ThoughtSpot delivers a complete platform for the modern data stack spanning the entire spectrum of business intelligence needs, from ad hoc novel analysis with a code-first approach, to code-free self-service data exploration. ThoughtSpot is simple enough for any business person to use, yet built to handle even the largest, most complex data, wherever it may reside. That’s why customers like T-Mobile, CVS, Daimler, Hulu, Nasdaq, PepsiCo and Huel have turned to ThoughtSpot to transform their decision-making cultures.</t>
  </si>
  <si>
    <t>TYPEFACE</t>
  </si>
  <si>
    <t>ABHAY PARASNIS - FOUNDER &amp; CEO</t>
  </si>
  <si>
    <t>Typeface is the generative AI application to supercharge personalized content creation for businesses. By uniting content velocity with brand personalization and control, any enterprise can now create exceptional, on-brand content faster and easier than ever before.</t>
  </si>
  <si>
    <t>ULTIMA GENOMICS</t>
  </si>
  <si>
    <t>GILAD ALMOGY - CO-FOUNDER &amp; CEO</t>
  </si>
  <si>
    <t>Ultima Genomics’ mission is to continuously drive the scale of genomic information to enable unprecedented advances in biology and improvements in human health.</t>
  </si>
  <si>
    <t>VINTED</t>
  </si>
  <si>
    <t xml:space="preserve">THOMAS PLANTENGA - CEO, , , , </t>
  </si>
  <si>
    <t>Vinted is what we believe to be the largest online international C2C marketplace in Europe dedicated to second-hand fashion, with a growing member base of 25 million users spanning 12 markets: France, Germany, Belgium, Spain, the Netherlands, Austria, Poland, Czech Republic, Lithuania, Luxembourg, UK and the USA. On a mission to make second-hand the first choice worldwide, Vinted helps members sell and buy second-hand clothes and accessories from each other. The European start-up is head-quartered in Vilnius, with offices in Berlin, Prague, and Warsaw.</t>
  </si>
  <si>
    <t>WHEEL</t>
  </si>
  <si>
    <t xml:space="preserve">MICHELLE DAVEY - CEO &amp; CO-FOUNDER, </t>
  </si>
  <si>
    <t>Wheel is a health tech company providing companies and clinicians with everything they need to start delivering care to patients virtually. Wheel makes it simple for companies to build virtual care services under their brand by providing them with the technology and clinicians they need to reach millions of patients. Wheel also provides clinicians with one place to manage their entire virtual care practice, including training and work opportunities.</t>
  </si>
  <si>
    <t>WIZ</t>
  </si>
  <si>
    <t xml:space="preserve">ASSAF RAPPAPORT - CO-FOUNDER &amp; CEO, , , </t>
  </si>
  <si>
    <t>Wiz is reinventing cloud security from the inside out. Led by an experienced and visionary team, Wiz is on a mission to help organizations create secure cloud environments that accelerate their businesses. By creating a normalizing layer between cloud environments, our platform enables organizations to rapidly identify and remove critical risks.</t>
  </si>
  <si>
    <t>YUGABYTE</t>
  </si>
  <si>
    <t xml:space="preserve">BILL COOK - CEO, , , </t>
  </si>
  <si>
    <t>YugaByte is the company behind YugaByte DB, the open source, distributed SQL database for building global, internet-scale applications. YugaByte DB serves the business-critical database needs of applications with query flexibility, high performance and cloud native agility, thus allowing enterprises to focus on business growth rather than complex data infrastructure management. It is trusted by companies in the cybersecurity, financial markets, IoT, retail and e-commerce verticals. Founded in 2016 by former Facebook engineers and Oracle database experts, YugaByte is headquartered in Sunnyvale, California.</t>
  </si>
  <si>
    <t>ZOLA</t>
  </si>
  <si>
    <t xml:space="preserve">SHAN-LYN MA - CO-FOUNDER &amp; CEO, , </t>
  </si>
  <si>
    <t>Founded in 2013, Zola is the premier all-in-one wedding registry. Zola goes to great lengths to serve every one of its users, like letting couples register for gifts, experiences, and funds in one beautifully designed site and app. The company also develops technology that helps couples get more out of their registry, letting them personalize everything with their own notes and pictures, add gifts from any website, ship at their convenience, and digitally exchange gifts. It’s a new type of registry, built for the modern, technology-savvy couple. All in the service of love.</t>
  </si>
  <si>
    <t>1047 GAMES</t>
  </si>
  <si>
    <t xml:space="preserve">IAN PROULX - CO-FOUNDER &amp; CEO, </t>
  </si>
  <si>
    <t>1047 Games is an independent development studio focused on driving innovation in the online interactive entertainment space. Its flagship title, Splitgate, has seen what we believe to be over 13 million downloads across multiple platforms and has received positive attention from international critics.</t>
  </si>
  <si>
    <t>1PASSWORD</t>
  </si>
  <si>
    <t>JEFF SHINER - CEO</t>
  </si>
  <si>
    <t>1Password’s human-centric approach to security keeps people safe, at work and at home. It’s the only solution built from the ground up to enable anyone – no matter their level of technical proficiency – to navigate the digital world without fear or friction.</t>
  </si>
  <si>
    <t>51VR</t>
  </si>
  <si>
    <t>YI LI - CEO &amp; FOUNDER</t>
  </si>
  <si>
    <t>51VR is a prominent virtual reality technology company in China. As an early mover in the commercialization of VR in China, and a rapidly growing company in the industry, 51VR aimed at making technology breakthroughs by combining VR-focused computer graphics and artificial intelligence, and the implementation of the new technologies to real estate, automobile, education and other fields.</t>
  </si>
  <si>
    <t>ABATA THERAPEUTICS</t>
  </si>
  <si>
    <t xml:space="preserve">SAMANTHA SINGER, MS, MBA - PRESIDENT &amp; CEO, </t>
  </si>
  <si>
    <t>Abata Therapeutics is focused on translating the biology of regulatory T cells (Tregs) into transformational medicines for patients living with severe autoimmune and inflammatory diseases. Founded by pioneers in Treg biology, T cell receptor, and antigen discovery, disease pathogenesis, and molecular and imaging biomarkers, Abata has developed a differentiated product engine to create engineered Treg cell therapies that are tissue-specific, robust, and durable. In addition to its lead program in progressive MS, Abata has programs in Type 1 Diabetes (T1D) and inclusion body myositis (IBM) – also tissue-specific autoimmune diseases with substantial unmet need and a strong rationale for Abata’s Treg approach. The company was launched in 2021 by Third Rock Ventures, with participation from a diverse syndicate of investors, including ElevateBio, Lightspeed Venture Partners, Invus, Samsara BioCapital, and the JDRF T1D Fund. Abata is based in Cambridge, Mass. For more information, please visit abatatx.com or follow us on Twitter or LinkedIn.</t>
  </si>
  <si>
    <t>ABRIDGE</t>
  </si>
  <si>
    <t xml:space="preserve">SHIV RAO, M.D. - CO-FOUNDER, CEO, , </t>
  </si>
  <si>
    <t>Abridge was founded in 2018 with the mission of powering deeper understanding in healthcare. Our AI-powered platform was purpose-built for medical conversations, improving clinical documentation efficiencies while enabling clinicians to focus on what matters most—their patients.</t>
  </si>
  <si>
    <t>ABSTRACT</t>
  </si>
  <si>
    <t xml:space="preserve">JOSH BREWER - CO-FOUNDER &amp; CEO, , </t>
  </si>
  <si>
    <t>Abstract is a design workflow platform for teams to version, manage, and collaborate on design files. Since launching in July 2017, over 5,000 design teams across 75 countries have adopted Abstract, including teams from Shopify, Cisco, Intuit, Spotify, Salesforce, Instacart, OpenTable, and more.</t>
  </si>
  <si>
    <t>ACCELDATA</t>
  </si>
  <si>
    <t xml:space="preserve">ROHIT CHOUDHARY - FOUNDER &amp; CEO, </t>
  </si>
  <si>
    <t>Acceldata is a Silicon Valley-based provider of a comprehensive data observability platform which allows large enterprises to streamline their data operations.</t>
  </si>
  <si>
    <t>ACKO</t>
  </si>
  <si>
    <t>VARUN DUA - CEO</t>
  </si>
  <si>
    <t>ACKO is a significant D2C digitally-native insurer in India, offering products across auto, health, and embedded insurance. With its data-led approach, cost leadership in claims fulfilment, and customer-first DNA, ACKO has crafted a new paradigm for technology-led, hassle-free insurance.</t>
  </si>
  <si>
    <t>AEROHIVE</t>
  </si>
  <si>
    <t xml:space="preserve">DAVE FLYNN - CEO, </t>
  </si>
  <si>
    <t>Aerohive Networks reduces the cost and complexity of today’s networks with cloud-enabled Wi-Fi and routing solutions for medium and large enterprise headquarters, branch offices and teleworkers.</t>
  </si>
  <si>
    <t>AFFIRMED NETWORKS</t>
  </si>
  <si>
    <t>HASSAN AHMED - CHAIRMAN &amp; CEO</t>
  </si>
  <si>
    <t>Affirmed Networks is working to transform and enhance intelligence in mobile data networks. The company’s solution bundles gateway functionality with rich application and content delivery services into an industry-leading, virtualized solution.</t>
  </si>
  <si>
    <t>AIR DOCTOR</t>
  </si>
  <si>
    <t>JENNY COHEN DERFLER - FOUNDER &amp; CEO</t>
  </si>
  <si>
    <t>Air Doctor helps travelers find a doctor while abroad.</t>
  </si>
  <si>
    <t>AIRBOUND</t>
  </si>
  <si>
    <t>NAMAN PUSHP - CO-FOUNDER</t>
  </si>
  <si>
    <t>Airbound was founded to create the first logistics system that serves all humans equally. Leveraging expertise in robotics and autonomy, Airbound designs, manufactures, and operates a decentralized zero-infrastructure delivery network.</t>
  </si>
  <si>
    <t>ALCHEMY</t>
  </si>
  <si>
    <t xml:space="preserve">NIKIL VISWANATHAN - CEO &amp; CO-FOUNDER, </t>
  </si>
  <si>
    <t>Alchemy provides a notable blockchain development platform powering millions of users in 197 countries worldwide. Our mission is to provide developers with the fundamental building blocks they need to create the future of technology.</t>
  </si>
  <si>
    <t>ALEDADE</t>
  </si>
  <si>
    <t>Aledade offers a new model of primary care that keeps physicians right where they want to be: building strong, impactful relationships with their patients. Aledade has grown rapidly and currently partners with hundreds of practices responsible for nearly 1.7 million patients across 37+ states to support the delivery of seamless, affordable, high-quality care.</t>
  </si>
  <si>
    <t>ALL DAY KITCHENS</t>
  </si>
  <si>
    <t xml:space="preserve">KEN CHONG - CO-FOUNDER &amp; CEO, </t>
  </si>
  <si>
    <t>All Day Kitchens is building a micro-fulfillment platform for restaurants to maximize digital delivery demand. Their distributed restaurant platform enables great local brands to scale and reach customers in new neighborhoods.The kitchens bring more selection and the ability to enjoy dishes from multiple restaurants in a single order.</t>
  </si>
  <si>
    <t>ALOOMA</t>
  </si>
  <si>
    <t xml:space="preserve">YONI BRODE - CEO, </t>
  </si>
  <si>
    <t>Alooma is a real-time data pipeline as a service. We let you integrate any data source like databases, applications, and any API – with your own Amazon Redshift.</t>
  </si>
  <si>
    <t>ALPHA-9 ONCOLOGY</t>
  </si>
  <si>
    <t>Alpha-9 Oncology is a clinical-stage biotechnology company developing radiopharmaceuticals for solid and hematologic malignancies. Alpha-9 has a portfolio of molecules entering clinical trials and a robust pipeline of additional targets for future development.</t>
  </si>
  <si>
    <t>ANCORA BIOTECH</t>
  </si>
  <si>
    <t xml:space="preserve">BEN BUELOW, MD, PHD - CO-FOUNDER, , </t>
  </si>
  <si>
    <t>Developer of breakthrough biotherapeutics for B cell cancers, metabolic diseases, and chronic hepatitis B infections</t>
  </si>
  <si>
    <t>ANDURIL</t>
  </si>
  <si>
    <t xml:space="preserve">PALMER LUCKEY - FOUNDER, , , , </t>
  </si>
  <si>
    <t xml:space="preserve">, , , , , </t>
  </si>
  <si>
    <t>Anduril is a defense products company. Unlike most defense companies, they don’t wait for customers to tell them what they need. Anduril identifies problems, privately fund their R&amp;D and sell finished products off the shelf. Ideas are turned into deployed capabilities in months, not years, saving the government and taxpayers money along the way.</t>
  </si>
  <si>
    <t>APEX.AI</t>
  </si>
  <si>
    <t xml:space="preserve">JAN BECKER - CEO &amp; CO-FOUNDER, </t>
  </si>
  <si>
    <t>Apex.AI builds robust, reliable, safe, secure, and certified software for autonomous vehicles and other autonomous mobility systems. Apex.OS is a runtime software environment that is built on ROS 2 (Robot Operating System) and provides a production-grade safety-certified realtime framework for developing safe and secure autonomous vehicle applications.
Apex.Autonomy provides functional building blocks for autonomous vehicles on top of Apex.OS, such as libraries for 3D perception, localization, and planning.</t>
  </si>
  <si>
    <t>APNA</t>
  </si>
  <si>
    <t>NIRMIT PARIKH - FOUNDER</t>
  </si>
  <si>
    <t>Apna is India’s largest professional networking and data platform connecting India’s rising workforce with growing businesses</t>
  </si>
  <si>
    <t>APPZEN</t>
  </si>
  <si>
    <t xml:space="preserve">ANANT KALE - CO-FOUNDER &amp; CEO, </t>
  </si>
  <si>
    <t>AppZen is the first artificial intelligence solution for business process automation. AppZen’s platform uses AI to automate auditing and instantly detect compliance issues and fraud — across expense reports, contracts, and invoices. AppZen’s patented AI combines computer vision, deep learning, and natural language processing to automatically read and understand expense reports, receipts, and travel documents and cross-check them with hundreds of data sources in real time to determine the accuracy and legitimacy of every expense.</t>
  </si>
  <si>
    <t>AQUANT</t>
  </si>
  <si>
    <t xml:space="preserve">SHAHAR CHEN - FOUNDER &amp; CEO, </t>
  </si>
  <si>
    <t>Aquant is, we believe, among the few Service Intelligence Platforms to analyze the three types of information – structured data, free text and employee network experience – to provide service organizations with data driven predictions to optimize decision making. By applying Natural Language Processing and Machine Learning, Aquant is among the early companies to unlock the potential of free text and leverage the expertise of the service organization’s experienced workforce.</t>
  </si>
  <si>
    <t>AQUANTIA</t>
  </si>
  <si>
    <t xml:space="preserve">FARAJ AALAEI - PRESIDENT &amp; CEO, , , </t>
  </si>
  <si>
    <t>Aquantia is a Silicon Valley-based semiconductor startup. Through a disruptive architecture and focus in turning technology innovation into business success, Aquantia established itself as a notable player in High-Speed interconnects for Cloud Computing and large-scale Data Centers. Its solutions are currently deployed in Tier-1 OEM’s Ethernet switches and servers.</t>
  </si>
  <si>
    <t>ARBOR NETWORKS</t>
  </si>
  <si>
    <t>Arbor Networks, Inc. is a notable provider of network security and management solutions for next-generation data centers and carrier networks. Arbor’s unparalleled, privileged relationships with worldwide service and hosting providers provide unequaled perspective on Internet security and traffic trends via ATLAS® a unique collaborative effort with 100+ network operators across the globe sharing traffic information that informs numerous business decisions. Arbor’s solutions help grow and protect our customers’ networks, businesses and brands.</t>
  </si>
  <si>
    <t>ARCHIVE</t>
  </si>
  <si>
    <t xml:space="preserve">EMILY GITTINS - CEO &amp; CO-FOUNDER, </t>
  </si>
  <si>
    <t>Archive is a resale technology partner for brands to incorporate secondhand into their existing retail business. Through each customized resale marketplace, consumers can buy and sell secondhand styles directly from their favorite brand’s e-commerce site alongside new inventory – reflecting the integrated, more sustainable shopping experience of the future.</t>
  </si>
  <si>
    <t>ARIL INC</t>
  </si>
  <si>
    <t xml:space="preserve">TOM RIORDAN - CEO, </t>
  </si>
  <si>
    <t>Aril Inc. is a U.S. based company developing RISC-V technology for embedded computing SOCs and domain specific solutions requiring performance, security, safety, and efficiency. Aril was founded by an experienced RISC microarchitecture team dedicated to industrializing the RISC-V open-standard Instruction Set Architecture that has received recognition and support across the industry, as reported in .</t>
  </si>
  <si>
    <t>ARRCUS</t>
  </si>
  <si>
    <t xml:space="preserve">SHEKAR AYYAR - CEO, , </t>
  </si>
  <si>
    <t>Arrcus was founded to enrich human experiences by interconnecting people, machines, and data. Our mission is to democratize the networking industry by providing the best-in-class software with the most flexible consumption model at the lowest total cost of ownership (TCO). The Arrcus team consists of accomplished technologists who have an unparalleled record in shipping noteworthy networking products, complemented by industry thought leaders, operating executives, and strategic company builders.</t>
  </si>
  <si>
    <t>ART OF SPORT</t>
  </si>
  <si>
    <t xml:space="preserve">BRIAN LEE - CO-FOUNDER &amp; CHAIRMAN, , </t>
  </si>
  <si>
    <t>Art of Sport develops high performance body care products for athletes. Formulated from the ground up by leading skincare scientists and tested by the world’s top athletes, Art of Sport’s formulas combine powerful botanicals without the unnecessary chemicals to help athletes feel confident, stay fresh and perform at their peak.</t>
  </si>
  <si>
    <t>ASPIRE</t>
  </si>
  <si>
    <t xml:space="preserve">ANDREA BARONCHELLI - CEO &amp; CO-FOUNDER, </t>
  </si>
  <si>
    <t>Aspire operates an all-in-one finance operating system for small and medium sized businesses in South East Asia. The company serves over 15,000 SMBs, helping them save time and money with multi-currency accounts and cards, expense, payable and receivable management solutions – all in one account.</t>
  </si>
  <si>
    <t>ASTRO</t>
  </si>
  <si>
    <t>FRED SCHOTT - FOUNDER, CEO</t>
  </si>
  <si>
    <t>Astro is the web framework for building content-driven websites including blogs, marketing, and e-commerce. If you need a website that loads fast with great SEO, then Astro is for you.</t>
  </si>
  <si>
    <t xml:space="preserve">VINCENT TJENDRA - CO-FOUNDER &amp; CEO, </t>
  </si>
  <si>
    <t>Astro is an Indonesian quick commerce start-up platform that provides groceries and essentials in 2 hrs.</t>
  </si>
  <si>
    <t>AT-BAY</t>
  </si>
  <si>
    <t xml:space="preserve">ROTEM IRAM - CEO, </t>
  </si>
  <si>
    <t>Cyber insurance and risk management that empower you to embrace technology fearlessly.</t>
  </si>
  <si>
    <t>ATHOS</t>
  </si>
  <si>
    <t xml:space="preserve">DHANANJA JAYALATH - CEO &amp; CO-FOUNDER, , </t>
  </si>
  <si>
    <t>Athos is creating cool fitness gear that really does have a benefit with new athletic apparel embedded with EMG technology that is usually reserved for science labs and doctor’s offices. Each item of clothing currently includes 12 different trackers that provide real-time feedback during workouts, sending information via Bluetooth directly to your mobile device. The clothing can monitor how hard your muscles are working, your heart rate, and even your breathing level.</t>
  </si>
  <si>
    <t>AUDIOMOB</t>
  </si>
  <si>
    <t xml:space="preserve">CHRISTIAN FACEY - CEO &amp; CO-FOUNDER, </t>
  </si>
  <si>
    <t>AudioMob allows advertisers to reach their consumers and game developers to monetise their games without interrupting gameplay using in-game audio ads.</t>
  </si>
  <si>
    <t>AUDIUS</t>
  </si>
  <si>
    <t xml:space="preserve">RONEIL RUMBURG - CO-FOUNDER &amp; CEO, </t>
  </si>
  <si>
    <t>Audius is an innovative, decentralized, community-owned, and artist controlled music-sharing platform designed to help up-and-coming artists publish their work and connect directly with fans. The Audius protocol is built to be long-lasting, owned and operated by a fully decentralized community of artists, developers and listeners collaborating to defend the world’s music</t>
  </si>
  <si>
    <t>AUGMENT</t>
  </si>
  <si>
    <t xml:space="preserve">IGOR OSTROVSKY - CO-FOUNDER, </t>
  </si>
  <si>
    <t>Augment Inc. emerged from stealth in 2024 to bring AI coding assistance innovations to developers and software teams. Augment’s expert understanding of each codebase and dependencies removes the toil in developers’ workdays, so teams can once again experience the joy of coding.</t>
  </si>
  <si>
    <t>AURORA</t>
  </si>
  <si>
    <t xml:space="preserve">CHRIS URMSON - CEO &amp; CO-FOUNDER, , </t>
  </si>
  <si>
    <t>Aurora works at the intersection of rigorous engineering and applied machine learning to address one of the most challenging, important, and interesting opportunities of our generation: transforming the way people and goods move.</t>
  </si>
  <si>
    <t>AUTOGRAPH</t>
  </si>
  <si>
    <t>DILLON ROSENBLATT - CEO &amp; CO-FOUNDER</t>
  </si>
  <si>
    <t>Co-founded by Tom Brady and headquartered in Los Angeles, Autograph is an NFT platform that brings together the most iconic brands and legendary names in sports, entertainment and culture to create unique digital collections and experiences.</t>
  </si>
  <si>
    <t>AVAMAR</t>
  </si>
  <si>
    <t>JEDIDIAH YUEH - FOUNDER &amp; CEO</t>
  </si>
  <si>
    <t>Enterprise-class data protection software featuring advanced data de-duplication technology.</t>
  </si>
  <si>
    <t>AVARRA</t>
  </si>
  <si>
    <t xml:space="preserve">DAVID KNIGHT - CO-FOUNDER, CEO, , , </t>
  </si>
  <si>
    <t>Avarra is an enterprise avatar and AI-simulation company headquartered in San Mateo, CA. Its first application delivers realistic 3D AI-avatars trained from web-meeting transcripts and best practice playbooks that accurately simulate customer sales calls. Sales professionals simply join a Zoom meeting and can interact as if speaking to a real customer or prospect. This gives sales professionals a safe and effective place to get the “at-bats” they need to truly be productive…dramatically cutting the time and cost of ramping new hires, launching new products and rolling out best practices.</t>
  </si>
  <si>
    <t>AVERE SYSTEMS</t>
  </si>
  <si>
    <t>RONALD BIANCHINI, JR. - PRESIDENT &amp; CEO</t>
  </si>
  <si>
    <t>Avere Systems brings to the market NAS Optimization solutions designed specifically to scale performance and capacity separately and take advantage of new Flash-based storage media using real-time tiering. Avere’s products allow organizations to achieve unlimited application performance scaling, free applications from the confines of the data center by eliminating latency and cut storage costs by more than half.</t>
  </si>
  <si>
    <t>AVI NETWORKS</t>
  </si>
  <si>
    <t xml:space="preserve">AMIT PANDEY - CEO, , </t>
  </si>
  <si>
    <t>Avi Networks delivers Multi-Cloud Application Services including a Software Load Balancer, Intelligent Web Application Firewall (iWAF) and Universal Service Mesh. Customers deploy Avi on bare metal servers, VMs and containers across on-premises data centers, private clouds such as VMware or OpenStack, public clouds such as AWS, Azure, or Google Cloud, and microservices environments orchestrated by Kubernetes / Istio. The Avi Vantage Platform delivers applications consistently across clouds to ensure a fast, scalable, and secure application experience. Avi customers including Adobe, Deutsche Bank, and Cisco (and 25% of Fortune 50) enjoy 90% faster provisioning and 50% lower TCO.</t>
  </si>
  <si>
    <t>Beme is the simplest and most authentic way to share your experience. Beme allows users to instantly capture real moments from the world around them with a simple gesture and without interruption. Now people can see how friends, family and interesting strangers honestly live their lives, and send them genuine reactions.</t>
  </si>
  <si>
    <t>BERRY HEALTH</t>
  </si>
  <si>
    <t>DR. FREDUA AKOSA - FOUNDER, CEO</t>
  </si>
  <si>
    <t>Berry Health is committed to unlocking healthcare in Africa and breaking stigma in health through technology. The company’s mission is to improve lives by treating important but underserved and stigmatised conditions, while increasing patient agency.</t>
  </si>
  <si>
    <t>BETA DATA</t>
  </si>
  <si>
    <t>SHOUGUO LI - CEO &amp; FOUNDER</t>
  </si>
  <si>
    <t>BETA is a data and algorithm-driven wealth digital technology service platform. Based on financial big data and massive financial data and tag maps, BETA aims to help financial institutions more effciently operate digital marketing and digital services through the application of AI intelligent algorithms and digital transformation solutions.</t>
  </si>
  <si>
    <t>BETDEX</t>
  </si>
  <si>
    <t xml:space="preserve">VARUN SUDHAKAR - CEO &amp; CO-FOUNDER, , </t>
  </si>
  <si>
    <t>BetDEX’s mission is to build the global decentralized sports betting protocol. The BetDEX team has deep experience in the sports betting industry spanning two decades. With a protocol built on public blockchain Solana, BetDEX will offer consumers extremely fast and low-cost trades, while eliminating counterparty risk.</t>
  </si>
  <si>
    <t>BETTY LABS</t>
  </si>
  <si>
    <t xml:space="preserve">HOWARD AKUMIAH - FOUNDER &amp; CEO, </t>
  </si>
  <si>
    <t>Betty Labs is shaping what it means to be a sports fan in the 2020s. From purpose-built, sports-centered social media platforms to interactive companion experiences for live games, we’re changing the way we watch and discuss sports. Our latest product, Locker Room, is an audio-first sports talk platform that lets fans react to breaking news in real time, debate with friends, and listen live to their favorite insiders.</t>
  </si>
  <si>
    <t>BEYOND ODDS TECHNOLOGIES</t>
  </si>
  <si>
    <t>VIVEK SINHA - FOUNDER AND CEO</t>
  </si>
  <si>
    <t>‘Beyond Odds Technologies’ is an employability-led, technology-enabled platform that recruits, trains, certifies, and deploys candidates for grey collar job roles in nation-building industries like healthcare, education, construction, and hospitality. The company’s higher education brand, ‘Emversity’.</t>
  </si>
  <si>
    <t>BHANZU</t>
  </si>
  <si>
    <t>NEELAKANTHA BHANU PRAKASH - FOUNDER &amp; CEO</t>
  </si>
  <si>
    <t>Bhanzu’s vision is to eradicate math phobia by making math fun and relatable as well as promoting math as a sport, an art-form and a human experience. Bhanzu is bridging the gap between dreams and competence, by enabling students to realise their full potential and introduce them to science, coding and AI, through the lens of math.</t>
  </si>
  <si>
    <t>BIG SUR AI</t>
  </si>
  <si>
    <t xml:space="preserve">VINOD RAMACHANDRAN - CEO, CO-FOUNDER, </t>
  </si>
  <si>
    <t>Big Sur AI is an AI-powered SaaS platform for e-commerce merchants to drive sales and profitability. The company’s flagship AI Sales Agent product increases online conversion rates and order sizes for merchants by offering an assisted shopping experience to their consumers.</t>
  </si>
  <si>
    <t>BINARIS</t>
  </si>
  <si>
    <t>Binaris is a high performance serverless platform that brings development agility to demanding and emerging applications. Binaris is focused on high speed function invocation, enabling developers to compose functions together in a microservice architecture, while maintaining predictable response times in the milliseconds.</t>
  </si>
  <si>
    <t>BITMAIN</t>
  </si>
  <si>
    <t xml:space="preserve">JIHAN WU - CO-CEO &amp; CO-FOUNDER, , </t>
  </si>
  <si>
    <t>Bitmain is a privately owned company headquartered in Beijing, China, with offices in Shenzhen, Shanghai, Chengdu, Hong Kong, Fuzhou, US, Israel, Netherlands and Switzerland. It is a well-regarded designer of ASIC chips for Bitcoin mining. The company also operates Antpool, a prominent bitcoin mining pool in the industry.</t>
  </si>
  <si>
    <t>BLACKLAKE TECHNOLOGY</t>
  </si>
  <si>
    <t>YUXIANG ZHOU - CEO &amp; FOUNDER</t>
  </si>
  <si>
    <t>BlackLake Technology provides cloud-based data collaboration, monitoring and analysis software for manufacturers, aiming to become a “partner” in the digital transformation of factories. Relying on cutting-edge technologies such as cloud computing, Internet of Things and blockchain, it has successively launched SaaS applications to build an entrance to help manufacturing enterprises improve operational efficiency, quality and flexibility.</t>
  </si>
  <si>
    <t>BLAMELESS</t>
  </si>
  <si>
    <t xml:space="preserve">ASHAR RIZQI - CO-FOUNDER &amp; CEO, </t>
  </si>
  <si>
    <t>Blameless offers a complete site reliability engineering (SRE) platform that brings together AI-driven incident resolution, blameless postmortems, SLOs/Error Budgets, and reliability insights reports and dashboards, enabling businesses to optimize reliability and innovation.</t>
  </si>
  <si>
    <t>BLEND</t>
  </si>
  <si>
    <t xml:space="preserve">NIMA GHAMSARI - CEO &amp; CO-FOUNDER, , , </t>
  </si>
  <si>
    <t>Blend is a Silicon Valley technology company transforming the multi-trillion dollar home mortgage industry. Blend empowers lenders to originate efficient, data-driven mortgages to drive down costs and keep airtight compliance while providing their borrowers with an elegant user experience.</t>
  </si>
  <si>
    <t>BLINK</t>
  </si>
  <si>
    <t>GIL BARAK - CEO &amp; CO-FOUNDER</t>
  </si>
  <si>
    <t>Blink is building the future of decentralized cloud operations. Blink’s provide platform automates workflows and builds internal tools for operating in the cloud.</t>
  </si>
  <si>
    <t>BLOCKCHAIN</t>
  </si>
  <si>
    <t xml:space="preserve">PETER SMITH - CEO &amp; CO-FOUNDER, </t>
  </si>
  <si>
    <t>Founded in 2011, Blockchain is a notable software provider for digital currency and distributed ledger technology and provides the world’s popular digital wallet, which over time has amassed a large customer base across numerous countries. Through the use of new technology, Blockchain is revolutionizing the $14T financial services industry to build a more open, accessible, and fair financial future.</t>
  </si>
  <si>
    <t>BLOOMREACH</t>
  </si>
  <si>
    <t xml:space="preserve">RAJ DE DATTA - CO-FOUNDER &amp; CEO, </t>
  </si>
  <si>
    <t>BloomReach enables that level of personalization by combining the power of unified customer and product data with the speed and scale of AI-optimization, helping your brand deliver customer journeys so personalized, they feel like magic.</t>
  </si>
  <si>
    <t>BLUE NILE</t>
  </si>
  <si>
    <t>MARK VADON - FOUNDER &amp; CEO</t>
  </si>
  <si>
    <t>Founded in 1999, Blue Nile has grown to become a significant online retailer of certified diamonds and fine jewelry.</t>
  </si>
  <si>
    <t>BLUEBIRDS</t>
  </si>
  <si>
    <t xml:space="preserve">ROHAN PUNAMIA - CEO, CO-FOUNDER, </t>
  </si>
  <si>
    <t>We see an opportunity to rethink outbound workflows with AI as the foundational engine, not a tacked on feature to legacy workflows that no longer work.</t>
  </si>
  <si>
    <t>BLUEPHA</t>
  </si>
  <si>
    <t xml:space="preserve">TENG LI - PRESIDENT &amp; CO-FOUNDER, </t>
  </si>
  <si>
    <t>BLUEVINE</t>
  </si>
  <si>
    <t xml:space="preserve">EYAL LIFSHITZ - FOUNDER, </t>
  </si>
  <si>
    <t>BlueVine provides small and medium-sized businesses with access to fast and simple financial products. Its advanced, online platform offers multiple products designed to meet the diverse needs of today’s business owners.</t>
  </si>
  <si>
    <t>BMSER</t>
  </si>
  <si>
    <t>XUNWEI ZHOU - FOUNDER</t>
  </si>
  <si>
    <t>BMSER Technology is a high-tech enterprise that specialized in new energy battery management technology research and development, production and management. It is committed to providing battery management and maintenance solutions for customers. Relying on independent intellectual property rights and innovation mechanism, its battery active balance management system has the characteristics of reasonable design, novel structure, excellent performance and convenient installation and maintenance.</t>
  </si>
  <si>
    <t>BONNET</t>
  </si>
  <si>
    <t xml:space="preserve">PATRICK REICH - CO-FOUNDER, </t>
  </si>
  <si>
    <t>Bonnet is a user-friendly platform that aggregates EV charge points across numerous charging networks, allowing EV drivers to use and identify available charging points through one simple app – making charging electric vehicles easier than ever.</t>
  </si>
  <si>
    <t>BONOBOS</t>
  </si>
  <si>
    <t>ANDY DUNN - CO-FOUNDER &amp; CEO</t>
  </si>
  <si>
    <t>Bonobos is a premium, web-driven men’s apparel brand and e-tailer. Launched in 2007 around a better-fitting pair of men’s pants, Bonobos now sells shirts, suits, shorts and swim and curates over 70 partner brands’ apparel, accessories and footwear.</t>
  </si>
  <si>
    <t>BRIGIT</t>
  </si>
  <si>
    <t xml:space="preserve">ZUBEN MATHEWS - CEO, </t>
  </si>
  <si>
    <t>Brigit is a financial health app helping every American relieve stress today, start saving for tomorrow, and permanently transform their financial future.</t>
  </si>
  <si>
    <t>BROCADE</t>
  </si>
  <si>
    <t>LLOYD CARNEY - CEO</t>
  </si>
  <si>
    <t>Brocade is a notable provider of comprehensive network solutions that help organizations transition smoothly to a virtualized world where applications and information reside anywhere. Today, Brocade solutions are used in a significant number of Global 1000 data centers, as well as in enterprise LANs and large service provider networks.</t>
  </si>
  <si>
    <t>BROMIUM</t>
  </si>
  <si>
    <t xml:space="preserve">GREGORY WEBB - CEO, , , </t>
  </si>
  <si>
    <t>Bromium is a pioneer in trustworthy computing. Its products transform the resilience of computer systems, making them affordable, manageable and trustworthy by design. The founders of Bromium led the development of the Xen hypervisor, which today powers the significant clouds and secure PCs. Bromium is developing products that enable IT to safely navigate the challenges of advanced persistent malware, a shifting workforce and the consumerization of IT. Bromium helps IT to say “yes” to mobility, and cloud services, empowering users and improving enterprise security and agility.</t>
  </si>
  <si>
    <t>BTCC</t>
  </si>
  <si>
    <t>BOBBY LEE - CEO &amp; CO-FOUNDER</t>
  </si>
  <si>
    <t>BTCC is a notable online platform for Bitcoin exchange in China. The exchange allows users to buy, sell and store Bitcoins through its BTC China brand. The company also offers margin trading, wallet services, and payment services.</t>
  </si>
  <si>
    <t>BUILDING CONNECTED</t>
  </si>
  <si>
    <t xml:space="preserve">DUSTIN DEVAN - CO-FOUNDER &amp; CEO, </t>
  </si>
  <si>
    <t>BuildingConnected is a fast-growing startup that’s making a huge impact on the $10 trillion construction industry. Known as the Salesforce and LinkedIn of commercial construction, we offer a CRM and professional network to help companies grow and manage their businesses. From the new Warriors stadium to local schools and hospitals, our software plays a pivotal role in over 45,000 building projects throughout the US and Canada. We’re solving real problems for real people.</t>
  </si>
  <si>
    <t>BUILDOTS</t>
  </si>
  <si>
    <t xml:space="preserve">ROY DANON - CEO, , </t>
  </si>
  <si>
    <t>Buildots is an AI powered process management and site monitoring solution for the construction industry.
With site progress captured through a 360-degree camera and patented AI comparing plans and schedules to reality, Buildots enables large, complex construction companies to stay ahead of emerging issues and reduce expensive rework.</t>
  </si>
  <si>
    <t>BYJU’S</t>
  </si>
  <si>
    <t xml:space="preserve">BYJU RAVEENDRAN - FOUNDER &amp; CEO, </t>
  </si>
  <si>
    <t>Byju’s is one of the world’s leading education technology companies. The company serves students K-12 and beyond in India and the US and has over 100 million students.</t>
  </si>
  <si>
    <t>CALISTA TECHNOLOGIES</t>
  </si>
  <si>
    <t>Calista software improves the user experience of 3-D and multimedia delivery for Microsoft multimedia applications, virtualized desktop deployments, and server-hosted virtualized desktops or applications using Windows Server Terminal Services. It was acquired by Microsoft in 2008.</t>
  </si>
  <si>
    <t>CALM</t>
  </si>
  <si>
    <t xml:space="preserve">MICHAEL ACTON SMITH - CO-FOUNDER &amp; CO-CEO, </t>
  </si>
  <si>
    <t>Calm is a leading global health and wellness brand with the #1 app for sleep, meditation, and relaxation. The company is on a mission to make the world happier and healthier. With hundreds of hours of original audio content, the Calm app helps users cope with some of the most important mental health issues of the modern age including anxiety, stress, and insomnia.</t>
  </si>
  <si>
    <t>CAMEO</t>
  </si>
  <si>
    <t xml:space="preserve">STEVEN GALANIS - CO-FOUNDER &amp; CEO, , , </t>
  </si>
  <si>
    <t>Cameo is a marketplace where fans can buy personalized video shoutouts from over 10,000 athletes, actors, and influencers. We create the most personalized and authentic fan experiences on Earth and help talent monetize their social following in a brand positive way.</t>
  </si>
  <si>
    <t>CANDIS</t>
  </si>
  <si>
    <t xml:space="preserve">CHRISTIAN RITOSEK - CO-FOUNDER, </t>
  </si>
  <si>
    <t>CANDIS utilizes AI and Machine Learning to automate and reshape bookkeeping and financial workflows for businesses across Europe. CANDIS collects invoices, transaction details and documents from multiple data sources, streamlines their approval process, creates accounting records and reconciles them with payments. Thousands of businesses and their accounting firms are saving 80% of their time from invoice retrieval to accounting, as reported in .</t>
  </si>
  <si>
    <t>CARTESIA</t>
  </si>
  <si>
    <t xml:space="preserve">KARAN GOEL - FOUNDER, CEO, , </t>
  </si>
  <si>
    <t>Cartesia is on a mission to build the next generation of AI: ubiquitous, interactive intelligence that runs wherever you are. Their pioneering state space models (SSMs) and platform enable developers to build real-time, multimodal AI systems, starting with the world’s fastest generative voice API Sonic. Led by a group of Stanford researchers and engineers, Cartesia is at the forefront of AI innovation, delivering highly efficient, scalable solutions that power real-time applications across industries like healthcare, robotics, gaming, and more.</t>
  </si>
  <si>
    <t>CELEQUEST</t>
  </si>
  <si>
    <t xml:space="preserve">DIAZ NESAMONEY - CO-FOUNDER, </t>
  </si>
  <si>
    <t>CELONA</t>
  </si>
  <si>
    <t xml:space="preserve">RAJEEV SHAH - CEO &amp; CO-FOUNDER, </t>
  </si>
  <si>
    <t>Celona, provider of an innovative networking platform for enterprise 5G, enables new generation of AI-powered business critical apps at work and helps organizations accelerate their digital transformation journey. Celona’s solution is designed to simplify and automate deployment of cellular wireless technology by enterprise IT and managed service providers.</t>
  </si>
  <si>
    <t>CENTRICITY</t>
  </si>
  <si>
    <t xml:space="preserve">MANU AWASTHY - CO-FOUNDER AND CEO, , , , </t>
  </si>
  <si>
    <t>Centricity is a SaaS-based investment management platform designed to empower finance and investment professionals in establishing independent practices. It provides digital transactional capabilities and a diversified product suite, delivering a family office experience to investors across the emerging affluent, affluent, and high-net-worth categories.</t>
  </si>
  <si>
    <t>CERTIK</t>
  </si>
  <si>
    <t xml:space="preserve">PROFESSOR RONGHUI GU - CEO, </t>
  </si>
  <si>
    <t>CertiK is a pioneer in blockchain security, utilizing best-in-class Formal Verification and AI technology to secure and monitor blockchains, smart contracts, and Web3 apps.</t>
  </si>
  <si>
    <t>CHAINGUARD</t>
  </si>
  <si>
    <t xml:space="preserve">DAN LORENC - FOUNDER, CEO, , , </t>
  </si>
  <si>
    <t>Founded by individuals with experience in open source software, security, and cloud-native development, Chainguard has built a comprehensive library of open source software that is secure by default. Customers including Snowflake, Canva, and HPE rely on Chainguard to build securely with open source software across their organizations.</t>
  </si>
  <si>
    <t>CHAOS LABS</t>
  </si>
  <si>
    <t>OMER GOLDBERG - CEO, FOUNDER</t>
  </si>
  <si>
    <t>Chaos Labs is an innovative automated, on-chain economic security system enabling crypto protocols to optimize risk management and capital efficiency while protecting user funds. We use world-class custom EVM simulations to understand protocol mechanics and scenario implications.</t>
  </si>
  <si>
    <t>CHEDDAR</t>
  </si>
  <si>
    <t xml:space="preserve">JON STEINBERG - CEO &amp; FOUNDER, </t>
  </si>
  <si>
    <t>Cheddar is a new video news network focused on covering the most innovative products, technologies, and services transforming our lives. The network will cover this news through the lens of the companies and executives driving these changes.
Live and on demand from its broadcast locations on the floor of the New York Stock Exchange, NASDAQ Marketsite, and the field, Cheddar will exclusively cover companies in technology (i.e. Google, Apple, Uber, Airbnb), media ( i.e. Netflix, Disney, Hulu), and innovative consumer products (Lululemon, Chipotle, Tesla).</t>
  </si>
  <si>
    <t>CIENA</t>
  </si>
  <si>
    <t xml:space="preserve">GARY B. SMITH - PRESIDENT &amp; CEO, , , </t>
  </si>
  <si>
    <t>Ciena collaborates with customers worldwide to unlock the strategic potential of their networks and fundamentally change the way they perform and compete. With focused innovation, Ciena brings together the reliability and capacity of optical networking with the flexibility and economics of Ethernet, unified by services and software that delivers the industry’s leading network automation.</t>
  </si>
  <si>
    <t>CITADEL</t>
  </si>
  <si>
    <t xml:space="preserve">CHRISTOPHER R WILLIAMS - CEO, , </t>
  </si>
  <si>
    <t>Citadel builds an automated and modular drone defense solution that uses proprietary machine learning algorithms to detect and engage unwanted drones. Our team is made up of experts from the commercial and military drone industries with decades of experience in delivering exceptional solutions. Current customers include the United States Department of Defense, Defense Innovation Unit-Experimental (DIUX) and the Special Operations Communities.</t>
  </si>
  <si>
    <t>CLARK</t>
  </si>
  <si>
    <t xml:space="preserve">MEGAN O’CONNOR - CEO &amp; CO-FOUNDER, </t>
  </si>
  <si>
    <t>Clark is the first data-driven tutoring platform that acts as a virtual assistant for tutors. Launching on September 6, 2017 with an iOS app and web portal, Clark’s goal is to democratize learning and make it easier for tutors to build their small business. This tool eliminates the churn of invoicing and scheduling which allows tutors to expand their network, concentrate on their students’ progress and teach more sessions. It automatically sends session reminders, processes payments and enforces cancellation policies. Plus, Clark provides parents and teachers with an understanding of their child’s progress and tracks it over time so that they are more involved in the process.</t>
  </si>
  <si>
    <t>CLEANCO</t>
  </si>
  <si>
    <t xml:space="preserve">SPENCER MATTHEWS - FOUNDER &amp; CEO, </t>
  </si>
  <si>
    <t>CleanCo produces low and no alcohol spirits. We provide drinks for consumers who are looking to moderate their alcohol consumption, but not compromise on the taste that they love. Our first product, CleanGin, when mixed traditionally, delivers everything that a G&amp;T does. Our second, CleanRum, tastes like popular rums. The ambition is to have a CleanCo spirit in each key category to satisfy the increasing demand in this sector, both in developed and developing markets. These liquids can act both as alternatives or replacements to hard alcohol. Based in the UK, the brand launched at the end of 2019 and is establishing itself in it’s home market, before developing distribution across the world.</t>
  </si>
  <si>
    <t>CLEVER</t>
  </si>
  <si>
    <t xml:space="preserve">TYLER BOSMENY - CEO, , </t>
  </si>
  <si>
    <t>Technology should empower learning, not hold it back. With a team of former teachers, district administrators, and edtech developers, we understand the data challenges that schools and software developers face. Our product, Clever, makes powerful educational software easy to build and deploy.</t>
  </si>
  <si>
    <t>CLICKHOUSE</t>
  </si>
  <si>
    <t xml:space="preserve">YURY IZRAILEVSKY - CO-FOUNDER &amp; PRESIDENT, PRODUCT &amp; ENGINEERING, , </t>
  </si>
  <si>
    <t>ClickHouse is an open-source, column-oriented OLAP database management system that allows users to generate analytical reports using SQL queries in real-time.</t>
  </si>
  <si>
    <t>CLOUDBEES</t>
  </si>
  <si>
    <t xml:space="preserve">SACHA LABOUREY - CEO, </t>
  </si>
  <si>
    <t>CloudBees is a notable DevOps technology platform delivering the world’s ﬁrst end-to-end continuous software delivery management systems. CloudBees enables developers to focus on what they do best: Build stuff that matters – while providing peace of mind to management with powerful risk mitigation, compliance and governance tools.</t>
  </si>
  <si>
    <t>CLUTCH</t>
  </si>
  <si>
    <t xml:space="preserve">OFIR HAR-CHEN - CO-FOUNDER, CEO, , </t>
  </si>
  <si>
    <t>Clutch is an innovative Universal Non-Human Identity Security Platform, built for the enterprise. It offers complete visibility, governance over lifecycle management, effective posture and risk management, real-time detection and response, and proactive Zero Trust protection for all NHIs across the entire enterprise landscape, including Cloud, SaaS, and On-Prem.</t>
  </si>
  <si>
    <t>COHERE TECHNOLOGIES</t>
  </si>
  <si>
    <t xml:space="preserve">SHLOMO RAKIB - FOUNDER, </t>
  </si>
  <si>
    <t>Cohere Technologies is the innovator of software which improves spectrum and user experience with channel detection, estimation, prediction and precoding deployed within a standard-compliant 4G, 5G or open Cloud RAN.</t>
  </si>
  <si>
    <t>COMMANDK</t>
  </si>
  <si>
    <t xml:space="preserve">JAYESH SIDHWANI - CO-FOUNDER, </t>
  </si>
  <si>
    <t>CommandK is building infrastructure to protect sensitive data. It offers built-in solutions for large organizations to prevent data-leaks and simplify governance.</t>
  </si>
  <si>
    <t>COMMUNITY LABS</t>
  </si>
  <si>
    <t>TATE BERENBAUM - CEO &amp; FOUNDER</t>
  </si>
  <si>
    <t>Community Labs is a native software development company and venture studio focused on accelerating developer tools, use cases, and adoption of Arweave.</t>
  </si>
  <si>
    <t>COMPREHEND</t>
  </si>
  <si>
    <t xml:space="preserve">TERRY CUNNINGHAM - CEO, , </t>
  </si>
  <si>
    <t>Comprehend Systems, Inc. was formed in 2010 in California by an entrepreneurial team that has several decades of combined experience with clinical trials and software development. Comprehend’s mission is to create Software-as-a-Service tools that help understand, explore, and analyze data across multiple, disparate datasources.</t>
  </si>
  <si>
    <t>CONFLUERA</t>
  </si>
  <si>
    <t xml:space="preserve">BIPUL SINHA - CO-FOUNDER &amp; CHAIRMAN, , </t>
  </si>
  <si>
    <t>Confluera redefines the cybersecurity paradigm by introducing real-time interception and response capabilities and turns security analysts into cyber defenders.</t>
  </si>
  <si>
    <t>COSMART</t>
  </si>
  <si>
    <t xml:space="preserve">ALVIN KUMARGA - CO-FOUNDER, </t>
  </si>
  <si>
    <t>Cosmart a membership-only e-commerce platform, where members (individuals or SMEs) can purchase their recurring needs at larger quantities with competitive prices.</t>
  </si>
  <si>
    <t>CRAFTSVILLA</t>
  </si>
  <si>
    <t>MANOJ GUPTA - CO-FOUNDER &amp; CEO</t>
  </si>
  <si>
    <t>Craftsvilla is a notable online marketplace for ethnic apparel and products in India.</t>
  </si>
  <si>
    <t>CROWDAMP</t>
  </si>
  <si>
    <t xml:space="preserve">RUBEN MAYER-HIRSHFELD - CO-FOUNDER, </t>
  </si>
  <si>
    <t>SuperFan lets anybody text their favorite social media stars and get a personalized reply. They use NLP technology to help stars efficiently message all their fans. Fan obsession with one-to-one interactions makes SuperFan the most engaging medium of communication between social media stars and their followers.</t>
  </si>
  <si>
    <t>CUEIN</t>
  </si>
  <si>
    <t xml:space="preserve">MAYUKH BHAOWAL - CO-FOUNDER &amp; CEO, </t>
  </si>
  <si>
    <t>Cuein is a co-pilot for customer experience teams that unifies all customer support data in one place, and answers any kind of question with generative AI. You get complete observability into customer conversations to fix broken chatbot/voice flows, qa live agent workflows and perform root cause analysis.</t>
  </si>
  <si>
    <t>CURVE HEALTH</t>
  </si>
  <si>
    <t xml:space="preserve">MATTHEW A. MICHELA - CEO, , , </t>
  </si>
  <si>
    <t>Curve Health is senior care, connected. We create a demonstrated bridge between skilled nursing facilities, EMS, and hospitals by combining telemedicine, a health information exchange, predictive analytics, and smart billing into a single platform. The result is seamless, well-orchestrated care, with increased visibility of individual patients and populations; creating greater efficiency and new revenue potential across the entire care lifecycle. And most importantly, happier and healthier patients.</t>
  </si>
  <si>
    <t>CYCOGNITO</t>
  </si>
  <si>
    <t xml:space="preserve">ROB GURZEEV - CO-FOUNDER &amp; CEO, </t>
  </si>
  <si>
    <t>CyCognito was founded by veterans of national intelligence agencies who understand how attackers exploit blind spots that legacy approaches help create, and who recognized the need for a radical new approach to risk assessment. Its mission is to help organizations eliminate their most critical security risks, which are often unknown to them: assets and attack vectors that are part of the organization’s IT ecosystem but may not be managed by IT and security teams because they are in various cloud, partner and subsidiary environments, or are abandoned. Sophisticated attackers actively seek these assets, which create “shadow risk.”</t>
  </si>
  <si>
    <t>D2G ONCOLOGY</t>
  </si>
  <si>
    <t xml:space="preserve">JONATHAN MACQUITTY, PH.D. - CEO, , , </t>
  </si>
  <si>
    <t>D2G Oncology leverages quantitative and multiplexed functional cancer genomics to relate drugs to genotypes to transform precision cancer therapeutics.</t>
  </si>
  <si>
    <t>DARWINBOX</t>
  </si>
  <si>
    <t xml:space="preserve">ROHIT CHENNAMANENI - CO-FOUNDER, , </t>
  </si>
  <si>
    <t>Darwinbox is a Gartner-recognized Human Capital Management (HCM) platform built for the large enterprises to attract, engage, and nurture their most critical resource – talent. Recognized as the highest rated Enterprise HCM platform on Gartner Peer Insights, Darwinbox takes care of all HR needs across the employee lifecycle from hire to retire.</t>
  </si>
  <si>
    <t>DATABRICKS</t>
  </si>
  <si>
    <t>Today, more than 10,000 organizations worldwide — including Block, Comcast, Condé Nast, Rivian, Shell and over 60% of the Fortune 500 — rely on the Databricks Data Intelligence Platform to take control of their data and put it to work with AI</t>
  </si>
  <si>
    <t>DATAFLEETS</t>
  </si>
  <si>
    <t xml:space="preserve">DAVID GILMORE - CEO, </t>
  </si>
  <si>
    <t>DataFleets is a notable solution for enterprise Federated Learning across data silos. Our data virtualization layer lets data scientists access and analyze data – wherever it is and however it’s stored – without compromising privacy.</t>
  </si>
  <si>
    <t>DATASTAX</t>
  </si>
  <si>
    <t xml:space="preserve">CHET KAPOOR - CEO, , , </t>
  </si>
  <si>
    <t>DataStax is the real-time data company for building production Generative AI applications. DataStax provides the real-time vector data and retrieval-augmented generation (RAG) capabilities that Gen AI apps need, with seamless integration with developers’ stacks of choice (RAG, Langchain, LlamaIndex, OpenAI, GCP, AWS, Azure, etc).</t>
  </si>
  <si>
    <t>DATORAMA</t>
  </si>
  <si>
    <t xml:space="preserve">RAN SARIG - CO-FOUNDER &amp; CEO, , </t>
  </si>
  <si>
    <t>Datorama is a global marketing analytics company providing an innovative Marketing Integration Engine for enterprises, agencies, publishers and platforms. Datorama’s software-as-a-service (SaaS) platform gives marketers the ability to connect all of their data sources together, whether it’s a handful or hundreds, to form a single source of truth for more efficient reporting, better decision making and total control over their marketing performance. Datorama’s notable combination of end-to-end data management, machine learning (AI) technology, and high-performance architecture makes it simple for data-driven marketers of all experience levels to connect, unify, analyze, visualize and act on all of their marketing data.</t>
  </si>
  <si>
    <t>DATOS IO</t>
  </si>
  <si>
    <t>TARUN THAKUR - CO-FOUNDER &amp; CEO</t>
  </si>
  <si>
    <t>Datos IO is defining the new paradigm of ‘single source of truth’ across traditional and emerging data stores (Big Data stores, NoSQL data stores, and Cloud Native stores). Stealth-mode enterprise software start-up.</t>
  </si>
  <si>
    <t>DATRIUM</t>
  </si>
  <si>
    <t xml:space="preserve">BRIAN BILES - CEO &amp; CO-FOUNDER, , , , </t>
  </si>
  <si>
    <t>The Datrium™ DVX system is a new Enterprise storage alternative to inflexible and expensive Arrays or Hyperconverged servers. The DVX has two co-operative elements. ESX servers provide local storage compute and caching using DVX software and Bring Your Own (BYO) flash. A central HA appliance provides simple off-host shared durable capacity. The result is much easier storage scaling, with incredible price/performance, for dynamic datacenters.</t>
  </si>
  <si>
    <t>DAYBREAK</t>
  </si>
  <si>
    <t>ALEX ALVARADO - CEO &amp; CO-FOUNDER</t>
  </si>
  <si>
    <t>Daybreak partners with youth, families, and schools to create personalized, easily accessible, and affordable mental health programs. We provide counseling and medication support to help with anxiety, motivation, academics, concentration, depression, and more—for youth ages 11-19. Our therapy and medication support programs are backed in the science of what works for youth. 3 in 4 youth see symptom reductions and 90%+ of parents report improvements.</t>
  </si>
  <si>
    <t>DELPHIX</t>
  </si>
  <si>
    <t>JEDIDIAH YUEH - CEO &amp; FOUNDER</t>
  </si>
  <si>
    <t>Delphix enables agile data management with database virtualization software that can shrink 10TB of databases into 1TB and reduce database refresh and provisioning times from 10 weeks to 10 minutes. With Delphix, businesses can deliver application projects up to 500% faster at far lower costs.</t>
  </si>
  <si>
    <t>DESCOPE</t>
  </si>
  <si>
    <t xml:space="preserve">SLAVIK MARKOVICH - CO-FOUNDER, , , </t>
  </si>
  <si>
    <t>Descope helps every developer build secure, frictionless authentication and user journeys for any application. Our no-code workflow builder, SDKs, and APIs enable developers to easily create and customize passwordless authentication flows for every user interaction. Designed by security experts, Descope also protects against account takeover fraud and session theft by identifying risky user signals to enact step-up authentication. Founded in 2022, Descope is headquartered in Los Altos, CA and is a member of the FIDO Alliance.</t>
  </si>
  <si>
    <t>DISTYL</t>
  </si>
  <si>
    <t xml:space="preserve">ARJUN PRAKASH - CO-FOUNDER, CEO, </t>
  </si>
  <si>
    <t>Distyl partners with Fortune 500 companies to drive $100M+ mission-critical initiatives through AI-powered automation of their core operations. In collaboration with OpenAI on their top accounts, they deliver transformative outcomes, already impacting F50s in telecom, manufacturing, healthcare and retail.</t>
  </si>
  <si>
    <t>DOCKER</t>
  </si>
  <si>
    <t xml:space="preserve">STEVE SINGH - CHAIRMAN &amp; CEO, , , </t>
  </si>
  <si>
    <t>Docker is an open platform for developers and sysadmins to build, ship, and run distributed applications. Consisting of Docker Engine, a portable, lightweight runtime and packaging tool, and Docker Hub, a cloud service for sharing applications and automating workflows, Docker enables apps to be quickly assembled from components and eliminates the friction between development, QA, and production environments. As a result, IT can ship faster and run the same app, unchanged, on laptops, data center VMs, and any cloud.</t>
  </si>
  <si>
    <t>DOUBLE CLICK</t>
  </si>
  <si>
    <t xml:space="preserve">KEVIN O’CONNOR - CO-FOUNDER &amp; CEO, </t>
  </si>
  <si>
    <t>Interactive marketing/advertising solutions. Went public as DCLK, later acquired by GOOG.</t>
  </si>
  <si>
    <t>DPANDA</t>
  </si>
  <si>
    <t>RAJAT DHANDA - CO-FOUNDER &amp; CEO</t>
  </si>
  <si>
    <t>Dpanda drives e-commerce everywhere. Dpanda helps convert platforms into micro-eCommerce sites and monetize the platforms’ traffic meaningfully. Dpanda empowers publishers to add shopping experiences for their audiences and enable them to earn incremental revenue. Brands can serve shoppers right at the point of inspiration, boosting sales and conversions.</t>
  </si>
  <si>
    <t>DREMIO</t>
  </si>
  <si>
    <t xml:space="preserve">BILLY BOSWORTH - CEO, </t>
  </si>
  <si>
    <t>Dremio is the SQL Lakehouse Platform company, enabling companies to leverage open data architectures. Dremio’s SQL Lakehouse Platform simplifies data engineering and eliminates the need to copy and move data to proprietary data warehouses or create cubes, aggregation tables and BI extracts, providing flexibility and control for data architects and data engineers, and self-service for data consumers.</t>
  </si>
  <si>
    <t>ECO</t>
  </si>
  <si>
    <t xml:space="preserve">HENRY AULT - CO-FOUNDER &amp; PRESIDENT, , </t>
  </si>
  <si>
    <t>Eco’s “Smart Money” digital wallet rewards you every time you save, spend or send your money, consolidating your entire financial life into one simple balance. Plus, you earn Eco Points with everything you do—an experiment in the future of a rewards economy. Eco isn’t a bank. It’s something better.</t>
  </si>
  <si>
    <t>EDGESPRING</t>
  </si>
  <si>
    <t>VIJAY CHAKRAVARTHY - CEO &amp; FOUNDER</t>
  </si>
  <si>
    <t>EdgeSpring’s enterprise business intelligence and analytics solutions were acquired by Salesforce in June 2013.</t>
  </si>
  <si>
    <t>EHEALTH</t>
  </si>
  <si>
    <t xml:space="preserve">FRANCIS SOISTMAN - CEO, </t>
  </si>
  <si>
    <t>eHealth, Inc. is the parent company of eHealthInsurance, a notable online source of health insurance for individuals, families and small businesses. eHealthInsurance offers thousands of individual, family and small business health plans underwritten by more than 180 accomplished health insurance companies and has helped insure over 2 million Americans as of 2012. Through its wholly-owned subsidiary, PlanPrescriber, and eHealthTechnology, eHealth is also a significant marketer of Medicare insurance products and health insurance exchange technology.</t>
  </si>
  <si>
    <t>ELASTIFILE</t>
  </si>
  <si>
    <t xml:space="preserve">ERWAN MENARD - CEO, , , </t>
  </si>
  <si>
    <t>Elastifile helps organizations accelerate business in the cloud era, by augmenting cloud capabilities with enterprise-grade, scale-out file storage. Enterprises can leverage cloud resources without refactoring applications, and for a fraction of typical in-cloud file storage costs. A Gartner Cool Vendor, Elastifile is available on AWS, Azure and on-premises</t>
  </si>
  <si>
    <t>ELEMENTOR</t>
  </si>
  <si>
    <t xml:space="preserve">YONI LUXENBERG - CO-FOUNDER &amp; CEO, </t>
  </si>
  <si>
    <t>Elementor is a notable website builder platform on WordPress. Serving millions of websites worldwide, Elementor’s code-free, open-source platform, empowers web professionals including web developers, designers, and marketers across various markets. Elementor’s mission is to radically simplify web building, enabling web professionals and agencies to unleash their creative and business potential.</t>
  </si>
  <si>
    <t>ELEMENTUM</t>
  </si>
  <si>
    <t xml:space="preserve">NADER MIKHAIL - CO-FOUNDER AND CEO, , , </t>
  </si>
  <si>
    <t>ENABLE</t>
  </si>
  <si>
    <t xml:space="preserve">ANDREW BUTT - CEO &amp; CO-FOUNDER, </t>
  </si>
  <si>
    <t>Enable helps manufacturers, distributors, and retailers turn rebates into a strategic growth engine. Enable’s easy-to-use, collaborate, scalable rebate management platform lets you take control of your rebates, showing the influence and impact strategic rebate programs have on your company’s growth, returns, and opportunities.</t>
  </si>
  <si>
    <t>ENDOR LABS</t>
  </si>
  <si>
    <t xml:space="preserve">VARUN BADHWAR - FOUNDER &amp; CEO, , , , </t>
  </si>
  <si>
    <t>Our mission at Endor Labs is to help development and security teams reduce supply chain risk, spend less time dealing with security issues, and more time accelerating development through safe Open Source Software (OSS) adoption. Our Dependency Lifecycle Management Platform enables them to maximize software reuse by safely evaluating, maintaining, and updating dependencies at scale. We achieve this by going beyond the traditional methods of metadata and vulnerability scanning and using program analysis and call graphs to gain a deep understanding of how dependencies are being used across the organization.</t>
  </si>
  <si>
    <t>ENDOWUS</t>
  </si>
  <si>
    <t xml:space="preserve">GREGORY VAN - CEO, </t>
  </si>
  <si>
    <t>Endowus is an influential fee-only wealth-tech platform in Asia. Headquartered in Singapore, they are among the pioneers in digital advisors to span both private wealth and public pension savings (CPF &amp; SRS), helping everyone grow their wealth with expert advice, institutional access to financial solutions, low &amp; fair fees, and a delightful personalised digital wealth experience.</t>
  </si>
  <si>
    <t>ENLAZA THERAPEUTICS</t>
  </si>
  <si>
    <t xml:space="preserve">SERGIO DURON, PH.D. - CO-FOUNDER &amp; CHIEF EXECUTIVE OFFICER, </t>
  </si>
  <si>
    <t>Enlaza is creating a groundbreaking new class of protein therapeutics that deliver more efficacious and safer treatments for patients. Enlaza’s breakthrough War-Lock technology enables generation of unique, highly-selective biologic drugs that are engineered to become warheads with the capacity to irreversibly lock to disease related targets. We leverage our novel synthetic biology platform, coupled with proprietary amino acids, to precision-engineer biological medicines with improved efficacy and safety profiles.</t>
  </si>
  <si>
    <t>ENSILO</t>
  </si>
  <si>
    <t xml:space="preserve">ROY KATMOR - CO-FOUNDER &amp; CEO, , , </t>
  </si>
  <si>
    <t>enSilo comprehensively secures the endpoint pre- and post-infection. enSilo automates and orchestrates detection, prevention and real-time response against advanced malware and ransomware without burdening cybersecurity staff. enSilo’s single lightweight agent includes next generation antivirus (NGAV), application communication control, automated endpoint detection and response (EDR) with real-time blocking, threat hunting, incident response and virtual patching capabilities.</t>
  </si>
  <si>
    <t>EON</t>
  </si>
  <si>
    <t xml:space="preserve">OFIR EHRLICH - CEO, CO-FOUNDER, , </t>
  </si>
  <si>
    <t>After years of building enterprise cloud solutions, we saw the challenges in backup and recovery firsthand. As cloud infrastructure expands, teams are losing control. So we decided to fix it—and Eon was born. It’s among the pioneering cloud backup posture management platforms, equipped with a suite of tools that make your backup a dynamic, living asset. One that drives up your business and reimagines how you perceive your cloud data.</t>
  </si>
  <si>
    <t>EPROPULSION</t>
  </si>
  <si>
    <t>DANNY TAO - CEO &amp; FOUNDER</t>
  </si>
  <si>
    <t>With a vision of “enriching human life on water,” EPROPULSION focuses on marine electric drive systems, creating high-performance electric outboard motors ranging from 3 to 40 horsepower, as well as supporting batteries and control systems. EPROPULSION products, in terms of performance and quality, have achieved significant industry recognition and have been acknowledged for their excellence at the prestigious .</t>
  </si>
  <si>
    <t>EPSAGON</t>
  </si>
  <si>
    <t xml:space="preserve">NITZAN SHAPIRA - CO-FOUNDER &amp; CEO, </t>
  </si>
  <si>
    <t>Epsagon provides complete monitoring for serverless applications. It automatically analyses the serverless application, identifies potential issues, and allows fast troubleshooting.</t>
  </si>
  <si>
    <t>EVARIANT</t>
  </si>
  <si>
    <t xml:space="preserve">BILL MOSCHELLA - CO-FOUNDER &amp; CEO, </t>
  </si>
  <si>
    <t>Evariant combines digital marketing solutions, big data and analytics into a unified platform. This allows healthcare organizations to identify opportunities, measure marketing campaigns against reportable ROI and improve patient, physician and employer engagement.</t>
  </si>
  <si>
    <t>EVE</t>
  </si>
  <si>
    <t xml:space="preserve">DAVID ZENG - CO-FOUNDER &amp; HEAD OF ENGINEERING, , </t>
  </si>
  <si>
    <t>EVE.COM</t>
  </si>
  <si>
    <t xml:space="preserve">MARIAM NAFICY - CO-FOUNDER &amp; CO-CEO, </t>
  </si>
  <si>
    <t>Eve.com was a e-commerce retailer for prestige beauty and personal care products.</t>
  </si>
  <si>
    <t>EVENUP</t>
  </si>
  <si>
    <t xml:space="preserve">RAMI KARABIBAR - CEO, CO-FOUNDER, , </t>
  </si>
  <si>
    <t>EvenUp is a venture-backed generative AI startup that ensures injury victims are awarded the full value of their claims, expanding the $100B+ in awards granted to injury victims each year. Every year, the legal system has made it difficult for millions of ordinary people to seek justice, especially for folks without means or who come from underrepresented backgrounds. Our vision is to help these injury victims get the justice they deserve, irrespective of their income, demographics, or the quality of their legal representation.</t>
  </si>
  <si>
    <t>EVERSTRING</t>
  </si>
  <si>
    <t xml:space="preserve">J.J KARDWELL - CEO &amp; CO-FOUNDER, </t>
  </si>
  <si>
    <t>EverString is a B2B marketing intelligence platform that helps enterprises generate demand for their products and services. EverString maximizes the value of leads by identifying the most likely to convert, boosting conversions by greater than 50%. EverString also generates new leads with a high probability of conversion, and identifies the best upsell/cross sell prospects. EverString’s solution is based on a predictive analytics model that leverages advanced natural language processing, text mining, machine learning and computational optimization.</t>
  </si>
  <si>
    <t>EVERYREALM</t>
  </si>
  <si>
    <t>JANINE YORIO - CEO &amp; CO-FOUNDER</t>
  </si>
  <si>
    <t>Everyrealm is one of the active players in the metaverse ecosystem. We invest in, manage, and develop assets including NFTs, virtual real estate, metaverse platforms, gaming, and infrastructure.</t>
  </si>
  <si>
    <t>EVOLV</t>
  </si>
  <si>
    <t xml:space="preserve">MAX SIMKOFF - CEO &amp; CO-FOUNDER, </t>
  </si>
  <si>
    <t>Evolv utilizes big data predictive analytics and machine learning to optimize the performance of global hourly workforces. Evolv’s SaaS-based analytics platform delivers actionable decision support throughout the employee lifecycle. The solution identifies improvement areas, then systematically implements changes to core operational business processes, driving increased employee retention, productivity and engagement. Evolv delivers millions of dollars in operational savings on average for each client, and then guarantees its impact on operating profitability.</t>
  </si>
  <si>
    <t>EXA</t>
  </si>
  <si>
    <t xml:space="preserve">WILL BRYK - CO-FOUNDER, CEO, </t>
  </si>
  <si>
    <t>Exa is an AI research lab redesigning search for AI. Exa’s mission is to organize the world’s knowledge, enhancing AI applications across industries. Exa’s API integrates seamlessly into existing systems, providing developers with powerful tools to enhance their AI applications.</t>
  </si>
  <si>
    <t>EXABEAM</t>
  </si>
  <si>
    <t xml:space="preserve">NIR POLAK - CHIEF EXECUTIVE OFFICER &amp; CO-FOUNDER, </t>
  </si>
  <si>
    <t>Exabeam provides security intelligence and management solutions to help organizations of any size protect their most valuable information. The Exabeam Security Intelligence Platform combines a data lake for unlimited data collection at a predictable price, machine learning for advanced analytics, and automated incident response into an integrated set of products. The result is a modern security intelligence solution that delivers where legacy security information and event management (SIEM) vendors have failed. Built by seasoned security and enterprise IT veterans from Imperva, ArcSight, and Sumo Logic, Exabeam is headquartered in San Mateo, California.</t>
  </si>
  <si>
    <t>EXPONENT ENERGY</t>
  </si>
  <si>
    <t xml:space="preserve">ARUN VINAYAK - CO-FOUNDER, </t>
  </si>
  <si>
    <t>Exponent Energy is a B2B energy stack company operating in the electric mobility sector. They are a notable battery provider and charging network for commercial vehicle OEMs in India. The company’s proprietory battery management system and charging unit enables 15min charging for electric vehicle batteries while retaining a 6 year battery life.</t>
  </si>
  <si>
    <t>EXTENSITY</t>
  </si>
  <si>
    <t xml:space="preserve">BOB SPINNER - CEO, </t>
  </si>
  <si>
    <t>Extensity developed internet-based workforce organization applications. The company went public as EXTN in 2000 and was later acquired by Infor.</t>
  </si>
  <si>
    <t>EYEVIEW</t>
  </si>
  <si>
    <t xml:space="preserve">OREN HARNEVO - CEO &amp; CO-FOUNDER, , </t>
  </si>
  <si>
    <t>Eyeview provides personalized video advertising technology across all screens. By seamlessly integrating real-time messaging into video creative, Eyeview’s solution delivers a broadcast quality, individualized viewing experience to amplify brand messaging making video more relevant and effective.</t>
  </si>
  <si>
    <t>EZCATER</t>
  </si>
  <si>
    <t xml:space="preserve">STEFANIA MALLETT - CO-FOUNDER &amp; CEO, </t>
  </si>
  <si>
    <t>ezCater is the world’s largest online catering marketplace. ezCater’s online ordering, on-time ratings and reviews, and award-winning customer service help businesspeople from organizations of all sizes and industries make meetings more successful and employees happier. Over 60,000 restaurants and caterers use ezCater’s platform to grow and manage their catering business. For more information or to place a catering order, visit www.ezcater.com.</t>
  </si>
  <si>
    <t>FACE U</t>
  </si>
  <si>
    <t>LIE GUO - CEO &amp; CO-FOUNDER</t>
  </si>
  <si>
    <t>FaceU aims to become the leading mobile social application developer in China.</t>
  </si>
  <si>
    <t>FALCONX</t>
  </si>
  <si>
    <t xml:space="preserve">RAGHU YARLAGADDA - CO-FOUNDER &amp; CEO, </t>
  </si>
  <si>
    <t>FalconX is a notable all-in-one platform facilitating trading, credit, and clearing for institutions.</t>
  </si>
  <si>
    <t>FAN CONTROLLED FOOTBALL</t>
  </si>
  <si>
    <t xml:space="preserve">SOHROB FARUDI - CEO &amp; CO-FOUNDER, , , </t>
  </si>
  <si>
    <t>Fan Controlled Football (FCF), a notable professional sports league that enables fans to call the plays in real-time, is a real-world professional sports league where the fans are in charge. Designed for the digital audience, FCF combines the passion of live sports, the competitiveness of fantasy sports, the interactivity of video games, and the global reach of esports all into a live-streamed, real-life experience.</t>
  </si>
  <si>
    <t>FARAWAY</t>
  </si>
  <si>
    <t xml:space="preserve">ALEX PALEY - CO-FOUNDER, </t>
  </si>
  <si>
    <t>Faraway is a new gaming studio leveraging blockchain technology to unlock the potential for truly player-driven and decentralized game economies.</t>
  </si>
  <si>
    <t>FARTHER</t>
  </si>
  <si>
    <t xml:space="preserve">BRAD GENSER - FOUNDER, CTO, </t>
  </si>
  <si>
    <t>Farther is a rapidly growing RIA that combines expert advisors with cutting-edge technology – delivering a comprehensive, tailored wealth management experience.</t>
  </si>
  <si>
    <t>FASHIONARA</t>
  </si>
  <si>
    <t xml:space="preserve">ARUN SIRDESHMUKH - CO-FOUNDER &amp; CEO, </t>
  </si>
  <si>
    <t>Fashionara is an online fashion company in India selling premium and luxury fashion brands across apparel, footwear and accessories.</t>
  </si>
  <si>
    <t>FATHOM</t>
  </si>
  <si>
    <t>Fathom is a notable medical coding automation platform, an AI solution that fuses the best of deep learning and Natural Language Processing (NLP) to automate medical coding with unprecedented accuracy and efficiency.</t>
  </si>
  <si>
    <t>FIDDLER</t>
  </si>
  <si>
    <t xml:space="preserve">KRISHNA GADE - CO-FOUNDER &amp; CEO, </t>
  </si>
  <si>
    <t>Fiddler is a pioneering company to help enterprises build and operationalize Trustable AI by unlocking the AI black box with the Fiddler Explainable AI Engine.</t>
  </si>
  <si>
    <t>FIDU</t>
  </si>
  <si>
    <t xml:space="preserve">NICOLÁS GIMÉNEZ - CEO &amp; CO-FOUNDER, , </t>
  </si>
  <si>
    <t>Fidu is a notable operating system and financial service provider for schools in Spanish-speaking Latin America.</t>
  </si>
  <si>
    <t>FINALOOP</t>
  </si>
  <si>
    <t>LIORAN PINCHEVSKI - FOUNDER, CEO</t>
  </si>
  <si>
    <t>Finaloop is a hyper-growth, tech-enabled accounting startup providing e-commerce and DTC (Direct-to-Consumer) companies with comprehensive financial solutions. We empower businesses to manage their finances with confidence through innovative technology and expert support.</t>
  </si>
  <si>
    <t>FINIX</t>
  </si>
  <si>
    <t xml:space="preserve">RICHIE SERNA - CEO &amp; CO-FOUNDER, </t>
  </si>
  <si>
    <t>Finix is a payments infrastructure platform that facilitates payments, push-to-card disbursements, and additional financial services required by companies bringing payments in-house. The company’s payment facilitation platform tracks transactions, consolidates disparate payment processor data, helps clients underwrite merchant accounts, and coordinates merchant settlements. Its entry-level offering, Flex, helps companies build towards payment facilitation over time without incurring massive switching costs. Clients include Fattmerchant, Lightspeed POS, Passport, and Clubessential. The company has raised $96M in funding since its founding, as reported by .</t>
  </si>
  <si>
    <t>FINVOLUTION</t>
  </si>
  <si>
    <t xml:space="preserve">CLIFF ZHANG - CEO &amp; CO-FOUNDER, </t>
  </si>
  <si>
    <t>FinVolution is a pioneering and notable pure-play online P2P lending company in China. The company leverages online technology to create a more efficient, transparent and customer-friendly platform for lenders and borrowers to connect.</t>
  </si>
  <si>
    <t>FIREGLASS</t>
  </si>
  <si>
    <t xml:space="preserve">GUY GUZNER - FOUNDER &amp; CEO, </t>
  </si>
  <si>
    <t>Fireglass specializes in an area of security called “browser isolation”, a technology that creates virtual websites allowing users to browse any content without having viruses touch their network.</t>
  </si>
  <si>
    <t>FIVESTARS</t>
  </si>
  <si>
    <t xml:space="preserve">VICTOR HO - CO-FOUNDER &amp; CEO, </t>
  </si>
  <si>
    <t>FiveStars provides the simplest, most powerful way for local businesses to increase customer loyalty. The platform allows merchants to drive lasting increases in revenue without discounting, while increasing overall customer satisfaction through rewards.</t>
  </si>
  <si>
    <t>FIZZ</t>
  </si>
  <si>
    <t xml:space="preserve">TEDDY SOLOMON - CO-FOUNDER &amp; COO, , </t>
  </si>
  <si>
    <t>Fizz is a social media platform exclusively available for college campuses to create hyper-local digital communities where students can authentically communicate about campus life. Created by college students, for college students, Fizz communities encourage users to share real, honest content, helping students feel less lonely as they navigate the struggles and triumphs of college.</t>
  </si>
  <si>
    <t>FLICKPLAY</t>
  </si>
  <si>
    <t>PIERINA MERINO - CEO &amp; FOUNDER</t>
  </si>
  <si>
    <t>FlickPlay is the real-life application for the explosion of digital art and collectibles. As a part social part game platform, at FlickPlay people can unlock, flex and rent digital goods. FlickPlay’s map allows for users to interact in real time with digital experiences (in the form of AR collectibles) around them, empowering creators to build an economy around their digital realities while creating shareable memories.</t>
  </si>
  <si>
    <t>FLINK (ACQUIRED BY WEBULL)</t>
  </si>
  <si>
    <t xml:space="preserve">SERGIO JIMÉNEZ - CO-FOUNDER &amp; CEO, </t>
  </si>
  <si>
    <t>Flink came onto the market to bring a radical change within the financial system as it is the first Mexican company that provides everyone the possibility of acquiring fractional shares from 30 pesos, commission free. With the mission of developing the stock market for the new generations, our consumers have better possibilities to do more with their money and to firmly build their financial future.</t>
  </si>
  <si>
    <t>FLIP</t>
  </si>
  <si>
    <t>Launched in 2016, FLIP is an auction-based marketplace that guarantees the sale of limited edition sneakers in 90 minutes.</t>
  </si>
  <si>
    <t>FLIXSTER</t>
  </si>
  <si>
    <t xml:space="preserve">JOE GREENSTEIN -, </t>
  </si>
  <si>
    <t>Flixster is a notable social and mobile source of movie information. Over 25M people each month use Flixster’s applications for iPhone, Android, iPad and destination site at RottenTomatoes.com.</t>
  </si>
  <si>
    <t>FLOCKJAY</t>
  </si>
  <si>
    <t xml:space="preserve">SHAAN HATHIRAMANI - CEO, </t>
  </si>
  <si>
    <t>Flockjay trains and certifies elite, diverse sales reps, and places them at top companies. They derisk the sales hiring process by providing 200+ hours of expert-led coaching and practice.</t>
  </si>
  <si>
    <t>FLOW</t>
  </si>
  <si>
    <t xml:space="preserve">SIVAN IRAM - CO-FOUNDER, CEO, , </t>
  </si>
  <si>
    <t>Flow was founded upon a commitment to bring the best of technology and people together to transform specialty insurance. Insurance is the bedrock of entrepreneurial business activity; in times of peril, companies rely on risk transfer to ensure their longevity. However, the insurance needs of corporations are complex and require guidance from retail agents, who need the expertise of knowledgeable and responsive wholesalers.</t>
  </si>
  <si>
    <t>FORAGE</t>
  </si>
  <si>
    <t xml:space="preserve">THOMAS BRUNSKILL - CEO &amp; CO-FOUNDER, </t>
  </si>
  <si>
    <t>Forage delivers skill-building experiences for students through virtual work experience courses, developed in partnership with high-caliber companies, including: JPMorgan Chase &amp; Co., Microsoft, Accenture, General Electric, and many more. Through Forage’s virtual work experience courses, students gain the skills and the confidence to apply for their dream roles. Companies use Forage courses to engage, assess, and hire high-performing and diverse talent.</t>
  </si>
  <si>
    <t>FORDEFI</t>
  </si>
  <si>
    <t xml:space="preserve">JOSH SCHWARTZ - CEO, , </t>
  </si>
  <si>
    <t>Fordefi is what we believe to be the first institutional MPC wallet and security platform built for DeFi.</t>
  </si>
  <si>
    <t>FOUNDRY</t>
  </si>
  <si>
    <t>JARED QUINCY DAVIS - CEO, FOUNDER</t>
  </si>
  <si>
    <t>Founded by alumni from DeepMind’s core Deep Learning Team and Stanford’s CS PhD program (group led by Databricks co-founder Matei Zaharia), Foundry is a new breed of public cloud, meticulously engineered from the ground up to cater to the unique demands of machine learning workloads.</t>
  </si>
  <si>
    <t>FOURTHWALL</t>
  </si>
  <si>
    <t>Fourthwall gives creators the freedom to focus on creating. Over 100,000 creators are using Fourthwall to power their shops and memberships.</t>
  </si>
  <si>
    <t>FOXY</t>
  </si>
  <si>
    <t>KARTIK SHETH - FOUNDER &amp; CEO</t>
  </si>
  <si>
    <t>FOXY is a commerce platform for GenZ in India, enabling customers to shop beauty, grooming and personal care products. It delivers a hyper-personalized experience for every user and works closely with brands to enable discovery and genuine product sales in a market often filled with counterfeits.</t>
  </si>
  <si>
    <t>FREESPIRA</t>
  </si>
  <si>
    <t xml:space="preserve">DEAN SAWYER - CEO, , , , , </t>
  </si>
  <si>
    <t>Freespira, Inc. is the maker of Freespira, a FDA-cleared digital therapeutic proven to significantly reduce or eliminate symptoms of panic attacks, panic disorder, and post-traumatic stress disorder (PTSD) in just 28 days by training users to normalize respiratory irregularities. Find out how at www.freespira.com</t>
  </si>
  <si>
    <t>FREIGHT TIGER</t>
  </si>
  <si>
    <t>SWAPNIL SHAH - FOUNDER &amp; CEO</t>
  </si>
  <si>
    <t>Freight Tiger builds software to transform freight logistics in India. The company provides end-to-end logistics visibility and a cloud based transportation management system which powering a notable digital freight network in India.</t>
  </si>
  <si>
    <t>FRESHMENU</t>
  </si>
  <si>
    <t>RASHMI DAGA - CEO</t>
  </si>
  <si>
    <t>FreshMenu is a mobile-first fully integrated food brand that provides on-demand delivery of freshly cooked plated meals at affordable price points in India.</t>
  </si>
  <si>
    <t>FRONTERA</t>
  </si>
  <si>
    <t>AMOL DESHPANDE - FOUNDER, CEO</t>
  </si>
  <si>
    <t>Frontera Health is developing a tech-enabled platform to provide pediatric therapies for rural families in need. The company leverages AI/ML to establish the foundational multimodal data model for early intervention and developmental disorders. By working with parents and caregivers in rural communities, the company aims to increase access to care, improve health equity, and deliver personalized treatment for better outcomes.</t>
  </si>
  <si>
    <t>FRUBANA</t>
  </si>
  <si>
    <t xml:space="preserve">FABIÁN GOMEZ - CEO &amp; FOUNDER, , , </t>
  </si>
  <si>
    <t>Frubana is Latin America’s one-stop-shop e-commerce platform for restaurants. The company connects producers with restaurant owners and serves as an alternative channel of CPG, produce, and supplies for the industry. Founded in 2018, Frubana has a presence in Mexico, Colombia, and Brazil.</t>
  </si>
  <si>
    <t>FULLVIEW</t>
  </si>
  <si>
    <t xml:space="preserve">DORIN TARAU - CO-FOUNDER &amp; CPO, </t>
  </si>
  <si>
    <t>Fullview is an end-to-end technical support platform for analyzing and resolving customer support issues with a seamless workflow.</t>
  </si>
  <si>
    <t>FUSION-IO</t>
  </si>
  <si>
    <t xml:space="preserve">DAVE FLYNN - FOUNDER &amp; CEO, </t>
  </si>
  <si>
    <t>Fusion-io is the pioneer of a new storage memory platform that significantly improves the processing capabilities within a datacenter by relocating active data from centralizedstorage to the server where it is processed. Fusion’s integrated solutions significantly increase datacenter efficiency and offer enterprise grade performance, reliability, availability and manageability.</t>
  </si>
  <si>
    <t>GAINSIGHT</t>
  </si>
  <si>
    <t xml:space="preserve">NICK MEHTA - CEO, </t>
  </si>
  <si>
    <t>Gainsight helps businesses grow faster by reducing churn, increasing upsell, and driving customer advocacy. The company’s SaaS solution is 100% Salesforce native and uses predictive analytics to drive revenue from sales, usage, support, survey and other sources of external customer data. In this way, Gainsight provides a 360° view of customers and drives retention across Customer Success, sales, marketing, executive and product management.</t>
  </si>
  <si>
    <t>GALILEO TECHNOLOGY</t>
  </si>
  <si>
    <t xml:space="preserve">AVIGDOR WILLENZ - CO-FOUNDER &amp; CEO, , </t>
  </si>
  <si>
    <t>Galileo Technology is a fabless semiconductor company that designs and markets complex semiconductor devices which solve important problems in high-performance embedded control systems, principally in the area of data communications.</t>
  </si>
  <si>
    <t>GARDENS</t>
  </si>
  <si>
    <t>Gardens is a studio of game design veterans who previously led the creation of commercially successful and award-winning games, including Sky and Journey. They’re named after the games they grow together: lush, living worlds that bring players together to cultivate lasting friendships. Gardens’ upcoming flagship game is a shared fantasy adventure inspired by some of the team’s favorite memories playing online games, particularly moments shared with strangers. Players will find themselves crossing paths in a shapeshifting, unpredictable wilderness filled with mystery and magic, featuring a timeless visual direction and tactile multiplayer play.</t>
  </si>
  <si>
    <t>GENIEBOOK</t>
  </si>
  <si>
    <t xml:space="preserve">NEO ZHIZHONG - CEO &amp; FOUNDER, </t>
  </si>
  <si>
    <t>Geniebook is an education technology company for K-12 students across Southeast Asia, including Singapore, Vietnam and Malaysia. Its core products are live courses and AI personalized worksheets across multiple subjects, including in math, science, english and mandarin.</t>
  </si>
  <si>
    <t>GIPHY</t>
  </si>
  <si>
    <t xml:space="preserve">ALEX CHUNG - FOUNDER &amp; CEO, </t>
  </si>
  <si>
    <t>Giphy is building the world’s largest animated GIF search engine and redefining how people search, discover, and share GIFs. From the start they’ve also developed an all-in-one GIF platform with multiple product offerings, touching millions of users per day and serving billions of GIFs per month.</t>
  </si>
  <si>
    <t>GIRLBOSS</t>
  </si>
  <si>
    <t>SOPHIA AMORUSO - FOUNDER</t>
  </si>
  <si>
    <t>Girlboss is a mission-driven company helping women define success on their
own terms—and offering them the tools they need to achieve, advance, and own their power. Founded by entrepreneur and best-selling author Sophia Amoruso, the brand leads with content, experiences, and community-building. Original reporting and storytelling can be found on owned and operated website Girlboss.com and on the top-performing podcast Girlboss Radio; twice a year, some of the most inspiring women in the world gather at sold-out Girlboss Rallies; subscription-based video can be found on g.media; and always-on content can be found via dedicated email and across all social platforms @Girlboss.</t>
  </si>
  <si>
    <t>GLO PHARMA</t>
  </si>
  <si>
    <t xml:space="preserve">SCOTT GLENN - CHAIRMAN &amp; FOUNDER, </t>
  </si>
  <si>
    <t>GLO Pharma is a beauty and aesthetics company developing next-gen products for at home use, including the breakthrough subtopical skincare brand Ourself.</t>
  </si>
  <si>
    <t>GLOBALBEES</t>
  </si>
  <si>
    <t xml:space="preserve">SUPAM MAHESHWARI - CO-FOUNDER, </t>
  </si>
  <si>
    <t>GlobalBees is a new age house of brands that invests in and acquires digital first brands. With their end to end technology, services, manufacturing and distribution infrastructure, they scale brands globally both online and offline. Their brands operate across sectors – FMCG, Home &amp; Living, Sports and Fitness, Fashion and many more.</t>
  </si>
  <si>
    <t>GLOBALFAIR</t>
  </si>
  <si>
    <t xml:space="preserve">SHAILY GARG - CO-FOUNDER &amp; CEO, </t>
  </si>
  <si>
    <t>GlobalFair operates a cross-border B2B managed marketplace focused on construction materials. The company serves global demand by aggregating and organizing a technology-enabled global network of suppliers from India and SEA.</t>
  </si>
  <si>
    <t>GOODFIRE</t>
  </si>
  <si>
    <t xml:space="preserve">ERIC HO - CEO, CO-FOUNDER, , </t>
  </si>
  <si>
    <t>Goodfire’s mission is to advance humanity’s understanding of AI by examining the inner workings of advanced AI models (or “AI Interpretability”). As an applied research lab, we bridge the gap between theoretical science and practical applications of interpretability.</t>
  </si>
  <si>
    <t>GOOP</t>
  </si>
  <si>
    <t>GWYNETH PALTROW - FOUNDER &amp; CEO</t>
  </si>
  <si>
    <t>Launched in the fall of 2008 out of Gwyneth Paltrow’s kitchen as a homespun weekly newsletter, GP wanted a place to organize her unbiased travel recommendations, health-centric recipes, and shopping discoveries for friends, and she also wanted to get her own questions—about health, fitness, and the psyche—answered. It has always been a place for GP to introduce some of the incredible experts who have mentored her throughout her life, and a place where readers can find suggestions about where to shop, eat, and stay from a trusted friend—not from an anonymous, crowd-sourced recommendation engine.</t>
  </si>
  <si>
    <t>GRAB</t>
  </si>
  <si>
    <t>ANTHONY TAN - CEO</t>
  </si>
  <si>
    <t>Grab is a widely used O2O mobile platform in Southeast Asia, providing the everyday services that matter most to consumers. Commute, eat, deliver shopping – and pay with one e-wallet. Grab currently offers services in Singapore, Indonesia, Philippines, Malaysia, Thailand, Vietnam, Myanmar and Cambodia.</t>
  </si>
  <si>
    <t>GRANOLA</t>
  </si>
  <si>
    <t xml:space="preserve">CHRISTOPHER PEDREGAL - CEO, CO-FOUNDER, </t>
  </si>
  <si>
    <t>Granola is using LLMs to build smarter, more humane work tools that automate busywork and free you up to think bigger. Our bold vision is to build the context-aware workspace of the future.</t>
  </si>
  <si>
    <t>GROWTH NETWORKS</t>
  </si>
  <si>
    <t>BARRY EGGERS - CO-FOUNDER</t>
  </si>
  <si>
    <t>Growth Networks developed a new category of networking silicon known as Internet Switching Fabrics, featuring scalable capacity and multi-service capability.</t>
  </si>
  <si>
    <t>GRUBHUB</t>
  </si>
  <si>
    <t xml:space="preserve">MATT MALONEY - CO-FOUNDER &amp; CEO, </t>
  </si>
  <si>
    <t>Frustrated by the lack of delivery information available on the internet, Chicago-based software engineers Matt Maloney and Mike Evans founded the online service to organize delivery information in 2004. Visitors to GrubHub.com type in their address, and the results page will display every local restaurant that delivers to them, with the restaurants’ menus, available coupons and user reviews. Diners can order for delivery or pickup online, by phone or through the GrubHub iPhone and Android apps.</t>
  </si>
  <si>
    <t>GUSHWORK</t>
  </si>
  <si>
    <t xml:space="preserve">NAYRHIT BHATTACHARYA - CO-FOUNDER &amp; CEO, , </t>
  </si>
  <si>
    <t>Gushwork.ai is a platform for business owners across industries to get easy, trustworthy and affordable access to AI-first on demand teams to help manage business workflows &amp; applications.</t>
  </si>
  <si>
    <t>HANDSHAKE</t>
  </si>
  <si>
    <t xml:space="preserve">GARRETT LORD - CEO &amp; CO-FOUNDER, , </t>
  </si>
  <si>
    <t>Handshake is the ultimate recruiting platform and professional network for college students. With over 60 U.S. universities, 200,000 students, and 50,000 recruiters posting over 250,000 job opportunities to-date, Handshake is designed to transform the recruiting experience for students, recruiters, and career centers.</t>
  </si>
  <si>
    <t>HASURA</t>
  </si>
  <si>
    <t xml:space="preserve">TANMAI GOPAL - CEO &amp; CO-FOUNDER, </t>
  </si>
  <si>
    <t>Hasura is helping to build the modern world of globally relevant, data-driven applications and APIs. Hasura’s range of data access solutions helps organizations accelerate product delivery by instantly connecting data and services to applications with GraphQL APIs.</t>
  </si>
  <si>
    <t>HEALTHPLIX</t>
  </si>
  <si>
    <t>SANDEEP GUDIBANDA - CEO &amp; CO-FOUNDER</t>
  </si>
  <si>
    <t>Healthplix is India’s largest EMR — it’s the only software used by specialists and doctors when they’re seeing patients.</t>
  </si>
  <si>
    <t>HELION</t>
  </si>
  <si>
    <t xml:space="preserve">CHRIS PIHL - CO-FOUNDER, CTO, , </t>
  </si>
  <si>
    <t>We are a fusion power company with the mission to build the world’s first fusion power plant, enabling a future with unlimited clean electricity. Our vision is a world with clean, reliable, and affordable energy for everyone.</t>
  </si>
  <si>
    <t>HEPTIO</t>
  </si>
  <si>
    <t xml:space="preserve">CRAIG MCLUCKIE - CEO &amp; CO-FOUNDER, </t>
  </si>
  <si>
    <t>All businesses must become software businesses to compete in an increasingly-connected world. Kubernetes, the popular open source system for cloud native applications, has accelerated this movement by making containerized applications the norm for new business critical services.</t>
  </si>
  <si>
    <t>HERALD</t>
  </si>
  <si>
    <t xml:space="preserve">MATT ANTOSZYK - CEO &amp; CO-FOUNDER, , </t>
  </si>
  <si>
    <t>Digital infrastructure for commercial insurance. Quote and bind insurance from multiple carriers using a single API.</t>
  </si>
  <si>
    <t>HERBEAST</t>
  </si>
  <si>
    <t xml:space="preserve">YISA HE - CEO &amp; FOUNDER, </t>
  </si>
  <si>
    <t>Herbeast is a pioneering sustainable skin care and lifestyle brand in China. It explores the application of Chinese herbal essence to the skin based on the concept and technical principles of biomedicine.</t>
  </si>
  <si>
    <t>HEYGO</t>
  </si>
  <si>
    <t xml:space="preserve">JOHN TERTAN - CEO &amp; CO-FOUNDER, </t>
  </si>
  <si>
    <t>Heygo is an interactive livestreaming travel platform that makes world travel available anytime, to anyone. With immersive tours in 90 countries and counting, Heygo empowers creators to share the places and subjects they know best with people around the world. Viewers can join the tours for free, ask questions or interact with other travelers and take postcards to remember their journey, all 100% live.</t>
  </si>
  <si>
    <t>HIDDEN LEAF GAMES</t>
  </si>
  <si>
    <t xml:space="preserve">BAO LAM - PRESIDENT, </t>
  </si>
  <si>
    <t>Hidden Leaf Games is an indie game development studio founded with the mission of delivering a world-class experience that focuses on competition, progression, and social play. We believe games are meant to be played together, regardless of skill level or platform. At our core, we’re players who deeply value the social and community interactions that competitive moments have to offer. We believe that competitive games create lasting moments and are committed to recreating that experience for others to enjoy.</t>
  </si>
  <si>
    <t>HIGHFIVE</t>
  </si>
  <si>
    <t xml:space="preserve">SHAN SINHA - CO-FOUNDER, </t>
  </si>
  <si>
    <t>Highfive is a pioneer video conferencing device and cloud service designed for your entire company.</t>
  </si>
  <si>
    <t>HILLEVAX</t>
  </si>
  <si>
    <t xml:space="preserve">ROB HERSHBERG, MD, PHD - CEO, , </t>
  </si>
  <si>
    <t>HilleVax is a biopharmaceutical company focused on the development and commercialization of novel vaccine candidates. Its initial program, HIL-214, is a virus-like particle (VLP) based vaccine candidate in development for the prevention of moderate-to-severe acute gastroenteritis caused by norovirus infection.</t>
  </si>
  <si>
    <t>HOLO</t>
  </si>
  <si>
    <t xml:space="preserve">ARIAN AGHABABAIE - CEO &amp; CO-FOUNDER, , , </t>
  </si>
  <si>
    <t>Free from the limitations of traditional manufacturing, Holo designs and produces innovative 3D printed parts in metal, ceramics, and composite materials. Holo’s unique, high-resolution, scalable additive manufacturing platform delivers disruptive levels of performance through the production of otherwise impossible to manufacture mechanical components.</t>
  </si>
  <si>
    <t>HOMARY</t>
  </si>
  <si>
    <t xml:space="preserve">MINGHUA CHEN - FOUNDER, </t>
  </si>
  <si>
    <t>Homary is a significant cross-border e-commerce platform for home furnishing products in China. It mainly serves young middle- and high-income groups in Europe and the United States. Homary is committed to allowing consumers to enjoy a variety of quality home life at a lower cost.</t>
  </si>
  <si>
    <t>HONEYLOVE</t>
  </si>
  <si>
    <t>BETSIE LARKIN - CEO</t>
  </si>
  <si>
    <t>Honeylove makes Sculptwear, a modern twist on traditional shapewear undergarments. Sculptwear’s patent-pending features produce targeted compression for improved shaping and comfort, while clever structures support posture and ensure the garment stays put. The product line was inspired by founder, Betsie Larkin’s, life as a well-known musician and performer. She created Sculptwear for her own use on stage and perfected the garments to serve the needs of women everywhere.</t>
  </si>
  <si>
    <t>HOUSE OF X</t>
  </si>
  <si>
    <t xml:space="preserve">RAJ SHAMANI - FOUNDER, </t>
  </si>
  <si>
    <t>House of X is a creator commerce company which leverages technology to help creators launch, build and scale their own D2C brands.</t>
  </si>
  <si>
    <t>HUBILO</t>
  </si>
  <si>
    <t xml:space="preserve">VAIBHAV JAIN - FOUNDER &amp; CEO, </t>
  </si>
  <si>
    <t>Hubilo is an all in one events platform. Through their webinar and event management platform they boost attendance, event engagement and maximize audience participation.</t>
  </si>
  <si>
    <t>HUNGRYROOT</t>
  </si>
  <si>
    <t>BEN MCKEAN - CEO &amp; FOUNDER</t>
  </si>
  <si>
    <t>Hungryroot is your personal grocer, powered by AI and the belief that food deeply impacts your daily life. You tell us a little about yourself, and we use proprietary predictive technology to deliver groceries and recipes that best suit your individual needs and goals. We also assist with meal planning and nutritional support, helping you save time, save money, shop sustainably, and eat what makes you feel your best.</t>
  </si>
  <si>
    <t>HYPERGUEST</t>
  </si>
  <si>
    <t xml:space="preserve">NIR YARON - CEO &amp; CO-FOUNDER, , , </t>
  </si>
  <si>
    <t>HyperGuest is the B2B marketplace for the hospitality industry. Our technology enables superb profitability and user experience, by enabling direct booking transactions between hotels and travel service providers. Accommodation rooms and rates are shared through an electronic marketplace that assures rate transparency, content accuracy, payment confidence, transaction success, and higher margins.</t>
  </si>
  <si>
    <t>IHAVEU</t>
  </si>
  <si>
    <t xml:space="preserve">CHARLES CHEN - CEO &amp; CO-FOUNDER, </t>
  </si>
  <si>
    <t>ihaveu is a notable e-commerce platform in China that sells luxury and designer goods in multiple categories.</t>
  </si>
  <si>
    <t>ILLUMIX</t>
  </si>
  <si>
    <t>KIRIN SINHA - FOUNDER</t>
  </si>
  <si>
    <t>Illumix is an integrated gaming and technology company transforming the future of mixed reality with environmentally-intelligent, world-scale AR games. Illumix’s process, pipeline, and infrastructure combine best-in-class AAA gaming practices and performance with cutting-edge R&amp;D in computer vision, deep learning, and mobile AR. Based in Silicon Valley, the company is growing a technical and creative team of leaders in augmented reality, computer vision, and gaming, including alumni from EA, Zynga and Microsoft.</t>
  </si>
  <si>
    <t>IMMUNOS THERAPEUTICS</t>
  </si>
  <si>
    <t>SEAN R. SMITH - CEO</t>
  </si>
  <si>
    <t>ImmunOs Therapeutics AG leverages its HLA-based technology platform to develop first-in-class therapeutics for the treatment of cancer and autoimmune diseases. The Company´s lead product candidate has the potential to treat multiple types of solid tumors and hematologic malignancies by targeting multiple components of the immune system to activate profound anti-tumor responses.
ImmunOs is also developing antibodies to block the activation of specific HLA protein molecules associated with autoimmune diseases.</t>
  </si>
  <si>
    <t>IMPIRA</t>
  </si>
  <si>
    <t>ANKUR GOYAL - CEO &amp; CO-FOUNDER</t>
  </si>
  <si>
    <t>Impira’s Asset Intelligence Platform utilizes AI to automate the process of developing, managing and deploying high volumes of digital content. Impira eliminates the manual, repetitive, and monotonous tasks traditionally associated with digital asset management — enabling teams to organize, search for, analyze, and create visual data instantly.
Impira Founder and CEO, Ankur Goyal realized from a young age that there must be a way to streamline manual processes with technology in order to make people and companies more productive and happier. As a child of two doctors, he grew up watching how time-consuming and burdensome the manual process of updating medical records was for his parents. At MemSQL, Ankur saw the impact artificial intelligence had in enterprises — making companies significantly more productive — and he saw an opportunity to develop software that can help enterprises manage the heavy volume of visual data they rely on to stay competitive in today’s digital era.</t>
  </si>
  <si>
    <t>INDIAN ENERGY EXCHANGE</t>
  </si>
  <si>
    <t>SN GOEL - CEO</t>
  </si>
  <si>
    <t>Indian Energy Exchange (IEX) facilitates equitable, transparent and efficient trading of power by operating an electronic power exchange that provides trading, settlement, and scheduling services. The company went public in 2017.</t>
  </si>
  <si>
    <t>INFIOT</t>
  </si>
  <si>
    <t xml:space="preserve">PARAG THAKORE - CEO, , </t>
  </si>
  <si>
    <t>Infiot’s mission is to break the barriers of the physical perimeter and level the playing field by bringing services for a Remote-First world to every remote user, sites, and IoT devices in a highly simple and scalable manner. Infiot has built a pioneering Intelligent Access platform, a cloud-delivered thin, wireless edge with converged connectivity, zero trust security, and AI-powered edge intelligence. Together with powerful analytics and predictive insights, Infiot has all the necessary ingredients to democratize the edge and to support the modern enterprise everywhere.</t>
  </si>
  <si>
    <t>INFLUITIVE</t>
  </si>
  <si>
    <t>MARK ORGAN - FOUNDER &amp; CEO</t>
  </si>
  <si>
    <t>Influitive helps companies manage and mobilize their advocates, fans and evangelists, driving more of the references, referral leads, success stories and social media interaction that is so crucial in today’s social buying era. Influitive develops, markets and services a unique advocate-facing, self-service application, AdvocateHub, focused on automating advocate and reference programs for B2B technology companies.</t>
  </si>
  <si>
    <t>INFORMATICA</t>
  </si>
  <si>
    <t xml:space="preserve">GAURAV DHILLON - CO-FOUNDER &amp; CEO, </t>
  </si>
  <si>
    <t>Informatica provides data integration software and services that enable organizations to gain a competitive advantage in today’s global information economy by empowering them with timely, relevant and trustworthy data for their top business imperatives.</t>
  </si>
  <si>
    <t>INNOVACCER</t>
  </si>
  <si>
    <t xml:space="preserve">ABHINAV SHASHANK - CEO &amp; CO-FOUNDER, , </t>
  </si>
  <si>
    <t>Innovaccer is a Silicon Valley-based digital healthcare company that provides physician practices, hospitals, health systems, and other healthcare providers with different digital products.</t>
  </si>
  <si>
    <t>INSIGHTERA</t>
  </si>
  <si>
    <t xml:space="preserve">MICKEY ALON - CO-FOUNDER &amp; CEO, </t>
  </si>
  <si>
    <t>Insightera helps marketers capitalize on their existing assets by personalizing onsite experience based on real-time discovery of prospects’ industry, organization, location and digital journey. By using machine-learning Insightera continuously improves ROI, auto-tunes campaigns and adjusts content accordingly for both known and anonymous prospects. Insightera’s software works with any CMS, using any content, requiring zero IT.</t>
  </si>
  <si>
    <t>INTENSEYE</t>
  </si>
  <si>
    <t>SERCAN ESEN - CO-FOUNDER, CEO</t>
  </si>
  <si>
    <t>Every 7 seconds a worker is injured. The human and economic cost of workplace injuries around the world is $250 billion per year. At Intenseye, we believe that the health and safety of workers is non-negotiable.</t>
  </si>
  <si>
    <t>IO TURBINE</t>
  </si>
  <si>
    <t xml:space="preserve">RICH BOBERG - CHAIRMAN, CEO &amp; CO-FOUNDER, </t>
  </si>
  <si>
    <t>IO Turbine developed a unique software solution for the biggest problem in virtualized computing – performance. Specifically, to deliver and manage the necessary performance to make virtualization work effectively with an increasing number of workloads. The company was acquired by Fusion-io in August 2011.</t>
  </si>
  <si>
    <t>IT’S GOOD</t>
  </si>
  <si>
    <t xml:space="preserve">MIKE ROSENTHAL - CO-FOUNDER &amp; CEO, </t>
  </si>
  <si>
    <t>We’re reinventing how we save and share our most favorite places to eat and drink. We believe a restaurant rec from 1 trusted friend is more valuable than recs from 10,000 strangers.</t>
  </si>
  <si>
    <t>ITZCASH</t>
  </si>
  <si>
    <t>NAVEEN SURYA - MANAGING DIRECTOR</t>
  </si>
  <si>
    <t>ItzCash Card Ltd. pioneered the prepaid cash card revolution in India with a vision to empower every Indian citizen with an electronic payment product. The company was acquired in a strategic M&amp;A transaction in 2017.</t>
  </si>
  <si>
    <t>JOOPITER</t>
  </si>
  <si>
    <t>PHARRELL WILLIAMS - FOUNDER</t>
  </si>
  <si>
    <t>Joopiter is a global digital-first auction house and content platform founded by Pharrell Williams. We are building a space for today’s collectors, curators, and creators. Joopiter honors rare cultural artifacts, their provenance and intrinsic relevance through auctions curated with knowledge and care. We focus on rare objects and the stories behind them. Joopiter approaches the auction experience with access and resources that serve the budding new collector and seasoned collectors alike.</t>
  </si>
  <si>
    <t>JUMPROPE</t>
  </si>
  <si>
    <t xml:space="preserve">JAKE POSES - CO-FOUNDER &amp; CEO, </t>
  </si>
  <si>
    <t>Jumprope is the place to discover, create and share step-by-step how-to videos. You don’t need any video-editing experience to create useful and engaging recipes, beauty tutorials, fitness routines and more. Reach an engaged community on Jumprope, and share your video to any social platform. The Jumprope app perfectly formats your video to export to Instagram, YouTube, Facebook, Pinterest, Google, and more. Start showing the world how it’s done.</t>
  </si>
  <si>
    <t>K-ID</t>
  </si>
  <si>
    <t xml:space="preserve">KIERAN DONOVAN - CO-FOUNDER, CEO, , , </t>
  </si>
  <si>
    <t>k-ID is a cross-platform, instant sign-on solution for kids and teens built as an all-in-one answer for solving the complex issue of privacy and online safety for young players on a global scale. Founded by experts and leaders with global recognition in online safety, privacy, and gaming, k-ID also leverages insights from current and former regulators to maintain the world’s dynamic youth compliance platform for game developers. k-ID allows kids and teens to access enriching, age-appropriate experiences while providing parents peace of mind.</t>
  </si>
  <si>
    <t>K2 SPACE</t>
  </si>
  <si>
    <t xml:space="preserve">KARAN KUNJUR - CEO, CO-FOUNDER, </t>
  </si>
  <si>
    <t>K2 Space develops innovative satellite buses, supporting space missions with efficient design and performance across various orbits.</t>
  </si>
  <si>
    <t>KALAM LABS</t>
  </si>
  <si>
    <t xml:space="preserve">AHMAD FARAAZ - CO-FOUNDER, , </t>
  </si>
  <si>
    <t>Kalam Labs is an Edutainment platform streaming live science classes for kids.</t>
  </si>
  <si>
    <t>KARIUS</t>
  </si>
  <si>
    <t xml:space="preserve">MICKEY KERTESZ, PH.D. - CEO &amp; CO-FOUNDER, , </t>
  </si>
  <si>
    <t>Karius is a life sciences company transforming infectious disease diagnostics with genomics. It began with work on microbial cell-free DNA at Stanford University and was inspired by one child’s story. The Karius® Test is a comprehensive tool capable of identifying more than 1,000 pathogens directly from blood. With this next-generation sequencing-based test, we are helping clinicians improve patient outcomes and helping industry accelerate drug development.</t>
  </si>
  <si>
    <t>KESPRY</t>
  </si>
  <si>
    <t xml:space="preserve">KRISHNAN HARIHARAN - CEO, </t>
  </si>
  <si>
    <t>Kespry is the leading aerial intelligence platform provider that is transforming how organizations capture, analyze and share business insights. Kespry develops drone hardware, software and data services that deliver an accurate and highly efficient end-to-end turnkey solution.</t>
  </si>
  <si>
    <t>KEYCHAIN</t>
  </si>
  <si>
    <t xml:space="preserve">OISIN HANRAHAN - CEO, FOUNDER, </t>
  </si>
  <si>
    <t>Keychain’s proprietary, AI-powered platform helps retailers and brands find the perfect manufacturing partners.</t>
  </si>
  <si>
    <t>KIKOFF</t>
  </si>
  <si>
    <t xml:space="preserve">CYNTHIA CHEN - CEO &amp; CO-FOUNDER, </t>
  </si>
  <si>
    <t>Kikoff helps people jumpstart financial independence and stay financially healthy with its free credit builder and financial literacy education. We’re committed to making credit building more accessible, widening the circle of opportunity for everyone.</t>
  </si>
  <si>
    <t>KIRILYS THERAPEUTICS</t>
  </si>
  <si>
    <t xml:space="preserve">BT SLINGSBY, MD, PHD, MPH - CO-FOUNDER, , </t>
  </si>
  <si>
    <t>Kirilys Therapeutics, Inc. is a private, preclinical-stage biopharmaceutical company committed to the development of multiple precision oncology assets.Lightspeed team: Galym Imanbayev, Jonathan MacQuitty, Shelley Chu</t>
  </si>
  <si>
    <t>KIVA SOFTWARE</t>
  </si>
  <si>
    <t>KENG LIM - CO-FOUNDER &amp; CEO</t>
  </si>
  <si>
    <t>Pioneered Web Application Servers.</t>
  </si>
  <si>
    <t>KODIAK ROBOTICS</t>
  </si>
  <si>
    <t xml:space="preserve">DON BURNETTE - CO-FOUNDER &amp; CEO, </t>
  </si>
  <si>
    <t>Kodiak Robotics develops autonomous technology for long-haul trucking.</t>
  </si>
  <si>
    <t>KONGREGATE</t>
  </si>
  <si>
    <t xml:space="preserve">JIM GREER - CEO, </t>
  </si>
  <si>
    <t>Kongregate is a browser based game portal combining over 45,000 games with achievements, high scores, chat, profiles, virtual goods, and other community features. Kongregate reaches more than 14 million players per month, who spend over 27 million hours on the site.</t>
  </si>
  <si>
    <t>KOSMIX</t>
  </si>
  <si>
    <t xml:space="preserve">ANAND RAJARAMAN -, </t>
  </si>
  <si>
    <t>Kosmix was developed founded in 2005 by Venky Harinarayan and Anand Rajaraman to let users explore the Web by topic, presenting a dashboard of relevant videos, photos, news, commentary, opinion, communities and links to related topics. The company was acquired by Walmart in 2011.</t>
  </si>
  <si>
    <t>KUMOSPACE</t>
  </si>
  <si>
    <t xml:space="preserve">BRETT MARTIN - CO-FOUNDER, </t>
  </si>
  <si>
    <t>Meaningful connections in unforgettable virtual spaces.</t>
  </si>
  <si>
    <t>LADDER</t>
  </si>
  <si>
    <t xml:space="preserve">JAMIE HALE - FOUNDER &amp; CEO, , , </t>
  </si>
  <si>
    <t>Ladder is life insurance built to be instant, simple, and smart. Founded in 2015, Ladder has designed a digital life insurance product to serve today’s financially savvy consumer, and has architected a way to structure risk securely and in real time.</t>
  </si>
  <si>
    <t>LANGFUSE</t>
  </si>
  <si>
    <t xml:space="preserve">MAX DEICHMANN - CO-FOUNDER, , </t>
  </si>
  <si>
    <t>Langfuse is building open-source observability and product analytics for LLM applications. We help engineers and companies understand how customers use their LLM applications and how they can improve on them.</t>
  </si>
  <si>
    <t>LEDGERX</t>
  </si>
  <si>
    <t xml:space="preserve">PAUL CHOU - CO-FOUNDER &amp; CEO, </t>
  </si>
  <si>
    <t>LedgerX intends to create an institutional derivatives exchange for digital currencies.</t>
  </si>
  <si>
    <t>LEETCODE</t>
  </si>
  <si>
    <t>HERCY CHANG - CEO &amp; FOUNDER</t>
  </si>
  <si>
    <t>LeetCode is a pioneering online employee evaluation platform in the world. LeetCode loved by tens of millions programmers around the world, focusing on solving the professionalization of programmers’ professional skills, empowering enterprise technical recruitment and programmer ability training, and striving to become a bridge about skill matches between technical talents and enterprises.</t>
  </si>
  <si>
    <t>LEMON MARKETS</t>
  </si>
  <si>
    <t>MAX LINDEN - CEO &amp; FOUNDER</t>
  </si>
  <si>
    <t>Lemon Markets is a stock trading API for developers. It offers frictionless trading, reliable market data and a vivid developer community – with no hidden costs. Today, it powers personalized savings plans and automated trading strategies. Tomorrow, it enables neobanks to embed stock trading in their product and contextual use cases like reinvesting tax refunds. Founded in 2020, lemon.markets aims to become the infrastructure for the next 100 million European retail investors. Built by developers, consumed by everyone.</t>
  </si>
  <si>
    <t>LEVEL</t>
  </si>
  <si>
    <t>PAUL AARON - CEO</t>
  </si>
  <si>
    <t>Level builds financial products for people-first businesses, starting with insurance. Level makes
it easy for people to pay with their benefits dollars, while helping businesses and their teams
save money. With Level, everyone benefits. Employers offer bigger benefits for less, members
get more freedom to spend their benefits, and providers get paid almost instantly.</t>
  </si>
  <si>
    <t>LIGHTLOGIC</t>
  </si>
  <si>
    <t xml:space="preserve">MARC VERDIELL - FOUNDER &amp; CTO, </t>
  </si>
  <si>
    <t>Developer and manufacturer of high performance optical transceivers.</t>
  </si>
  <si>
    <t>LIGHTSPEED INTERNATIONAL</t>
  </si>
  <si>
    <t>LEV VOLFTSUN - CO-FOUNDER &amp; CEO</t>
  </si>
  <si>
    <t>Developer of voice control software for data communications networks.</t>
  </si>
  <si>
    <t>LIGHTYEAR</t>
  </si>
  <si>
    <t xml:space="preserve">MIHKEL AAMER - CO-FOUNDER &amp; CTO, </t>
  </si>
  <si>
    <t>Lightyear is building a radically better way for people to invest their money without unnecessary barriers and fees. Our breakthrough technology will give European investors unlimited access to global markets through an award-winning product that helps them make thoughtful decisions. All for free.</t>
  </si>
  <si>
    <t>LINK-A-MEDIA</t>
  </si>
  <si>
    <t>HEMANT THAPUR - CEO</t>
  </si>
  <si>
    <t>Link-A-Media Devices (LAMD) is the new leader in developing and manufacturing custom System-on-Chip (SOC) solutions for peripheral data storage devices, which include hard disk drives (HDDs) and solid-state-drives (SSDs). The SoC solution integrates the Read/Write Channel, disk controller functions, microprocessor(s) and memories, and servo processing for HDD application on a single chip.</t>
  </si>
  <si>
    <t>LINKEDCARE</t>
  </si>
  <si>
    <t>ZHIJIA WU - CEO &amp; FOUNDER</t>
  </si>
  <si>
    <t>Linkedcare is an industry leader in oral, medical and aesthetic SaaS, providing an integrated operation and management system for dental clinics, medical and aesthetic institutions, and health and beauty institutions. Linkedcare is committed to helping institutions build future-oriented advanced management systems and operational capabilities, promote the upgrading of the medical industry as well as public health.</t>
  </si>
  <si>
    <t>LIO</t>
  </si>
  <si>
    <t xml:space="preserve">ANUPAN VIJAYVERGIA - CEO &amp; CO-FOUNDER, </t>
  </si>
  <si>
    <t>Lio is an all-in-one workspace for small businesses that is mobile-first. The company offers workflows and spreadsheeting to automate multiple SMB processes.</t>
  </si>
  <si>
    <t>LITMATCH</t>
  </si>
  <si>
    <t>VINCENT JU - CEO &amp; FOUNDER</t>
  </si>
  <si>
    <t>Litmatch is committed to connecting people. By combining online interactive scenes with intelligent matching engines, people can interact with other interested parties comfortably and naturally, so as to meet their emotional needs. So far, it has reached more than 10 million users all over the world.</t>
  </si>
  <si>
    <t>LIVEPROFILE</t>
  </si>
  <si>
    <t>LiveProfile developed an affordable, fast and more reliable alternative to text messaging.</t>
  </si>
  <si>
    <t>LIVEU</t>
  </si>
  <si>
    <t>SAMUEL WASSERMAN - CEO</t>
  </si>
  <si>
    <t>LiveU creates, develops and markets real-time video technologies and solutions that enable video broadcasters to uplink and transmit live instantly, anywhere, and at anytime.</t>
  </si>
  <si>
    <t>LOST LAKE</t>
  </si>
  <si>
    <t xml:space="preserve">JAMES PHINNEY - CO-FOUNDER &amp; CEO, , </t>
  </si>
  <si>
    <t>LUCKYPAI</t>
  </si>
  <si>
    <t xml:space="preserve">WAYNE ZHANG - FOUNDER &amp; CEO, </t>
  </si>
  <si>
    <t>Luckypai was founded in 2006 and became a leading TV home shopping company operating nationwide in China. The company has experienced fast growth since its inception and currently has sales over RMB 1 bn and 1,400 employees.</t>
  </si>
  <si>
    <t>LUNCHCLUB</t>
  </si>
  <si>
    <t xml:space="preserve">VLADIMIR NOVAKOVSKI - CEO &amp; CO-FOUNDER, </t>
  </si>
  <si>
    <t>Lunchclub is an AI superconnector that makes introductions for 1:1 video meetings. Our mission is to power a future of work where making new connections is easy, meaningful, and fun.</t>
  </si>
  <si>
    <t>MAGIC SPOON</t>
  </si>
  <si>
    <t xml:space="preserve">GABI LEWIS - CO-FOUNDER &amp; CO-CEO, </t>
  </si>
  <si>
    <t>Magic Spoon is reimagining your favorite breakfast cereal into a low-carb, high-protein, guilt-free daily indulgence. Launched in April 2019, Magic Spoon offers nostalgic flavors nodding to the childhood classics. Magic Spoon’s cereals are available exclusively direct-to-consumer at www.magicspoon.com, either as a one-time purchase or monthly subscription.</t>
  </si>
  <si>
    <t>MAGICPIN</t>
  </si>
  <si>
    <t xml:space="preserve">ANSHOO SHARMA - CO-FOUNDER &amp; CEO, </t>
  </si>
  <si>
    <t>MagicPin connects customers with local retailers to enable discovery and commerce. In doing so, MagicPin brings the power of the internet to the local retail community, and enables users to shop from their favorite neighborhood merchants online.</t>
  </si>
  <si>
    <t>MAKER COMMS</t>
  </si>
  <si>
    <t>JAN JOHANNESSEN - CEO</t>
  </si>
  <si>
    <t>Maker Communications developed high-performance programmable communications processors (and related software) for ATM and Internet Protocol data, voice, and video networks. The company went public in 1999 (NASDAQ:MAKR), and was acquired by Conexant Systems (NASDAQ:CNXT) in 2000.</t>
  </si>
  <si>
    <t>MARKATO</t>
  </si>
  <si>
    <t xml:space="preserve">BRIAN LO - CO-FOUNDER, </t>
  </si>
  <si>
    <t>Markato is a curated wholesale marketplace connecting unique and premium global brands with trusted retailers in Asia.</t>
  </si>
  <si>
    <t>MARQO AI</t>
  </si>
  <si>
    <t xml:space="preserve">JESSE CLARK - CO-FOUNDER &amp; CTO, </t>
  </si>
  <si>
    <t>Marqo.ai is a unified embedding generation and search engine for AI applications.</t>
  </si>
  <si>
    <t>MASERGY</t>
  </si>
  <si>
    <t xml:space="preserve">CHRIS MACFARLAND - CHAIRMAN &amp; CEO, , </t>
  </si>
  <si>
    <t>Masergy provides managed, secure virtualized network services to enterprises that have complex needs across multiple locations. It’s integrated network and software solutions enable our customers to seamlessly deploy and manage IT applications such as video, voice and data, on a global basis. The company was acquired by Arby Partners in April 2011.</t>
  </si>
  <si>
    <t>MASON</t>
  </si>
  <si>
    <t xml:space="preserve">KAUSAMBI MANJITA - CO-FOUNDER, </t>
  </si>
  <si>
    <t>Mason is a pioneering AI Shopping Copilot for D2C brands and retailers. The products drives higher sales, higher customer loyalty, and hyper-personalized shopping experiences with 50+ AI-powered tools and playbooks.</t>
  </si>
  <si>
    <t>MATERIALIZE</t>
  </si>
  <si>
    <t xml:space="preserve">ARJUN NARAYAN - CEO, </t>
  </si>
  <si>
    <t>Materialize aims to simplify how businesses work with streaming data. Materialize offers the first standard SQL interface for streaming data, enabling complex queries and real-time multiway joins without the need for specialized skills or microservices. Using Materialize, developers can establish real-time data visualizations, event-based alerts and notifications, streaming applications, and automated processes – all using ANSI-standard SQL. Materialize is built on years of award-winning research to deliver on the promise of real-time data platforms: a system that requires no trade-off between complex queries, instant response times, and the human investment required to make this happen.</t>
  </si>
  <si>
    <t>MAYD</t>
  </si>
  <si>
    <t>LUKAS PIECZONKA -</t>
  </si>
  <si>
    <t>MDCLONE</t>
  </si>
  <si>
    <t xml:space="preserve">ZIV OFEK - CEO, </t>
  </si>
  <si>
    <t>MDClone provides data in real time to everyone across the healthcare ecosystem, in the format they need and with the privacy controls they require. MDClone helps enhance the usability and access of existing data and reduce the costs associated with data aggregation and usage, all while eliminating patient privacy risk.</t>
  </si>
  <si>
    <t>MEDIKINE</t>
  </si>
  <si>
    <t xml:space="preserve">RONALD W. BARRETT, PH.D. - CEO, , </t>
  </si>
  <si>
    <t>Medikine utilizes a proprietary platform to identify agonists of clinically relevant heterodimeric cytokine receptors for the development of novel therapeutics for immuno-oncology applications in cell therapy and neo-antigen vaccines.</t>
  </si>
  <si>
    <t>MEMOIR SYSTEMS</t>
  </si>
  <si>
    <t xml:space="preserve">SUNDAR IYER - CO-FOUNDER &amp; CEO, </t>
  </si>
  <si>
    <t>Through its unique, patented Algorithmic Memory™ technology, Memoir solves the Memory Operations Per Second (MOPS) bottlenecks that are plaguing today’s SoC products. The company’s technology provides an order of magnitude increase in embedded memory performance.</t>
  </si>
  <si>
    <t>MEMVERGE</t>
  </si>
  <si>
    <t xml:space="preserve">SHUKI BRUCK - CO-FOUNDER &amp; CHAIRMAN, , </t>
  </si>
  <si>
    <t>MemVerge is building a pioneering Memory-Converged Infrastructure optimized for Storage Class Memory (SCM). Its flagship product, Distributed Memory Objects (DMO) software, delivers larger memory and faster storage to answer to ever-growing demand from data-centric applications. DMO allows existing applications to take full advantage of the new SCM such as 3D XPoint from Intel and Micron, without application rewrite. Key use cases include machine learning training, big data analytics, high performance computing and low latency market data analytics.</t>
  </si>
  <si>
    <t>MEND</t>
  </si>
  <si>
    <t>ELLE HUERTA - FOUNDER &amp; CEO</t>
  </si>
  <si>
    <t>Mend is a company that is reinventing the way people mend broken hearts. The Mend iOS app is a self-care app for heartbreak, available in the App Store. Elle Huerta built and launched Mend after developing a deep expertise in the love/relationships vertical as the founder of letsmend.com, a beloved content platform and community for authentic and research-based breakup advice.</t>
  </si>
  <si>
    <t>METASOLV SOFTWARE</t>
  </si>
  <si>
    <t>A leading provider of service fulfillment operations support system (OSS) solutions for the communications and media industry. The company went public in 1999 (NASDAQ: MSLV) and was later acquired by Oracle in 2006</t>
  </si>
  <si>
    <t>METIS</t>
  </si>
  <si>
    <t>CHRIS LAI - CEO &amp; FOUNDER</t>
  </si>
  <si>
    <t>METiS is an innovative start-up company that uses artificial intelligence to drive drug delivery and formulation development. Through the combination of high-throughput test platforms and artificial intelligence computing technologies, it realizes the automation and intelligence of drug delivery and formulation development, and realizes large-scale production of new drugs with clinical significance.</t>
  </si>
  <si>
    <t>MILLENNIAL FOX</t>
  </si>
  <si>
    <t xml:space="preserve">IBRAM “SUNNY” UPPAL - CHIEF EXECUTIVE OFFICER &amp; CO-FOUNDER, </t>
  </si>
  <si>
    <t>Millennial Fox is a new company based in Los Angeles built to bridge the gap between entertainment and fitness. The company’s flagship product, Tracks Battle Squad, is made with the idea that motivation to stay active can be fun. Delivering rich experiences on both mobile and wearable technologies, Tracks Battle Squad brings a platform-defining application to watchOS, and a socially gamified workout companion to iOS.</t>
  </si>
  <si>
    <t>MINGMED BIOTECHNOLOGY</t>
  </si>
  <si>
    <t>YAN ZHANG - CEO</t>
  </si>
  <si>
    <t>MingMed Biotechnology is a clinical stage company dedicated to developing First-in-Class pharmaceutical products. It has already made significant breakthroughs in developing novel therapies in the fields of ophthalmology, recombinant BoNT, immune-oncology, gene editing-based immunotherapy and pet medicine. According to a press release on , there are more than 10 products in its R&amp;D pipeline, most of which are First-in-Class medications for unmet medical needs and are at clinical stage. MingMed is committed to develop innovative medicines targeting the true causes of diseases.</t>
  </si>
  <si>
    <t>MIST</t>
  </si>
  <si>
    <t xml:space="preserve">SUJAI HAJELA - CO-FOUNDER &amp; CEO, </t>
  </si>
  <si>
    <t>Mobile user experiences at scale enabled by next generation of intelligent wireless network that leverage micro services &amp; machine learning</t>
  </si>
  <si>
    <t>MITTI LABS</t>
  </si>
  <si>
    <t xml:space="preserve">XAVIER LAGUARTA SOLER - CO-FOUNDER, </t>
  </si>
  <si>
    <t>Mitti Labs is a biotechnology company dedicated to advancing sustainable agricultural practices through cutting-edge research and development. Their products are designed to support farmers in optimizing their farming techniques, ultimately contributing to a more sustainable food system.</t>
  </si>
  <si>
    <t>MSTACK</t>
  </si>
  <si>
    <t>SHREYANS CHOPRA - FOUNDER</t>
  </si>
  <si>
    <t>MStack operates a cross-border B2B managed marketplace focused on specialty chemicals. The company serves global demand by aggregating and organizing a technology-enabled global network of suppliers from India and other countries.</t>
  </si>
  <si>
    <t>MULESOFT</t>
  </si>
  <si>
    <t xml:space="preserve">GREG SCHOTT - CEO, </t>
  </si>
  <si>
    <t>MuleSoft makes it easy to connect the world’s applications, data and devices. We provide a software platform that enables organizations to easily build application networks using APIs. APIs are the digital glue that allows applications to talk to each other and exchange data. Our flexible, unified platform connects nearly any application or system by leveraging APIs to quickly and securely share data, regardless of format or source, in application networks. MuleSoft is at the heart of the applications and services you use every day, like Netflix, Spotify and Salesforce, from Global 500 corporations to emerging companies in more than 60 countries.</t>
  </si>
  <si>
    <t>MUNI</t>
  </si>
  <si>
    <t>MARIA ECHEVERRI GOMEZ - FOUNDER</t>
  </si>
  <si>
    <t>Muni is a social-community buying platform seeking to transform e-commerce in LATAM by leveraging the power of people to bring savings and convenience to middle-income households in the region.</t>
  </si>
  <si>
    <t>MYBUYS</t>
  </si>
  <si>
    <t>ROBERT CELL - CO-FOUNDER &amp; CEO</t>
  </si>
  <si>
    <t>MyBuys helps marketers increase their marketing effectiveness by learning what individual shoppers like, then using these insights to present them with the most compelling recommendations and offers, coordinated across every channel — on e-commerce sites, through email, via display ads, on mobile devices, and on Facebook. According to a press release from , over 400 companies, including several from the Internet Retailer Top 500, use MyBuys to increase their sales. MyBuys was recently named one of the fastest growing private companies (#114) in America by Inc. Magazine for 2011.</t>
  </si>
  <si>
    <t>MYSTEN LABS</t>
  </si>
  <si>
    <t xml:space="preserve">EVAN CHENG - CEO, , , </t>
  </si>
  <si>
    <t>Mysten Labs is creating foundational infrastructure to accelerate web3 adoption. We build open protocols that interconnect to form the best-in-class web3 platform.</t>
  </si>
  <si>
    <t>NAS ACADEMY</t>
  </si>
  <si>
    <t>NUSEIR YASSIN - FOUNDER &amp; CEO</t>
  </si>
  <si>
    <t>Nas Academy is an online education platform for the creator economy. Their mission is to empower Creators through technology. Starting with education, they have a range of cohort-based on-demand and live courses that teach digital skills to empower people in the Creator economy.</t>
  </si>
  <si>
    <t>NATERA</t>
  </si>
  <si>
    <t xml:space="preserve">MATTHEW RABINOWITZ - CEO &amp; CO-FOUNDER, </t>
  </si>
  <si>
    <t>Natera develops and commercializes non-invasive methods for analyzing DNA to build solutions for personalizing cancer care management, assessing the health of transplant patients and for planning a family.</t>
  </si>
  <si>
    <t>NEKO HEALTH</t>
  </si>
  <si>
    <t xml:space="preserve">HJALMAR NILSONNE - FOUNDER &amp; CEO, </t>
  </si>
  <si>
    <t>Our vision is to create a healthcare system that can help people stay healthy through preventive measures and early detection. We want to help the healthcare system shift its focus: from reacting to symptoms to preventing diseases from breaking out in the first place.</t>
  </si>
  <si>
    <t>NEMO</t>
  </si>
  <si>
    <t>CLEMENT SONG - CEO</t>
  </si>
  <si>
    <t>Nemo aims to develop an easy-to-use, low-cost, and comprehensive home communication product and services platform. Nemo’s core product is a “desktop” device that allows consumers to easily communicate via video at home or the office with other people via the same device or a mobile smartphone. The product is especially designed for elderly people to connect with their relatives or for parents to connect with their young children when traveling.</t>
  </si>
  <si>
    <t>NEURAL GALAXY</t>
  </si>
  <si>
    <t xml:space="preserve">COACH WEI - CEO &amp; CO-FOUNDER, </t>
  </si>
  <si>
    <t>Neural Galaxy, a prominent global player in brain science company, aims to help solve one of the biggest challenges facing mankind: brain disorders. It has successfully developed a pioneering technology called “Personalized Brain Functional Sectors”, reliably and accurately mapping over 200 functional parcellations of an individual brain. It has successfully developed the first of its kind “Personalized Brain Functional Sectors” technology, enabling doctors to investigate individual-level brain functional issues from observing neural circuits and neural networks clinically for the first time. The startup is joining hands with Chinese hospitals in diagnosis and treatment tests on depression, Alzheimer’s disease, Parkinson’s disease, autism and stroke.</t>
  </si>
  <si>
    <t>NEWRIZON</t>
  </si>
  <si>
    <t>CHARLES HUANG - CEO &amp; FOUNDER</t>
  </si>
  <si>
    <t>Newrizon is a notable manufacturer of smart connected new energy commercial vehicles in China. Guided by the actual needs of users, Newrizon provides safe and reliable solutions to create a smart future for commercial vehicles through the continuous innovation of intelligent network and data empowerment. It adopts a whole life cycle management system to improve the overall profitability of customers.</t>
  </si>
  <si>
    <t>NEXPRT</t>
  </si>
  <si>
    <t xml:space="preserve">HARSHA VARDHAN - CO-FOUNDER, , </t>
  </si>
  <si>
    <t>Nexprt is a cross border US/Asia B2B marketplace targeting design first categories such as home and decor.</t>
  </si>
  <si>
    <t>NEXTBILLION AI</t>
  </si>
  <si>
    <t xml:space="preserve">AJAY BULUSU - CO-FOUNDER, </t>
  </si>
  <si>
    <t>Next Billion is an influential spatial data + AI platform that helps enterprises build, scale and manage their own mapping ecosystem. Their AI-powered unified platform solves highly complex location problems. NextBillion.ai’s aim is to build a self-sustaining location ecosystem for every enterprise — enabling a billion different maps for millions of enterprises.</t>
  </si>
  <si>
    <t>NEXUS</t>
  </si>
  <si>
    <t>DANIEL MARIN - FOUNDER, CEO</t>
  </si>
  <si>
    <t>Founded at Stanford University in 2022, Nexus is a scientific effort enabling large-scale verifiable computing, powered by zero-knowledge proofs. Nexus is an open scientific project, attempting to culminate decades of research in cryptography, mathematics and computer science, into the first general-purpose system for verifiable computation: The Nexus zkVM. Our team consists of experienced professionals in cryptography, mathematicians, and engineers, all working together with one goal: to unite the world’s computers and prove all of humanity’s computation.</t>
  </si>
  <si>
    <t>NGROK</t>
  </si>
  <si>
    <t xml:space="preserve">ALAN SHREVE - FOUNDER &amp; CEO, , </t>
  </si>
  <si>
    <t>ngrok is simplified, API-first ingress-as-a-service. More than 5 million developers at companies like Zendesk, Copado, and Veritas trust ngrok to get their apps online faster and keep security happy. ngrok’s simplicity has made it a de-facto standard tool among developers, and the world’s top technology brands — including Microsoft, GitHub, Okta, Shopify, Zoom, and Twilio — recommend it throughout their documentation. The company is venture backed by Lightspeed Venture Partners and Coatue.</t>
  </si>
  <si>
    <t xml:space="preserve">, , , , </t>
  </si>
  <si>
    <t>STAR ANALYTICS</t>
  </si>
  <si>
    <t>First Invested</t>
  </si>
  <si>
    <t>Short Description</t>
  </si>
  <si>
    <t>Company Page</t>
  </si>
  <si>
    <t>Full Description</t>
  </si>
  <si>
    <t>First invested</t>
  </si>
  <si>
    <t>Current status</t>
  </si>
  <si>
    <t>1BOG</t>
  </si>
  <si>
    <t>Acquired
Acquired by Pure Energies</t>
  </si>
  <si>
    <t>One Block Off The Grid (1BOG) is the nation’s largest solar group purchase and consumer advocate, making installations easy and affordable.</t>
  </si>
  <si>
    <t>https://www.nea.com/portfolio/1bog</t>
  </si>
  <si>
    <t>Technology</t>
  </si>
  <si>
    <t>Private</t>
  </si>
  <si>
    <t>Developing new ways to help people make sense of their genetic information</t>
  </si>
  <si>
    <t>https://www.nea.com/portfolio/23andme</t>
  </si>
  <si>
    <t>Technology, Consumer</t>
  </si>
  <si>
    <t>IPO/Acquired
NASDAQ: COMS
Acquired by Hewlett Packard</t>
  </si>
  <si>
    <t>Networking systems for enterprises, network service providers, small businesses and individuals</t>
  </si>
  <si>
    <t>https://www.nea.com/portfolio/3com-corporation</t>
  </si>
  <si>
    <t>Technology, Enterprise</t>
  </si>
  <si>
    <t>Acquired
Acquired by Applied Micro Circuits Corp.</t>
  </si>
  <si>
    <t>High performance storage solutions for servers and workstations.</t>
  </si>
  <si>
    <t>https://www.nea.com/portfolio/3ware</t>
  </si>
  <si>
    <t>Acquired
Acquired by Knotel</t>
  </si>
  <si>
    <t>The best place to find office space</t>
  </si>
  <si>
    <t>https://www.nea.com/portfolio/42floors</t>
  </si>
  <si>
    <t>https://42floors.com/</t>
  </si>
  <si>
    <t>Leading one-stop service platform for Chinese students seeking overseas education.</t>
  </si>
  <si>
    <t>https://www.nea.com/portfolio/51offer</t>
  </si>
  <si>
    <t>858 Therapeutics is a biotechnology and drug discovery company developing a portfolio of small molecule drugs that act on novel therapeutic targets in oncology, including proteins that regulate RNA and the innate immune response.</t>
  </si>
  <si>
    <t>https://www.nea.com/portfolio/858-therapeutics</t>
  </si>
  <si>
    <t>Healthcare, Life Sciences</t>
  </si>
  <si>
    <t>Abcuro is a clinical-stage company developing Ulviprubart, a FIC anti-KLRG1 antibody in Ph2/3 pivotal trials for Inclusion Body Myositis (IBM).</t>
  </si>
  <si>
    <t>https://www.nea.com/portfolio/abcuro</t>
  </si>
  <si>
    <t>Biopharma, Life Sciences</t>
  </si>
  <si>
    <t>Acquired
Acquired by Nicox S.A.</t>
  </si>
  <si>
    <t>Specialty pharmaceutical company focused on the development of therapeutics to treat front of the eye diseases</t>
  </si>
  <si>
    <t>https://www.nea.com/portfolio/aciex</t>
  </si>
  <si>
    <t>IPO/Public
NASDAQ: ACTS</t>
  </si>
  <si>
    <t>China-based, fabless semiconductor company</t>
  </si>
  <si>
    <t>https://www.nea.com/portfolio/actions-semiconductor</t>
  </si>
  <si>
    <t>https://www.actions-semi.com/</t>
  </si>
  <si>
    <t>IPO/Public
NASDAQ: ADAP</t>
  </si>
  <si>
    <t>Biopharma company developing affinity enhanced T cell receptor (TCR) engineered T cells to treat hematologic and solid tumor cancers.</t>
  </si>
  <si>
    <t>https://www.nea.com/portfolio/adaptimmune</t>
  </si>
  <si>
    <t>https://www.adaptimmune.com/</t>
  </si>
  <si>
    <t>Acquired
Acquired by Oracle</t>
  </si>
  <si>
    <t>World's largest sharing platform, with social plugins and real-time analytics that enable site owners to drive traffic and increase engagement</t>
  </si>
  <si>
    <t>https://www.nea.com/portfolio/addthis</t>
  </si>
  <si>
    <t>https://www.addthis.com/</t>
  </si>
  <si>
    <t>Acquired
Acquired by Eli Lilly &amp; Company</t>
  </si>
  <si>
    <t>https://www.nea.com/portfolio/advanced-cardiovascular</t>
  </si>
  <si>
    <t>Balloon angioplasty catheter systems</t>
  </si>
  <si>
    <t>Advertising.com</t>
  </si>
  <si>
    <t>Acquired
Acquired by America Online</t>
  </si>
  <si>
    <t>Enables direct response advertising on the web</t>
  </si>
  <si>
    <t>https://www.nea.com/portfolio/advertising-com</t>
  </si>
  <si>
    <t>Aeluros</t>
  </si>
  <si>
    <t>Acquired
Acquired by NetLogic</t>
  </si>
  <si>
    <t>Integrated circuits for broadband communications</t>
  </si>
  <si>
    <t>https://www.nea.com/portfolio/aeluros</t>
  </si>
  <si>
    <t>Aera is the cognitive technology that enables the Self-Driving Enterprise. Using proprietary data crawling, industry models, machine learning and artificial intelligence, Aera is revolutionizing how organizations function.</t>
  </si>
  <si>
    <t>https://www.nea.com/portfolio/aera</t>
  </si>
  <si>
    <t>Offers the only real-time NoSQL database and key value store that delivers predictable high performance for mission-critical, Web-scale applications</t>
  </si>
  <si>
    <t>https://www.nea.com/portfolio/aerospike</t>
  </si>
  <si>
    <t>Aetion offers the world’s most advanced and fastest growing real-world evidence platform, accelerating the development and impact of treatments. Founded by Harvard Medical School faculty members and big data pioneers, Aetion helps biopharma and payers and, most importantly, patients thrive in the era of value-based care.</t>
  </si>
  <si>
    <t>https://www.nea.com/portfolio/aetion</t>
  </si>
  <si>
    <t>Healthcare, Digital Health</t>
  </si>
  <si>
    <t>An innovative gene therapy company with a proprietary platform for rationally designed adeno-associated virus (AAV) vectors and gene therapies for rare and non-rare diseases.</t>
  </si>
  <si>
    <t>https://www.nea.com/portfolio/affinia-therapeutics</t>
  </si>
  <si>
    <t>Air Works is an engineering and technology services platform servicing the aviation ecosystem with deep relationships with global OEMs, Leasing companies and operators. The company leverages its technical expertise, gold standard certifications and global presence to offer best in class solutions.</t>
  </si>
  <si>
    <t>https://www.nea.com/portfolio/air-works</t>
  </si>
  <si>
    <t>IPO/Acquired
NASDAQ: AKUS
Acquired by Eli Lilly and Company</t>
  </si>
  <si>
    <t>Akouos is a biotechnology company focused on restoring and preserving hearing.</t>
  </si>
  <si>
    <t>https://www.nea.com/portfolio/akouos</t>
  </si>
  <si>
    <t>https://akouos.com/</t>
  </si>
  <si>
    <t>Alfred provides a concierge service that manages weekly personal needs from third-party vendors such as dry cleaning, grocery delivery and cleaning.</t>
  </si>
  <si>
    <t>https://www.nea.com/portfolio/alfred</t>
  </si>
  <si>
    <t>Ultra-sustained analgesic products for post-surgical pain management.</t>
  </si>
  <si>
    <t>https://www.nea.com/portfolio/allay-therapeutics</t>
  </si>
  <si>
    <t>IPO/Acquired
NASDAQ: ATON
Acquired by Nortel</t>
  </si>
  <si>
    <t>Gigabit ethernet switching system</t>
  </si>
  <si>
    <t>https://www.nea.com/portfolio/alteon-websystems</t>
  </si>
  <si>
    <t>Adaptive, closed-loop neuromodulation device targeting the pudendal nerve to treat mixed urinary incontinence.</t>
  </si>
  <si>
    <t>https://www.nea.com/portfolio/amber-therapeutics</t>
  </si>
  <si>
    <t>Acquired
Acquired by LabCorp (NYSE:LH)</t>
  </si>
  <si>
    <t>Leading provider of anatomic pathology and prognostic/diagnostic testing services to physician offices, hospitals, surgery centers and other healthcare providers</t>
  </si>
  <si>
    <t>https://www.nea.com/portfolio/american-pathology-partners</t>
  </si>
  <si>
    <t>https://www.ap2.com/</t>
  </si>
  <si>
    <t>IPO/Public
NYSE: AGP
Acquired by WellPoint</t>
  </si>
  <si>
    <t>A multi-state managed healthcare company serving people who receive healthcare benefits through state-sponsored programs.</t>
  </si>
  <si>
    <t>https://www.nea.com/portfolio/amerigroup-corporation</t>
  </si>
  <si>
    <t>AMISYS Managed Care</t>
  </si>
  <si>
    <t>IPO/Acquired
NASDAQ: AMCS
Acquired by McKesson HBOC</t>
  </si>
  <si>
    <t>Managed healthcare information systems</t>
  </si>
  <si>
    <t>https://www.nea.com/portfolio/amisys-managed-care</t>
  </si>
  <si>
    <t>Acquired
Acquired by Critical Path</t>
  </si>
  <si>
    <t>Web-based calendaring and scheduling applications</t>
  </si>
  <si>
    <t>https://www.nea.com/portfolio/amplitude</t>
  </si>
  <si>
    <t>Acquired
Acquired by Pfizer</t>
  </si>
  <si>
    <t>Developing a novel class of drugs to treat life‐threatening systemic fungal infections.</t>
  </si>
  <si>
    <t>https://www.nea.com/portfolio/amplyx-pharmaceuticals</t>
  </si>
  <si>
    <t>AneuRx</t>
  </si>
  <si>
    <t>Acquired
Acquired by Medtronic</t>
  </si>
  <si>
    <t>Products for the endovascular surgery market</t>
  </si>
  <si>
    <t>https://www.nea.com/portfolio/aneurx</t>
  </si>
  <si>
    <t>IPO/Public
NASDAQ: ANNX</t>
  </si>
  <si>
    <t>Annexon Biosciences is leading the development of therapeutic products that halt the progression of complement-mediated neurodegeneration. Annexon’s antibody pipeline is based on breakthrough research involving the classical complement pathway and the unique role of its initiating molecule, C1q, in the loss of nerve connections and inflammation.</t>
  </si>
  <si>
    <t>https://www.nea.com/portfolio/annexon</t>
  </si>
  <si>
    <t>https://annexonbio.com/</t>
  </si>
  <si>
    <t>Antenna Software</t>
  </si>
  <si>
    <t>Acquired
Acquired by Pegasystems</t>
  </si>
  <si>
    <t>Provides a complete solution for mobile web, apps and content that addresses the needs of all users, across all Internet-connected devices, from anywhere in the world</t>
  </si>
  <si>
    <t>https://www.nea.com/portfolio/antenna-software</t>
  </si>
  <si>
    <t>The AI company built by clinicians to transform the administrative burden faced by Healthcare Payers.</t>
  </si>
  <si>
    <t>https://www.nea.com/portfolio/anterior</t>
  </si>
  <si>
    <t>Antimatter is a cryptographic infrastructure service enabling B2B SaaS companies to provably guarantee the security of their customers' data, fundamentally solving the challenges of data security and privacy requirements without requiring any changes to code.</t>
  </si>
  <si>
    <t>https://www.nea.com/portfolio/antimatter</t>
  </si>
  <si>
    <t>Distributed system to address the challenges associated with the next generation of AI applications that continuously interact with the environment and learn from these interactions.</t>
  </si>
  <si>
    <t>https://www.nea.com/portfolio/anyscale</t>
  </si>
  <si>
    <t>IPO/Public
NASDAQ: APLX</t>
  </si>
  <si>
    <t>Advanced UNIX-based software for the office automation market.</t>
  </si>
  <si>
    <t>https://www.nea.com/portfolio/applix</t>
  </si>
  <si>
    <t>https://www.applix.com/</t>
  </si>
  <si>
    <t>Acquired
Acquired by Microvena</t>
  </si>
  <si>
    <t>Novel device and procedure for preventing cardioembolic stroke in patients with Atrial Fibrillation</t>
  </si>
  <si>
    <t>https://www.nea.com/portfolio/appriva-medical</t>
  </si>
  <si>
    <t>IPO/Acquired
NYSE: AQ
Acquired by Marvell</t>
  </si>
  <si>
    <t>Aquantia develops low-cost and energy efficient 10G Ethernet ICs to connect multi-core data centers, workgroup computing and virtual server networks</t>
  </si>
  <si>
    <t>https://www.nea.com/portfolio/aquantia</t>
  </si>
  <si>
    <t>https://www.marvell.com/</t>
  </si>
  <si>
    <t>IPO/Public
NASDAQ: ACLX</t>
  </si>
  <si>
    <t>Arcellx is a clinical-stage biopharmaceutical company developing novel, adaptive and controllable cell therapies for the treatment of patients with cancer and autoimmune diseases.</t>
  </si>
  <si>
    <t>https://www.nea.com/portfolio/arcellx</t>
  </si>
  <si>
    <t>https://www.arcellx.com/company/about</t>
  </si>
  <si>
    <t>ArcSight</t>
  </si>
  <si>
    <t>IPO/Acquired
NASDAQ: ARST
Acquired by Hewlett Packard</t>
  </si>
  <si>
    <t>Enterprise Security Management (ESM) software</t>
  </si>
  <si>
    <t>https://www.nea.com/portfolio/arcsight-inc</t>
  </si>
  <si>
    <t>IPO/Public
NASDAQ: ARDX</t>
  </si>
  <si>
    <t>Focused on the discovery and development of novel therapeutics acting exclusively in the gastrointestinal tract and devoid of systemic exposure</t>
  </si>
  <si>
    <t>https://www.nea.com/portfolio/ardelyx</t>
  </si>
  <si>
    <t>https://ardelyx.com/</t>
  </si>
  <si>
    <t>Argon Networks</t>
  </si>
  <si>
    <t>Acquired
Acquired by Siemens AG</t>
  </si>
  <si>
    <t>Service-provider equipment with wire-speed IP routing and ATM switching</t>
  </si>
  <si>
    <t>https://www.nea.com/portfolio/argon-networks</t>
  </si>
  <si>
    <t>Arkestro is the leading Predictive Procurement Orchestration platform; built to amplify procurement’s impact, Arkestro helps enterprises deliver a 2-5x lift on cost savings attributed to everyday purchasing and sourcing cycles.</t>
  </si>
  <si>
    <t>https://www.nea.com/portfolio/arkestro</t>
  </si>
  <si>
    <t>Arris Composites is the pioneer of next-gen composites for mass market applications, including consumer products, aerospace, and automotive. Arris develops continuous fiber composite parts using a high-speed process that combines 3D printing and traditional high-volume manufacturing.</t>
  </si>
  <si>
    <t>https://www.nea.com/portfolio/arris</t>
  </si>
  <si>
    <t>IPO/Acquired
NASDAQ: ASND
Acquired by Lucent Technologies</t>
  </si>
  <si>
    <t>Data communication products connecting computers to ISDN</t>
  </si>
  <si>
    <t>https://www.nea.com/portfolio/ascend-communications</t>
  </si>
  <si>
    <t>Aspect Medical</t>
  </si>
  <si>
    <t>IPO/Acquired
NASDAQ: ASPM
Acquired by Covidien</t>
  </si>
  <si>
    <t>Noninvasive anesthesia monitoring systems</t>
  </si>
  <si>
    <t>https://www.nea.com/portfolio/aspect-medical</t>
  </si>
  <si>
    <t>Assembled is the operational backbone of the modern support team. The company’s workforce management platform facilitates the planning and logistics needed to reliably deliver responsive, empathetic support.</t>
  </si>
  <si>
    <t>https://www.nea.com/portfolio/assembled</t>
  </si>
  <si>
    <t>Astral Point</t>
  </si>
  <si>
    <t>Acquired
Acquired by Alcatel</t>
  </si>
  <si>
    <t>Highly integrated WDM switch offering efficiency, optical edge intelligence and superior network protection for emerging complex networks and management information systems</t>
  </si>
  <si>
    <t>https://www.nea.com/portfolio/astral-point</t>
  </si>
  <si>
    <t>Attest is on a mission to bring every business closer to consumers, and empower them with the insights that drive predictable and repeatable growth.</t>
  </si>
  <si>
    <t>https://www.nea.com/portfolio/attest</t>
  </si>
  <si>
    <t>IPO/Acquired
NASDAQ: ADNC
Acquired by Knowles</t>
  </si>
  <si>
    <t>Voice processor company that enables clear communications anywhere, with noise suppression technology based on the intelligence of the human hearing system</t>
  </si>
  <si>
    <t>https://www.nea.com/portfolio/audience</t>
  </si>
  <si>
    <t>Automation Anywhere is one of the largest software providers of Robotic Process Automation. It’s Digital Workforce Platform is used by global organizations to manage and scale business processes faster, with near-zero error rates, while dramatically reducing operational costs.</t>
  </si>
  <si>
    <t>https://www.nea.com/portfolio/automation-anywhere</t>
  </si>
  <si>
    <t>Fabless IC design company focused on digital TV, multimedia and communications</t>
  </si>
  <si>
    <t>https://www.nea.com/portfolio/availink</t>
  </si>
  <si>
    <t>AviadoBio is a biotechnology company developing transformative gene therapies for neurodegenerative disorders using a novel neuroanatomy-led approach to drug delivery.</t>
  </si>
  <si>
    <t>https://www.nea.com/portfolio/aviadobio</t>
  </si>
  <si>
    <t>Backflip is pioneering AI technology for the designers and engineers who create the physical infrastructure of modern life.</t>
  </si>
  <si>
    <t>https://www.nea.com/portfolio/backflip-ai</t>
  </si>
  <si>
    <t>Acquired
Acquired by Shanghai Huanzhuo</t>
  </si>
  <si>
    <t>Leading online dating service provider in China</t>
  </si>
  <si>
    <t>https://www.nea.com/portfolio/baihe-holding-corporation</t>
  </si>
  <si>
    <t>https://i.baihe.com/</t>
  </si>
  <si>
    <t>IPO/Acquired
NYSE: BAY; NASDAQ: WFLT
Merged with SynOptics</t>
  </si>
  <si>
    <t>Multi-protocol Internet working products</t>
  </si>
  <si>
    <t>https://www.nea.com/portfolio/bay-networks</t>
  </si>
  <si>
    <t>IPO/Acquired
NASDAQ: BCDS
Acquired by Diodes</t>
  </si>
  <si>
    <t>Analog and mixed signal semiconductor products</t>
  </si>
  <si>
    <t>https://www.nea.com/portfolio/bcd-semiconductor</t>
  </si>
  <si>
    <t>Acquired
Acquired by Condé Nast</t>
  </si>
  <si>
    <t>Next generation ecommerce company focused on social and curated commerce leveraging trusted influencers in various consumer verticals</t>
  </si>
  <si>
    <t>https://www.nea.com/portfolio/beachmint</t>
  </si>
  <si>
    <t>A next generation media company that creates pioneering original content distributed through emerging cross-platform networks and social engagement</t>
  </si>
  <si>
    <t>https://www.nea.com/portfolio/bedrocket-media</t>
  </si>
  <si>
    <t>beehiiv is an email newsletter platform enhancing audience engagement, growth, and monetization.</t>
  </si>
  <si>
    <t>https://www.nea.com/portfolio/beehiiv</t>
  </si>
  <si>
    <t>Acquired
Acquired by Mobivity Holdings</t>
  </si>
  <si>
    <t>As the leading loyalty platform in the country, Belly revolutionizes traditional loyalty concepts and works with each business to design a customized, unique rewards suite their customers actually want</t>
  </si>
  <si>
    <t>https://www.nea.com/portfolio/belly</t>
  </si>
  <si>
    <t>https://www.bellycard.com/</t>
  </si>
  <si>
    <t>Belong Health delivers a more compassionate, straightforward insurance experience for Medicare-eligible individuals by partnering with regional health plans to help them launch or grow market-leading Medicare Advantage and Special Needs Plans. High-quality health care should be accessible to all, and local, regional health plans are best positioned to serve their communities as their trusted health insurance partners.</t>
  </si>
  <si>
    <t>https://www.nea.com/portfolio/belong-health</t>
  </si>
  <si>
    <t>Learning platform that delivers interactive and personalized courses on web, mobile and tablets in partnership with the world's leading educational publishers</t>
  </si>
  <si>
    <t>https://www.nea.com/portfolio/benchprep</t>
  </si>
  <si>
    <t>Berkeley Networks</t>
  </si>
  <si>
    <t>Acquired
Acquired by FORE Systems</t>
  </si>
  <si>
    <t>Internet protocol switching for enterprises</t>
  </si>
  <si>
    <t>https://www.nea.com/portfolio/berkeley-networks</t>
  </si>
  <si>
    <t>IPO/Acquired
NASDAQ: BGRY
Acquired by SoftBank</t>
  </si>
  <si>
    <t>Delivering game-changing technology that combines AI and robotics to automate omnichannel fulfillment.</t>
  </si>
  <si>
    <t>https://www.nea.com/portfolio/berkshire-grey</t>
  </si>
  <si>
    <t>https://www.berkshiregrey.com/</t>
  </si>
  <si>
    <t>Bethesda Research Labs</t>
  </si>
  <si>
    <t>Acquired
Acquired by Life Technologies</t>
  </si>
  <si>
    <t>Distributor of enzymes and other products allowing manipulation of DNA</t>
  </si>
  <si>
    <t>https://www.nea.com/portfolio/bethesda-research-labs</t>
  </si>
  <si>
    <t>Beyond Identity's mission is to empower the next generation of secure digital business. By eliminating passwords and creating a fundamentally secure Chain of Trust™, our customers are able to increase business velocity, implement new business models, and reduce operating costs.</t>
  </si>
  <si>
    <t>https://www.nea.com/portfolio/beyond-identity</t>
  </si>
  <si>
    <t>Acquired
Acquired by Forcepoint</t>
  </si>
  <si>
    <t>Stealth-mode startup that aims to target the cloud security market</t>
  </si>
  <si>
    <t>https://www.nea.com/portfolio/bitglass</t>
  </si>
  <si>
    <t>https://www.forcepoint.com/product/forcepoint-one</t>
  </si>
  <si>
    <t>IPO/Public
NASDAQ: BDTX</t>
  </si>
  <si>
    <t>Black Diamond discovers and develops next-wave precision cancer medicines to treat patients with genetically defined cancers driven by oncogenes activated by allosteric mutations.</t>
  </si>
  <si>
    <t>https://www.nea.com/portfolio/black-diamond-therapeutics</t>
  </si>
  <si>
    <t>https://www.blackdiamondtherapeutics.com/</t>
  </si>
  <si>
    <t>Bliq empowers gig workers in the transport industry to manage their workflow across multiple platform jobs.</t>
  </si>
  <si>
    <t>https://www.nea.com/portfolio/bliq</t>
  </si>
  <si>
    <t>IPO/Public
NYSE: BE</t>
  </si>
  <si>
    <t>Solid oxide fuel cell technology and products for distributed electricity and hydrogen generation</t>
  </si>
  <si>
    <t>https://www.nea.com/portfolio/bloom-energy</t>
  </si>
  <si>
    <t>http://www.bloomenergy.com/</t>
  </si>
  <si>
    <t>Big data marketing applications to maximize online revenue by getting the most relevant products and services found on any platform</t>
  </si>
  <si>
    <t>https://www.nea.com/portfolio/bloomreach</t>
  </si>
  <si>
    <t>Blue Cheetah provides rapidly customizable standards-based die-to-die interconnect solutions for chiplets.</t>
  </si>
  <si>
    <t>https://www.nea.com/portfolio/blue-cheetah</t>
  </si>
  <si>
    <t>Acquired
Acquired by Verizon</t>
  </si>
  <si>
    <t>Cloud-based multi-party video conferencing service that makes video conferencing accessible to everyone at any time, any place and from practically any device</t>
  </si>
  <si>
    <t>https://www.nea.com/portfolio/blue-jeans-network</t>
  </si>
  <si>
    <t>https://www.bluejeans.com/</t>
  </si>
  <si>
    <t>Developer of a general purpose, scalable chiplet architecture used to develop AI chips that span cloud and edge solutions.</t>
  </si>
  <si>
    <t>https://www.nea.com/portfolio/blue-ocean</t>
  </si>
  <si>
    <t>IPO/Public
NASDAQ: WIFI</t>
  </si>
  <si>
    <t>Wi-fi based high-speed wireless Internet service</t>
  </si>
  <si>
    <t>https://www.nea.com/portfolio/boingo-wireless</t>
  </si>
  <si>
    <t>https://www.boingo.com/</t>
  </si>
  <si>
    <t>Acquired
Acquired by Microsoft</t>
  </si>
  <si>
    <t>Bonsai's platform offers every developer an easy-to-use programming experience, as well as great control over their AI solutions that will significantly accelerate the adoption of AI globally.</t>
  </si>
  <si>
    <t>https://www.nea.com/portfolio/bonsai</t>
  </si>
  <si>
    <t>IPO/Public
NYSE: BOX</t>
  </si>
  <si>
    <t>Cloud storage platform that allows users to share, manage and access business content online</t>
  </si>
  <si>
    <t>https://www.nea.com/portfolio/box</t>
  </si>
  <si>
    <t>http://www.box.com/</t>
  </si>
  <si>
    <t>Branch helps mobile apps grow with deep links that power referral systems, sharing links, invites and marketing links with full attribution and analytics.</t>
  </si>
  <si>
    <t>https://www.nea.com/portfolio/branch</t>
  </si>
  <si>
    <t>Acquired
Acquired by Healthspring</t>
  </si>
  <si>
    <t>Managed care organization focused primarily on the Medicare Advantage market</t>
  </si>
  <si>
    <t>https://www.nea.com/portfolio/bravo-health</t>
  </si>
  <si>
    <t>Brenig</t>
  </si>
  <si>
    <t>Brenig is a small molecule drug development company that utilizes an AI/ML approach via a partnership with Expert Systems Inc., a drug accelerator that has spawned multiple best-in-class clinical candidates across multiple therapeutic areas.</t>
  </si>
  <si>
    <t>https://www.nea.com/portfolio/brenig</t>
  </si>
  <si>
    <t>Acquired
Acquired by Boston Scientific</t>
  </si>
  <si>
    <t>Medical device company pioneering solutions to recanalize chronic total occlusions</t>
  </si>
  <si>
    <t>https://www.nea.com/portfolio/bridgepoint-medical</t>
  </si>
  <si>
    <t>https://www.bostonscientific.com/en-US/products/cto-systems.html</t>
  </si>
  <si>
    <t>IPO/Public
NYSE: BHG</t>
  </si>
  <si>
    <t>Bright Health Group delivers a smarter, more connected healthcare experience. The company’s exclusive partnerships with leading health systems, affordable health insurance plans, and simple, friendly approach to technology are reshaping how people and physicians achieve better health together.</t>
  </si>
  <si>
    <t>https://www.nea.com/portfolio/bright-health-group</t>
  </si>
  <si>
    <t>https://www.brighthealthgroup.com/</t>
  </si>
  <si>
    <t>Broadly helps small, local businesses get great reviews and grow word-of-mouth. With Broadly, businesses stand out online and attract more customers.</t>
  </si>
  <si>
    <t>https://www.nea.com/portfolio/broadly</t>
  </si>
  <si>
    <t>IPO/Acquired
OTC: BVWN
Windstream Holdings</t>
  </si>
  <si>
    <t>Network-based electronically integrated communications provider</t>
  </si>
  <si>
    <t>https://www.nea.com/portfolio/broadview-network-holdings</t>
  </si>
  <si>
    <t>Built Robotics’ mission is to build the robots that build the world. By automating repetitive tasks in the $300 billion solar industry, Built is bridging the workforce gap to accelerate our transition to clean energy.</t>
  </si>
  <si>
    <t>https://www.nea.com/portfolio/built-robotics</t>
  </si>
  <si>
    <t>Burrow makes luxury furniture for real life. Through innovative design, Burrow delivers clever living room solutions that adapt to your current home and your next.</t>
  </si>
  <si>
    <t>https://www.nea.com/portfolio/burrow</t>
  </si>
  <si>
    <t>IPO/Public
NASDAQ: BZFD</t>
  </si>
  <si>
    <t>Publishes the hottest, most social content on the web</t>
  </si>
  <si>
    <t>https://www.nea.com/portfolio/buzzfeed</t>
  </si>
  <si>
    <t>https://www.buzzfeed.com/</t>
  </si>
  <si>
    <t>Bytedance is a technology company operating a range of content platforms that inform, educate, entertain and inspire people across language, culture and geography.</t>
  </si>
  <si>
    <t>https://www.nea.com/portfolio/bytedance-toutiao</t>
  </si>
  <si>
    <t>Next-generation digital collectibles company, bringing together world class digital artists, designers, and technologists to develop a broad range of official NFTs (non-fungible tokens).</t>
  </si>
  <si>
    <t>https://www.nea.com/portfolio/candy</t>
  </si>
  <si>
    <t>Canopy is delightful tax resolution and practice management software. Our client management platform makes tax engagements easier on practitioners and their clients with online client surveys and auto-populated IRS forms. Experience a more seamless client workflow with documents, notes, dates, invoicing, and tax resolution analytics all in one place.</t>
  </si>
  <si>
    <t>https://www.nea.com/portfolio/canopy</t>
  </si>
  <si>
    <t>Medical device company that is developing a catheter-based neuromodulation solution for the treatment of acute decompensated heart failure (ADHF).</t>
  </si>
  <si>
    <t>https://www.nea.com/portfolio/cardionomic</t>
  </si>
  <si>
    <t>CardioThoracic Systems</t>
  </si>
  <si>
    <t>IPO/Acquired
NASDAQ: CTSI
Guidant; Boston Scientific</t>
  </si>
  <si>
    <t>Instruments and procedures to advance coronary artery bypass graft surgery</t>
  </si>
  <si>
    <t>https://www.nea.com/portfolio/cardiothoracic-systems</t>
  </si>
  <si>
    <t>Cardiovascular Imaging Systems</t>
  </si>
  <si>
    <t>IPO/Acquired
NASDAQ: CVIS
Boston Scientific</t>
  </si>
  <si>
    <t>Ultrasonic imaging catheter and instrument system for diagnosis of coronary, peripheral and carotid arteries</t>
  </si>
  <si>
    <t>https://www.nea.com/portfolio/cardiovascular-imaging-systems</t>
  </si>
  <si>
    <t>Cardurion Pharmaceuticals is a clinical-stage biotechnology company focused on the discovery and development of novel, next-generation therapeutics for the treatment of cardiovascular diseases.</t>
  </si>
  <si>
    <t>https://www.nea.com/portfolio/cardurion</t>
  </si>
  <si>
    <t>IPO/Public
NYSE: CRCM</t>
  </si>
  <si>
    <t>Premier source of trustworthy family care options, including childcare, senior care, pet care and housekeeping</t>
  </si>
  <si>
    <t>https://www.nea.com/portfolio/care-com</t>
  </si>
  <si>
    <t>https://www.care.com/</t>
  </si>
  <si>
    <t>IPO/Acquired
NASDAQ: BCRD
Acquired by Tribune Company &amp; Knightridder</t>
  </si>
  <si>
    <t>Next generation human resource recruiting solutions including human resource workflow software and a career search website</t>
  </si>
  <si>
    <t>https://www.nea.com/portfolio/careerbuilder</t>
  </si>
  <si>
    <t>https://www.careerbuilder.com/</t>
  </si>
  <si>
    <t>Acquired
Acquired by WalMart</t>
  </si>
  <si>
    <t>CareZone is a private service providing organization, communication and productivity tools to those caring for children, senior parents or loved ones</t>
  </si>
  <si>
    <t>https://www.nea.com/portfolio/carezone</t>
  </si>
  <si>
    <t>https://carezone.com/</t>
  </si>
  <si>
    <t>IPO/Public
Force10 Networks</t>
  </si>
  <si>
    <t>Advanced digital service connectivity products for telecommunications carriers</t>
  </si>
  <si>
    <t>https://www.nea.com/portfolio/carrier-access-corporation</t>
  </si>
  <si>
    <t>Acquired
Acquired by Cartiva; Wright Medical Group</t>
  </si>
  <si>
    <t>Medical device company developing innovative solutions for patients with osteoarthritis and cartilage damage</t>
  </si>
  <si>
    <t>https://www.nea.com/portfolio/carticept-medical</t>
  </si>
  <si>
    <t>Acquired
Acquired by Wright Medical</t>
  </si>
  <si>
    <t>Developer of innovative products for the treatment of cartilage injuries and osteoarthritis</t>
  </si>
  <si>
    <t>https://www.nea.com/portfolio/cartiva</t>
  </si>
  <si>
    <t>IPO/Acquired
NYSE: CSPR
Acquired by Durational Capital Management</t>
  </si>
  <si>
    <t>Online e-Commerce brand that sells mattresses and sleepwear</t>
  </si>
  <si>
    <t>https://www.nea.com/portfolio/casper</t>
  </si>
  <si>
    <t>https://casper.com/</t>
  </si>
  <si>
    <t>Catalog is the first company to have developed a solution to make DNA data storage commercially viable.</t>
  </si>
  <si>
    <t>https://www.nea.com/portfolio/catalog</t>
  </si>
  <si>
    <t>Acquired
Acquired by PagerDuty</t>
  </si>
  <si>
    <t>Catalytic’s AI-powered automation SaaS platform bridges the gap between people, data and existing technologies, providing configurable automated actions that replace routine office work, like gathering data and creating documents.</t>
  </si>
  <si>
    <t>https://www.nea.com/portfolio/catalytic</t>
  </si>
  <si>
    <t>https://www.pagerduty.com/catalytic/</t>
  </si>
  <si>
    <t>Acquired
Acquired by Brigade Media</t>
  </si>
  <si>
    <t>Largest online platform for activism; a mission-driven company dedicated to empowering anyone with passion for change to impact the world</t>
  </si>
  <si>
    <t>https://www.nea.com/portfolio/causes</t>
  </si>
  <si>
    <t>https://www.causes.com/</t>
  </si>
  <si>
    <t>Acquired
Acquired by Pearl Abyss</t>
  </si>
  <si>
    <t>The host of a massively multiplayer online game called Eve Online.</t>
  </si>
  <si>
    <t>https://www.nea.com/portfolio/ccp-games</t>
  </si>
  <si>
    <t>https://www.ccpgames.com/</t>
  </si>
  <si>
    <t>Centrexion Therapeutics Corp. is focused on advancing the treatment of chronic moderate to severe pain with one of the largest exclusively pain-focused pipelines of non-opioid, non-addictive therapies in active development.</t>
  </si>
  <si>
    <t>https://www.nea.com/portfolio/centrexion-therapeutics</t>
  </si>
  <si>
    <t>IPO/Public
NASDAQ: CERCU</t>
  </si>
  <si>
    <t>Clinical stage biopharmaceutical company focused on the development of drugs to treat diseases of the central nervous system</t>
  </si>
  <si>
    <t>https://www.nea.com/portfolio/cerecor</t>
  </si>
  <si>
    <t>https://www.avalotx.com/</t>
  </si>
  <si>
    <t>IPO/Public
NYSE: ECOM</t>
  </si>
  <si>
    <t>Software and services that enable leading online retailers to optimize sales across multiple ecommerce channels</t>
  </si>
  <si>
    <t>https://www.nea.com/portfolio/channeladvisor</t>
  </si>
  <si>
    <t>https://www.channeladvisor.com/</t>
  </si>
  <si>
    <t>Fabless semiconductor focused on host bus adapters</t>
  </si>
  <si>
    <t>https://www.nea.com/portfolio/chelsio-communications</t>
  </si>
  <si>
    <t>Acquired
Acquired by JW Childs</t>
  </si>
  <si>
    <t>Leading provider of staffing for physicians, nurses and allied health professionals to hospitals and other healthcare facilities in all 50 states</t>
  </si>
  <si>
    <t>https://www.nea.com/portfolio/chg-healthcare</t>
  </si>
  <si>
    <t>https://chghealthcare.com/</t>
  </si>
  <si>
    <t>China Gtel Limited</t>
  </si>
  <si>
    <t>Innovative wireless search services provider for businesses and consumers</t>
  </si>
  <si>
    <t>https://www.nea.com/portfolio/china-gtel-limited</t>
  </si>
  <si>
    <t>Acquired
Acquired by Shanghai Pharmaceuticals</t>
  </si>
  <si>
    <t>Provider of pharmaceuticals, medical supplies and health care information technologies to China's fast-growing healthcare services industry</t>
  </si>
  <si>
    <t>https://www.nea.com/portfolio/china-health-citic</t>
  </si>
  <si>
    <t>ChromaCode uses patented mathematical methods and algorithms to enrich signal processing from the most popular life science instrumentation. Their initial products enable high multiplexing of biological tests using existing real-time PCR instruments at a very low cost.</t>
  </si>
  <si>
    <t>https://www.nea.com/portfolio/chromacode</t>
  </si>
  <si>
    <t>IPO/Public
NASDAQ: CRUS</t>
  </si>
  <si>
    <t>Semi-standard integrated circuits using proprietary storage/logic array methodology.</t>
  </si>
  <si>
    <t>https://www.nea.com/portfolio/cirrus-logic</t>
  </si>
  <si>
    <t>https://www.cirrus.com/</t>
  </si>
  <si>
    <t>Cista Design Inc. is a startup company in USA that develops and delivers CMOS image sensors as well as imaging solutions for mobile handsets, automotive, consumer electronics and surveillance camera markets.</t>
  </si>
  <si>
    <t>https://www.nea.com/portfolio/cista</t>
  </si>
  <si>
    <t>IPO/Acquired
NASDAQ: CLFY
Acquired by Nortel</t>
  </si>
  <si>
    <t>Software for managing service and support businesses</t>
  </si>
  <si>
    <t>https://www.nea.com/portfolio/clarify</t>
  </si>
  <si>
    <t>Acquired
Acquired by University of Colorado Anschutz Medical Campus</t>
  </si>
  <si>
    <t>A medical device company focused on novel solutions in ophthalmology</t>
  </si>
  <si>
    <t>https://www.nea.com/portfolio/clarvista-medical</t>
  </si>
  <si>
    <t>ClearMotion is an automotive technology startup focused on launching the world's first digital chassis to usher in next-generation user experience for autos.</t>
  </si>
  <si>
    <t>https://www.nea.com/portfolio/clearmotion</t>
  </si>
  <si>
    <t>Discovering and developing novel small molecule therapies for difficult-to-treat cancers</t>
  </si>
  <si>
    <t>https://www.nea.com/portfolio/cleave-biosciences</t>
  </si>
  <si>
    <t>IPO/Acquired
NASDAQ: CMTA
Acquired by Ipsen</t>
  </si>
  <si>
    <t>Biopharmaceutical company focused on developing treatments for rare diseases</t>
  </si>
  <si>
    <t>https://www.nea.com/portfolio/clementia</t>
  </si>
  <si>
    <t>https://www.ipsen.com/contact-us/</t>
  </si>
  <si>
    <t>Cleo is a family support system that employers offer to working parents - from preconception, through pregnancy, and parenting of kids to age 5. Cleo combines an app for parents that includes coaching, content, and community with a global network of certified experts to guide families through their journey into parenthood and back to work again.</t>
  </si>
  <si>
    <t>https://www.nea.com/portfolio/cleo</t>
  </si>
  <si>
    <t>Acquired
Acquired by IBM</t>
  </si>
  <si>
    <t>Software-defined technology for reliable and secure storage at web scale</t>
  </si>
  <si>
    <t>https://www.nea.com/portfolio/cleversafe</t>
  </si>
  <si>
    <t>Clockwork's mission is to enable time-sensitive applications everywhere by using accurate clock synchronization to transform the way distributed systems and networks are built.</t>
  </si>
  <si>
    <t>https://www.nea.com/portfolio/clockwork</t>
  </si>
  <si>
    <t>IPO/Public
NYSE: NET</t>
  </si>
  <si>
    <t>Web performance and security company that makes sites twice as fast, protects them from attacks, ensures they are always online, and makes it simple to add web apps with a single click</t>
  </si>
  <si>
    <t>https://www.nea.com/portfolio/cloudflare</t>
  </si>
  <si>
    <t>https://www.cloudflare.com/</t>
  </si>
  <si>
    <t>IPO/Public
NASDAQ: CLVS</t>
  </si>
  <si>
    <t>Focused on acquiring, developing and commercializing innovative anti-cancer agents in the US, Europe and additional international markets</t>
  </si>
  <si>
    <t>https://www.nea.com/portfolio/clovis-oncology</t>
  </si>
  <si>
    <t>https://www.clovisoncology.com/</t>
  </si>
  <si>
    <t>Cloud-based document editor that blends the functionality of traditional word-processing, spreadsheets, and applications into a single interface.</t>
  </si>
  <si>
    <t>https://www.nea.com/portfolio/coda</t>
  </si>
  <si>
    <t>A next-generation gene therapy company pioneering the development of targeted non-viral gene therapies for rare and prevalent genetic diseases.</t>
  </si>
  <si>
    <t>https://www.nea.com/portfolio/code-biotherapeutics</t>
  </si>
  <si>
    <t>Developer of Orthogonal Time Frequency Space (OTFS), a disruptive new modulation scheme that increases the capacity of wireless networks by multiple orders of magnitude relative to current modulation schemes, such as CDMA, TDMA, or OFDM</t>
  </si>
  <si>
    <t>https://www.nea.com/portfolio/cohere-technologies</t>
  </si>
  <si>
    <t>Collective Health gives companies a smarter way to provide healthcare coverage through technology.</t>
  </si>
  <si>
    <t>https://www.nea.com/portfolio/collective-health</t>
  </si>
  <si>
    <t>IPO/Public
NASDAQ: CMTO</t>
  </si>
  <si>
    <t>Telephony and switched data services over coaxial cable networks</t>
  </si>
  <si>
    <t>https://www.nea.com/portfolio/com21</t>
  </si>
  <si>
    <t>Comanche Biopharma is a maternal and fetal medicine biopharmaceutical company working to make every pregnancy around the world safer.</t>
  </si>
  <si>
    <t>https://www.nea.com/portfolio/comanche</t>
  </si>
  <si>
    <t>Biopharma, Healthcare, Life Sciences</t>
  </si>
  <si>
    <t>Developing disease-modifying nitro fatty acid platform technology for patients with fibrosis and inflammation-associated orphan diseases.</t>
  </si>
  <si>
    <t>https://www.nea.com/portfolio/complexa</t>
  </si>
  <si>
    <t>Acquired
Acquired by: UnitedHealth Group</t>
  </si>
  <si>
    <t>Providers of pharmacy services to more than 800 hospitals and healthcare facilities nationwide.</t>
  </si>
  <si>
    <t>https://www.nea.com/portfolio/comprehensive-pharmacy-services</t>
  </si>
  <si>
    <t>https://cps.com/</t>
  </si>
  <si>
    <t>Acquired
Acquired by Stryker</t>
  </si>
  <si>
    <t>Medical device company focused on developing products for restoring blood flow in patients who have suffered ischemic strokes.</t>
  </si>
  <si>
    <t>https://www.nea.com/portfolio/concentric-medical</t>
  </si>
  <si>
    <t>https://www.stryker.com/us/en/about.html</t>
  </si>
  <si>
    <t>Conceptus</t>
  </si>
  <si>
    <t>IPO/Public
NASDAQ: CPTS</t>
  </si>
  <si>
    <t>Products for the reproductive health market</t>
  </si>
  <si>
    <t>https://www.nea.com/portfolio/conceptus</t>
  </si>
  <si>
    <t>Contra is a professional community that empowers anyone to work independently.</t>
  </si>
  <si>
    <t>https://www.nea.com/portfolio/contra</t>
  </si>
  <si>
    <t>Develops technology for distributing video over the Internet in a managed peer-to-peer network</t>
  </si>
  <si>
    <t>https://www.nea.com/portfolio/conviva</t>
  </si>
  <si>
    <t>Corvis</t>
  </si>
  <si>
    <t>IPO/Acquired
NASDAQ: CORV
Acquire by Level 3 Communications</t>
  </si>
  <si>
    <t>Optical networking solutions</t>
  </si>
  <si>
    <t>https://www.nea.com/portfolio/corvis</t>
  </si>
  <si>
    <t>IPO/Public
NYSE: COUR</t>
  </si>
  <si>
    <t>Online education platform partnering with leading universities</t>
  </si>
  <si>
    <t>https://www.nea.com/portfolio/coursera</t>
  </si>
  <si>
    <t>http://www.coursera.org/</t>
  </si>
  <si>
    <t>Crowdbotics is a platform for product teams to turn ideas into code. We use a catalog of thousands of reusable requirements and modules of code to simplify the process of planning and launching a software application.</t>
  </si>
  <si>
    <t>https://www.nea.com/portfolio/crowdbotics</t>
  </si>
  <si>
    <t>CUPONATION is a leading operator of digital savings platforms that enable users to discover the best opportunities to save from all stores and brands across all categories from anywhere around the globe.</t>
  </si>
  <si>
    <t>https://www.nea.com/portfolio/cuponation</t>
  </si>
  <si>
    <t>Acquired
Acquired by Bazaarvoice</t>
  </si>
  <si>
    <t>Curalate is the first analytics and marketing platform for the visual web, starting with Pinterest</t>
  </si>
  <si>
    <t>https://www.nea.com/portfolio/curalate</t>
  </si>
  <si>
    <t>https://www.bazaarvoice.com/?redirect=curalatecom</t>
  </si>
  <si>
    <t>Curzion Pharmaceuticals</t>
  </si>
  <si>
    <t>Acquired
Acquired by Horizon Therapeutics</t>
  </si>
  <si>
    <t>Treatment of Systemic Sclerosis.</t>
  </si>
  <si>
    <t>https://www.nea.com/portfolio/curzion-pharmaceuticals</t>
  </si>
  <si>
    <t>Acquired
Acquired by Covidien</t>
  </si>
  <si>
    <t>Developing a paclitaxel-coated drug-eluting balloon (DEB) for use in treating peripheral vascular disease</t>
  </si>
  <si>
    <t>https://www.nea.com/portfolio/cv-ingenuity</t>
  </si>
  <si>
    <t>IPO/Acquired
NYSE: CVT
Acquired by: Vista Equity Partners</t>
  </si>
  <si>
    <t>World's largest software-as-a-service (SaaS) provider of online event management, venue selection and web survey solutions</t>
  </si>
  <si>
    <t>https://www.nea.com/portfolio/cvent</t>
  </si>
  <si>
    <t>https://www.cvent.com/</t>
  </si>
  <si>
    <t>IPO/Public
NASDAQ: CVRX</t>
  </si>
  <si>
    <t>Rheos™ Baroreflex Hypertension Therapy System for treatment of refractory hypertension</t>
  </si>
  <si>
    <t>https://www.nea.com/portfolio/cvrx</t>
  </si>
  <si>
    <t>https://www.cvrx.com/</t>
  </si>
  <si>
    <t>CyberMedia</t>
  </si>
  <si>
    <t>IPO/Acquired
NASDAQ: CYBR
Acquired by Network Associates</t>
  </si>
  <si>
    <t>Knowledge based tools to automatically detect, explain and fix a majority of PC software and hardware conflicts and configuration errors</t>
  </si>
  <si>
    <t>https://www.nea.com/portfolio/cybermedia</t>
  </si>
  <si>
    <t>Acquired
Acquired by Guidewire</t>
  </si>
  <si>
    <t>Cyence empowers the insurance industry to understand the impact of cyber risk in the context of dollars and probabilities. Cyence's platform and analytics are leveraged by leaders across the insurance industry to help understand and manage cyber risk, as well as to roll out new transformative insurance products.</t>
  </si>
  <si>
    <t>https://www.nea.com/portfolio/cyence</t>
  </si>
  <si>
    <t>Technology, Fintech</t>
  </si>
  <si>
    <t>Cyras Systems</t>
  </si>
  <si>
    <t>Acquired
Acquired by CIENA</t>
  </si>
  <si>
    <t>Multi-service-over-optics solutions for telecommunication carriers</t>
  </si>
  <si>
    <t>https://www.nea.com/portfolio/cyras-systems</t>
  </si>
  <si>
    <t>Databricks provides a unified analytics platform, built by the team who created Apache Spark™, that accelerates innovation by unifying data science, engineering and business</t>
  </si>
  <si>
    <t>https://www.nea.com/portfolio/databricks</t>
  </si>
  <si>
    <t>IPO/Public
Oracle</t>
  </si>
  <si>
    <t>Process manufacturing software for food and chemical industries</t>
  </si>
  <si>
    <t>https://www.nea.com/portfolio/datalogix</t>
  </si>
  <si>
    <t>Enabling AI driven enterprises with automated machine learning.</t>
  </si>
  <si>
    <t>https://www.nea.com/portfolio/datarobot</t>
  </si>
  <si>
    <t>Acquired
Acquired by VMware</t>
  </si>
  <si>
    <t>Building network attached storage solutions for high-end virtualized environments.</t>
  </si>
  <si>
    <t>https://www.nea.com/portfolio/datrium</t>
  </si>
  <si>
    <t>DaVita Nephrolife</t>
  </si>
  <si>
    <t>Acquired
Acquired by DaVita</t>
  </si>
  <si>
    <t>India's first-of-its-kind holistic renal disease management center for Acute, Chronic, and End-Stage Renal Disease (ESRD); Nephrolife has state of the art networked dialysis machines and the highest specification RO plant to provide India's highest quality dialysis experience to patients</t>
  </si>
  <si>
    <t>https://www.nea.com/portfolio/davita-nephrolife</t>
  </si>
  <si>
    <t>Decru</t>
  </si>
  <si>
    <t>Acquired
Acquired by Network Appliance</t>
  </si>
  <si>
    <t>Storage security appliances to protect enterprise data</t>
  </si>
  <si>
    <t>https://www.nea.com/portfolio/decru</t>
  </si>
  <si>
    <t>IPO/Acquired
NASDAQ: DERM
Acquired by Lilly</t>
  </si>
  <si>
    <t>A company focused on developing and commercializing innovative new therapies in dermatology</t>
  </si>
  <si>
    <t>https://www.nea.com/portfolio/dermira</t>
  </si>
  <si>
    <t>IPO/Public
NYSE: DM</t>
  </si>
  <si>
    <t>Accelerating the transformation of manufacturing with end-to-end metal 3D printing solutions.</t>
  </si>
  <si>
    <t>https://www.nea.com/portfolio/desktop-metal</t>
  </si>
  <si>
    <t>Devices for Vascular Intervention</t>
  </si>
  <si>
    <t>Atherectomy catheter systems for the treatment of cardiovascular disease</t>
  </si>
  <si>
    <t>https://www.nea.com/portfolio/devices-for-vascular-intervention</t>
  </si>
  <si>
    <t>Diatide</t>
  </si>
  <si>
    <t>Acquired
Acquired by Schering AG</t>
  </si>
  <si>
    <t>Therapeutic peptides and imaging agents for thrombus, atherosclerosis and inflammation</t>
  </si>
  <si>
    <t>https://www.nea.com/portfolio/diatide</t>
  </si>
  <si>
    <t>Didi Chuxing is a mobile transportation platform, offering a full range of commuting options to 400 cities in China.</t>
  </si>
  <si>
    <t>https://www.nea.com/portfolio/didi-chuxing</t>
  </si>
  <si>
    <t>Acquired
Acquired by Bill.com</t>
  </si>
  <si>
    <t>Divvy is defining a new category in fintech by fusing payments and expense management into one smart money platform.</t>
  </si>
  <si>
    <t>https://www.nea.com/portfolio/divvy</t>
  </si>
  <si>
    <t>https://getdivvy.com/home/</t>
  </si>
  <si>
    <t>DJUST is a new way of doing B2B Commerce. It makes selling smarter between businesses, increase productivity and growth in one powerful platform.</t>
  </si>
  <si>
    <t>https://www.nea.com/portfolio/djust</t>
  </si>
  <si>
    <t>DOTS (Detection On The Spot) is a health tech company creating a revolutionary diagnostics platform with consumer and industrial applications that is changing the field of point of care detection.</t>
  </si>
  <si>
    <t>https://www.nea.com/portfolio/dots-technology-corp</t>
  </si>
  <si>
    <t>Technology, Life Sciences</t>
  </si>
  <si>
    <t>Acquired
Acquired by Connected Data</t>
  </si>
  <si>
    <t>Makers of the award-winning data storage products for businesses and professionals</t>
  </si>
  <si>
    <t>https://www.nea.com/portfolio/drobo</t>
  </si>
  <si>
    <t>https://www.drobo.com/</t>
  </si>
  <si>
    <t>Drop is an intelligent rewards program that personalizes offers and rewards for every consumer, making their every day more rewarding. Members link their debit and credit cards to earn points on daily purchases.</t>
  </si>
  <si>
    <t>https://www.nea.com/portfolio/drop</t>
  </si>
  <si>
    <t>IPO/Public
NASDAQ: DUOL</t>
  </si>
  <si>
    <t>Duolingo’s mission is to provide universal access to the best educational technology in the world. Their language learning applications makes language education fun, free, and effective for anyone who wants to learn, wherever they are.</t>
  </si>
  <si>
    <t>https://www.nea.com/portfolio/duolingo</t>
  </si>
  <si>
    <t>https://www.duolingo.com/</t>
  </si>
  <si>
    <t>IPO/Public</t>
  </si>
  <si>
    <t>Synthetic peptides for treatment of allergies and asthma</t>
  </si>
  <si>
    <t>https://www.nea.com/portfolio/dura-pharmaceuticals</t>
  </si>
  <si>
    <t>E*Offering</t>
  </si>
  <si>
    <t>Acquired
Acquired by Wit Soundview</t>
  </si>
  <si>
    <t>Investment banking firm leveraging the Internet to improve the process of raising capital</t>
  </si>
  <si>
    <t>https://www.nea.com/portfolio/e-offering</t>
  </si>
  <si>
    <t>E2O Communications</t>
  </si>
  <si>
    <t>Acquired
Acquired JDS Uniphase</t>
  </si>
  <si>
    <t>Manufacturer of high-performance optical transceivers for the datacom and telecom markets.</t>
  </si>
  <si>
    <t>https://www.nea.com/portfolio/e2o-communications</t>
  </si>
  <si>
    <t>IPO/Public
NASDAQ: EAR</t>
  </si>
  <si>
    <t>Improving the consumer experience at every step of the hearing care journey with virtually invisible hearing ads, on-demand licensed hearing professionals and an advanced personalized app.</t>
  </si>
  <si>
    <t>https://www.nea.com/portfolio/eargo</t>
  </si>
  <si>
    <t>https://www.eargo.com/</t>
  </si>
  <si>
    <t>Medical device company developing a next -generation hearing aid which uses light to transmit sound to achieve high definition sound performance.</t>
  </si>
  <si>
    <t>https://www.nea.com/portfolio/earlens</t>
  </si>
  <si>
    <t>eBenX</t>
  </si>
  <si>
    <t>Health benefits outsourcing company for large employers and healthcare purchasing alliances</t>
  </si>
  <si>
    <t>https://www.nea.com/portfolio/ebenx</t>
  </si>
  <si>
    <t>Acquired
Acquired by Genesys</t>
  </si>
  <si>
    <t>Hosted CRM software for mid-tier enterprises</t>
  </si>
  <si>
    <t>https://www.nea.com/portfolio/echopass-corporation</t>
  </si>
  <si>
    <t>ECI Acquisition Holdings</t>
  </si>
  <si>
    <t>Provider of "best-in-industry" business management and e-commerce systems software for growing and mid-size companies</t>
  </si>
  <si>
    <t>https://www.nea.com/portfolio/eci-acquisition-holdings</t>
  </si>
  <si>
    <t>Acquired
Acquired by BDG Media</t>
  </si>
  <si>
    <t>The leading social learning network that enables students, teachers, and parents to share content and ideas and organize quizzes, assignments, and grades</t>
  </si>
  <si>
    <t>https://www.nea.com/portfolio/edmodo</t>
  </si>
  <si>
    <t>Eko is a media and technology company pioneering a new medium in which stories told in live action video are shaped by viewers as they unfold. The company provides the leading technology platform for the creation and delivery of interactive video entertainment and partners with media companies, independent creators and top brands to create experiences for highly-engaged, digitally native audiences.</t>
  </si>
  <si>
    <t>https://www.nea.com/portfolio/eko</t>
  </si>
  <si>
    <t>IPO/Public
NYSE: ESTC</t>
  </si>
  <si>
    <t>Elastic is a search company. As the creators of the Elastic Stack (Elasticsearch, Kibana, Beats, and Logstash), Elastic builds self-managed and SaaS offerings that make data usable in real time and at scale for search, logging, security, and analytics use cases.</t>
  </si>
  <si>
    <t>https://www.nea.com/portfolio/elastic</t>
  </si>
  <si>
    <t>https://www.elastic.co/</t>
  </si>
  <si>
    <t>ElevenLabs is making content universally accessible in any language and voice.</t>
  </si>
  <si>
    <t>https://www.nea.com/portfolio/elevenlabs</t>
  </si>
  <si>
    <t>Embrace is the only observability and data platform built exclusively for mobile that companies use to deliver better mobile experiences and make optimal business decisions.</t>
  </si>
  <si>
    <t>https://www.nea.com/portfolio/embrace</t>
  </si>
  <si>
    <t>Acquired
Acquired by Cisco</t>
  </si>
  <si>
    <t>Creators of the first distributed, multi-services software platform that powers virtualized network services such as server load balancing, FW/VPNs, WAN Optimization, etc.</t>
  </si>
  <si>
    <t>https://www.nea.com/portfolio/embrane</t>
  </si>
  <si>
    <t>Endocardial Solutions</t>
  </si>
  <si>
    <t>IPO/Public
St. Jude Medical</t>
  </si>
  <si>
    <t>Tools for diagnosing and treating cardiac arrhythmias.</t>
  </si>
  <si>
    <t>https://www.nea.com/portfolio/endocardial-solutions</t>
  </si>
  <si>
    <t>Endotex</t>
  </si>
  <si>
    <t>NexStent for next-generation carotid artery stenting</t>
  </si>
  <si>
    <t>https://www.nea.com/portfolio/endotex</t>
  </si>
  <si>
    <t>Fully-managed Ruby and Rails Hosting and Deployment</t>
  </si>
  <si>
    <t>https://www.nea.com/portfolio/engine-yard</t>
  </si>
  <si>
    <t>https://www.engineyard.com/</t>
  </si>
  <si>
    <t>Enigma is an operational data management and intelligence company. We place data into the context of the real world and make it connected, open, and actionable.</t>
  </si>
  <si>
    <t>https://www.nea.com/portfolio/enigma</t>
  </si>
  <si>
    <t>Acquired
Acquired by Aerie Pharmaceuticals</t>
  </si>
  <si>
    <t>Biotechnology startup focused on developing ophthamology products</t>
  </si>
  <si>
    <t>https://www.nea.com/portfolio/envisia-therapeutics</t>
  </si>
  <si>
    <t>Enzytech</t>
  </si>
  <si>
    <t>Acquired
Acquired by Alkermes</t>
  </si>
  <si>
    <t>Polymer based drug delivery systems for therapeutic proteins</t>
  </si>
  <si>
    <t>https://www.nea.com/portfolio/enzytech</t>
  </si>
  <si>
    <t>Acquired
Acquired by Ajax Health LLC</t>
  </si>
  <si>
    <t>EPIX Therapeutics, Inc. (formerly Advanced Cardiac Therapeutics, Inc.) is a medical device company that designs and manufactures a catheter-based system for the treatment of patients with AFIB.</t>
  </si>
  <si>
    <t>https://www.nea.com/portfolio/epix-therapeutics</t>
  </si>
  <si>
    <t>IPO/Acquired
NASDAQ: EPZM
Acquired by Ipsen</t>
  </si>
  <si>
    <t>Biopharmaceutical company that is creating innovative drugs for major diseases based on important discoveries emerging from the field of Epigenetics</t>
  </si>
  <si>
    <t>https://www.nea.com/portfolio/epizyme</t>
  </si>
  <si>
    <t>https://www.ipsen.com/us/</t>
  </si>
  <si>
    <t>eRoom</t>
  </si>
  <si>
    <t>Acquired
Acquired by Documentum</t>
  </si>
  <si>
    <t>Open system, hardware independent, enhanced service and provisioning systems to telecommunications service providers</t>
  </si>
  <si>
    <t>https://www.nea.com/portfolio/eroom</t>
  </si>
  <si>
    <t>Acquired
Acquired by Incyte</t>
  </si>
  <si>
    <t>Escient is a clinical-stage pharmaceutical company focused on discovering and developing first-in-class therapies to address serious, unserved medical needs. The company is led by an experienced team with specific expertise in GPCR drug discovery and development. Escient's pipeline consists of two novel antagonists targeting MRGPRX4 for the treatment of cholestatic pruritis and MRGPRX2 for mast cell mediated disorders.</t>
  </si>
  <si>
    <t>https://www.nea.com/portfolio/escient-pharmaceuticals</t>
  </si>
  <si>
    <t>https://www.escientpharma.com/</t>
  </si>
  <si>
    <t>Acquired
Acquired by HP</t>
  </si>
  <si>
    <t>Eucalyptus Systems provides progressive IT organizations in enterprises and technology businesses with the leading open source software for building AWS-compatible private clouds</t>
  </si>
  <si>
    <t>https://www.nea.com/portfolio/eucalyptus-systems</t>
  </si>
  <si>
    <t>Acquired
Acquired by WeWork</t>
  </si>
  <si>
    <t>Breakthrough analytics for offline retail. Euclid's real-world insights help retailers of all sizes make smarter decisions about marketing, merchandising, and operations</t>
  </si>
  <si>
    <t>https://www.nea.com/portfolio/euclid-analytics</t>
  </si>
  <si>
    <t>Evenly, Orthodontics in-a-box for dentists, is the nation’s largest and fastest growing outsourced Orthodontic solution for dental offices.</t>
  </si>
  <si>
    <t>https://www.nea.com/portfolio/evenly</t>
  </si>
  <si>
    <t>Everactive (fka Psikick) brings self-powered intelligence to the physical world. Operating without batteries, the company’s always-on wireless sensors deliver continuous cloud-based analytics at a scale not possible with battery-powered devices.</t>
  </si>
  <si>
    <t>https://www.nea.com/portfolio/everactive</t>
  </si>
  <si>
    <t>Acquired
Acquired by: Blackbaud</t>
  </si>
  <si>
    <t>Critical life skills education like financial and digital literacy partnering with K-12 schools</t>
  </si>
  <si>
    <t>https://www.nea.com/portfolio/everfi</t>
  </si>
  <si>
    <t>https://www.everfi.com/</t>
  </si>
  <si>
    <t>Evernote builds apps that help the world save and remember everything, work more efficiently with others, and get things done</t>
  </si>
  <si>
    <t>https://www.nea.com/portfolio/evernote</t>
  </si>
  <si>
    <t>Evident provides a simple, secure solution for businesses and individuals to share verified personal information.</t>
  </si>
  <si>
    <t>https://www.nea.com/portfolio/evident-id</t>
  </si>
  <si>
    <t>Software solutions enabling delivery of virtual applications securely over any IP network</t>
  </si>
  <si>
    <t>https://www.nea.com/portfolio/exent-technologies</t>
  </si>
  <si>
    <t>Acquired
Acquired by Palo Alto Networks (NYSE: PANW)</t>
  </si>
  <si>
    <t>Expanse (formerly Qadium) was born at DARPA and protects the world's most important organizations by discovering risks on the Internet no one else can find. In an era of machine-speed attacks, Expanse helps sophisticated organizations define and secure their dynamic network edge.</t>
  </si>
  <si>
    <t>https://www.nea.com/portfolio/expanse</t>
  </si>
  <si>
    <t>https://www.paloaltonetworks.com/cortex/cortex-xpanse</t>
  </si>
  <si>
    <t>Expel provides transparent managed security. It’s the antidote for companies trapped in failed relationships with their managed security service provider (MSSP) and those looking to avoid the frustration of working with one in the first place.</t>
  </si>
  <si>
    <t>https://www.nea.com/portfolio/expel</t>
  </si>
  <si>
    <t>ExploraMed V</t>
  </si>
  <si>
    <t>Premier medical device incubator focused on developing patient-driven solutions to persistent medical problems.</t>
  </si>
  <si>
    <t>https://www.nea.com/portfolio/exploramed</t>
  </si>
  <si>
    <t>Fabric8Labs is revolutionizing metal additive manufacturing with advanced 3D printing technologies.</t>
  </si>
  <si>
    <t>https://www.nea.com/portfolio/fabric8labs</t>
  </si>
  <si>
    <t>Acquired
Acquired by Rovi</t>
  </si>
  <si>
    <t>Entertainment discovery service for the connected consumer</t>
  </si>
  <si>
    <t>https://www.nea.com/portfolio/fanhattan</t>
  </si>
  <si>
    <t>Fibex</t>
  </si>
  <si>
    <t>Acquired
Acquired by Cisco Systems</t>
  </si>
  <si>
    <t>Integrated, flexible and scaleable access platform for the existing and emerging local exchange services market.</t>
  </si>
  <si>
    <t>https://www.nea.com/portfolio/fibex</t>
  </si>
  <si>
    <t>Acquired
Acquired by WeTransfer</t>
  </si>
  <si>
    <t>The author of the Paper app and the creator of the Pencil stylus.</t>
  </si>
  <si>
    <t>https://www.nea.com/portfolio/fiftythree</t>
  </si>
  <si>
    <t>IPO/Public
NASDAQ: FNGN</t>
  </si>
  <si>
    <t>Investment advisory and management solutions for employees</t>
  </si>
  <si>
    <t>https://www.nea.com/portfolio/financial-engines</t>
  </si>
  <si>
    <t>https://www.edelmanfinancialengines.com/</t>
  </si>
  <si>
    <t>Fineground Networks</t>
  </si>
  <si>
    <t>Solutions to optimize the performance of enterprise web applications</t>
  </si>
  <si>
    <t>https://www.nea.com/portfolio/fineground-networks</t>
  </si>
  <si>
    <t>Implantable remote monitoring device for heart failure patients.</t>
  </si>
  <si>
    <t>https://www.nea.com/portfolio/fire1</t>
  </si>
  <si>
    <t>Fizz is a peer-moderated social media platform exclusively available for college campuses to create hyper-local digital communities where students can communicate about campus life. Created by college students, for college students, Fizz communities encourage users to share authentic, honest content, helping students feel less lonely as they navigate the struggles and triumphs of college.</t>
  </si>
  <si>
    <t>https://www.nea.com/portfolio/fizz</t>
  </si>
  <si>
    <t>IPO/Acquired
NASDAQ: GLBE
Acquired by Global-e</t>
  </si>
  <si>
    <t>Flow’s comprehensive and flexible solution simplifies the management of cross-border e-commerce. Flow’s technology empowers businesses to market, sell and ship to online consumers globally and enables consumers anywhere to have simple and easy local shopping experiences.</t>
  </si>
  <si>
    <t>https://www.nea.com/portfolio/flow</t>
  </si>
  <si>
    <t>https://www.flow.io/</t>
  </si>
  <si>
    <t>flox enables teams to collaborate and ship faster by providing developer environments defined as code, polyglot package management and release infrastructure powered by Nix."</t>
  </si>
  <si>
    <t>https://www.nea.com/portfolio/flox</t>
  </si>
  <si>
    <t>Folloze, a prospect engagement platform, enables B2B sales and marketing teams to win more deals by connecting effectively with customers and giving them a powerful buying experience.</t>
  </si>
  <si>
    <t>https://www.nea.com/portfolio/folloze</t>
  </si>
  <si>
    <t>ForAllSecure was founded with the mission to make the world’s critical software safe. The company has been applying its patented technology from over a decade of CMU research to solving the difficult challenge of making software safer.</t>
  </si>
  <si>
    <t>https://www.nea.com/portfolio/forallsecure</t>
  </si>
  <si>
    <t>Acquired
Acquired by Dell</t>
  </si>
  <si>
    <t>10 Gigabit Ethernet switching, routing and security equipment</t>
  </si>
  <si>
    <t>https://www.nea.com/portfolio/force10</t>
  </si>
  <si>
    <t>https://www.dell.com/support/kbdoc/en-us/000181811/force10networks-resources</t>
  </si>
  <si>
    <t>Forethought is an AI company for knowledge professionals. The flagship AI product, Agatha Answers, recommends answers to customer support tickets. It decreases time to resolution and increases agent productivity.</t>
  </si>
  <si>
    <t>https://www.nea.com/portfolio/forethought</t>
  </si>
  <si>
    <t>Formlabs designs and manufactures powerful and accessible 3D printing systems. The company, founded in 2011 by a team of engineers and designers from the MIT Media Lab and Center for Bits and Atoms, is establishing the industry benchmark for professional 3D printing for engineers, designers, and manufacturers around the globe.</t>
  </si>
  <si>
    <t>https://www.nea.com/portfolio/formlabs</t>
  </si>
  <si>
    <t>Fraud prevention platform for merchants that leverages profile data, behavioral data and cyber intelligence</t>
  </si>
  <si>
    <t>https://www.nea.com/portfolio/forter</t>
  </si>
  <si>
    <t>The Foundry is the premier medical device company incubator for inventors to rapidly transform their concepts into companies.</t>
  </si>
  <si>
    <t>https://www.nea.com/portfolio/foundry-therapeutics-1</t>
  </si>
  <si>
    <t>Fox Hollow Technologies</t>
  </si>
  <si>
    <t>IPO/Acquired
NASDAQ:FOXH
Acquired by Coviden</t>
  </si>
  <si>
    <t>Medical devices for the treatment of coronary and peripheral arterial disease</t>
  </si>
  <si>
    <t>https://www.nea.com/portfolio/fox-hollow-technologies</t>
  </si>
  <si>
    <t>Acquired
Acquired by Graham Holdings Company</t>
  </si>
  <si>
    <t>A mobile and online custom framing service with a variety of framing options and round trip shipping services</t>
  </si>
  <si>
    <t>https://www.nea.com/portfolio/framebridge</t>
  </si>
  <si>
    <t>https://www.framebridge.com/</t>
  </si>
  <si>
    <t>Acquired
Acquired by OLX</t>
  </si>
  <si>
    <t>Builds and runs marketplaces focused on emerging markets in the auto sector, aiming to increase efficiency through technology and infrastructure creation.</t>
  </si>
  <si>
    <t>https://www.nea.com/portfolio/frontier-car-group</t>
  </si>
  <si>
    <t>Acquired
Acquired by Snyk</t>
  </si>
  <si>
    <t>Infrastructure-level operating system for cloud computing.</t>
  </si>
  <si>
    <t>https://www.nea.com/portfolio/fugue</t>
  </si>
  <si>
    <t>Fulcrum Microsystems</t>
  </si>
  <si>
    <t>Acquired
Acquired by Intel</t>
  </si>
  <si>
    <t>Latency-leading switch devices for enterprise computing, storage and communications applications</t>
  </si>
  <si>
    <t>https://www.nea.com/portfolio/fulcrum-microsystems</t>
  </si>
  <si>
    <t>IPO/Acquired
NASDAQ: FIO
Acquired by SanDisk</t>
  </si>
  <si>
    <t>Developer of innovative high-performance NAND Flash-based storage</t>
  </si>
  <si>
    <t>https://www.nea.com/portfolio/fusion-io</t>
  </si>
  <si>
    <t>Acquired
Acquired by Sony</t>
  </si>
  <si>
    <t>Cloud delivery platform and global network delivering full gaming experiences via any browser or web-enabled device</t>
  </si>
  <si>
    <t>https://www.nea.com/portfolio/gaikai</t>
  </si>
  <si>
    <t>Acquired
Acquired by Nokia</t>
  </si>
  <si>
    <t>Redefining how cable networks are built. Gainspeed enables cable operators to meet skyrocketing capacity requirements, respond to changing market demands, and rapidly deploy new services all while cost-effectively migrating their networks to a software-driven, all-IP architecture</t>
  </si>
  <si>
    <t>https://www.nea.com/portfolio/gainspeed</t>
  </si>
  <si>
    <t>Developing a portfolio of clinical-stage small molecule superoxide dismutase mimetics for the treatment of mucositis, cancer and fibrosis</t>
  </si>
  <si>
    <t>https://www.nea.com/portfolio/galera-therapeutics</t>
  </si>
  <si>
    <t>GelTex Pharmaceuticals</t>
  </si>
  <si>
    <t>IPO/Public
Genzyme</t>
  </si>
  <si>
    <t>Non-absorbed, polymer-based pharmaceuticals for the selective gastro-intestinal elimination of substances</t>
  </si>
  <si>
    <t>https://www.nea.com/portfolio/geltex-pharmaceuticals</t>
  </si>
  <si>
    <t>Gen.G is a global esports organization that owns and operates top teams in Los Angeles, Seoul, and Shanghai.</t>
  </si>
  <si>
    <t>https://www.nea.com/portfolio/gen-g</t>
  </si>
  <si>
    <t>Genetic Therapy Inc.</t>
  </si>
  <si>
    <t>IPO/Acquired
Acquired by Sandoz Pharmaceuticals</t>
  </si>
  <si>
    <t>Products and services based on proprietary technology to implement human gene therapy</t>
  </si>
  <si>
    <t>https://www.nea.com/portfolio/genetic-therapy-inc</t>
  </si>
  <si>
    <t>Genies is culture's leading avatar technology company empowering humans to create their own avatar ecosystems.</t>
  </si>
  <si>
    <t>https://www.nea.com/portfolio/genies</t>
  </si>
  <si>
    <t>Genmo is building the best foundational AI model for video that allows users to generate videos with either a text prompt or starting image.</t>
  </si>
  <si>
    <t>https://www.nea.com/portfolio/genmo</t>
  </si>
  <si>
    <t>Consumer, Technology</t>
  </si>
  <si>
    <t>IPO/Public
Cisco</t>
  </si>
  <si>
    <t>Enterprise-wide call distribution solutions</t>
  </si>
  <si>
    <t>https://www.nea.com/portfolio/geotel-corporation</t>
  </si>
  <si>
    <t>https://www.geo-tel.com/</t>
  </si>
  <si>
    <t>Glacier democratizes access to automation and data intelligence across the circular economy. The company's mission is to fight climate change by ending waste, starting with cutting-edge AI and robotic solutions for the recycling industry.</t>
  </si>
  <si>
    <t>https://www.nea.com/portfolio/glacier</t>
  </si>
  <si>
    <t>Gladly is reinventing customer service for the 21st century.</t>
  </si>
  <si>
    <t>https://www.nea.com/portfolio/gladly</t>
  </si>
  <si>
    <t>App-based provider of on-demand beauty services.</t>
  </si>
  <si>
    <t>https://www.nea.com/portfolio/glamsquad</t>
  </si>
  <si>
    <t>IPO/Public
NASDAQ: GLU</t>
  </si>
  <si>
    <t>Wireless games publisher</t>
  </si>
  <si>
    <t>https://www.nea.com/portfolio/glu-mobile</t>
  </si>
  <si>
    <t>IPO/Public
NASDAQ: GLYC</t>
  </si>
  <si>
    <t>Small molecule therapeutics that mimic the action of carbohydrates to treat inflammatory and infectious diseases</t>
  </si>
  <si>
    <t>https://www.nea.com/portfolio/glycomimetics</t>
  </si>
  <si>
    <t>https://glycomimetics.com/</t>
  </si>
  <si>
    <t>Acquired
Acquired by Court Square Capital Partners</t>
  </si>
  <si>
    <t>Provides generic pharmaceuticals to the federal government market and acts as a channel for large generic manufacturers to access the VA and DoD.</t>
  </si>
  <si>
    <t>https://www.nea.com/portfolio/golden-state-medical-supply</t>
  </si>
  <si>
    <t>https://gsms.us/</t>
  </si>
  <si>
    <t>Acquired
Acquired by Blackberry</t>
  </si>
  <si>
    <t>Wireless messaging and collaboration solutions</t>
  </si>
  <si>
    <t>https://www.nea.com/portfolio/good-technology</t>
  </si>
  <si>
    <t>https://www.blackberry.com/us/en</t>
  </si>
  <si>
    <t>Goody is the easiest way to send gifts to the people you care about in your life.</t>
  </si>
  <si>
    <t>https://www.nea.com/portfolio/goody</t>
  </si>
  <si>
    <t>An eCommerce company focused on the verticals of beauty, fashion, home and food.</t>
  </si>
  <si>
    <t>https://www.nea.com/portfolio/goop</t>
  </si>
  <si>
    <t>GoQii is an early stage fitness and healthcare technology venture that has built a fitness tracker / app agnostic coaching platform that serves as a market place for consumers to get one-on-one expert coaching on fitness and nutrition to achieve their individual goals (i.e. weight management, stress management, improve flexibility, diabetes control, stamina building etc.).</t>
  </si>
  <si>
    <t>https://www.nea.com/portfolio/goqii</t>
  </si>
  <si>
    <t>Grand Junction</t>
  </si>
  <si>
    <t>Fast ethernet switches</t>
  </si>
  <si>
    <t>https://www.nea.com/portfolio/grand-junction</t>
  </si>
  <si>
    <t>Acquired
Acquired by EMC</t>
  </si>
  <si>
    <t>Graphite is building the next wave of enterprise infrastructure at the intersection of big data and in-memory computing.</t>
  </si>
  <si>
    <t>https://www.nea.com/portfolio/graphite-systems</t>
  </si>
  <si>
    <t>Gravel is a construction labor marketplace based in Jakarta, Indonesia.</t>
  </si>
  <si>
    <t>https://www.nea.com/portfolio/gravel</t>
  </si>
  <si>
    <t>Acquired
Acquired by HelloFresh</t>
  </si>
  <si>
    <t>Green Chef is a healthy lifestyle brand delivering organic meal kits that empower people to develop and maintain healthy, happy cooking habits.</t>
  </si>
  <si>
    <t>https://www.nea.com/portfolio/green-chef</t>
  </si>
  <si>
    <t>https://www.greenchef.com/</t>
  </si>
  <si>
    <t>GreytHR is India’s leading SaaS based payroll and HR solution provider for businesses in India. Their offering enables businesses to automate their payroll administration, reimbursement management and all related compliances with payroll, taxes and statutory filings.</t>
  </si>
  <si>
    <t>https://www.nea.com/portfolio/greythr</t>
  </si>
  <si>
    <t>GRID is the new face of spreadsheets. A Software-as-a-Service (SaaS) startup, GRID empowers anyone to turn their spreadsheets into beautiful, interactive web content - without learning any new skills - and then securely share with their colleagues.</t>
  </si>
  <si>
    <t>https://www.nea.com/portfolio/grid</t>
  </si>
  <si>
    <t>Acquired
Acquired by Twenty First Century Utilities, LLC</t>
  </si>
  <si>
    <t>Provider of smart grid solutions to electric utilities</t>
  </si>
  <si>
    <t>https://www.nea.com/portfolio/gridpoint</t>
  </si>
  <si>
    <t>https://www.gridpoint.com/</t>
  </si>
  <si>
    <t>IPO/Public
NASDAQ: GRPN</t>
  </si>
  <si>
    <t>Global leader in local commerce, making it easy for people around the world to search and discover great businesses at unbeatable prices</t>
  </si>
  <si>
    <t>https://www.nea.com/portfolio/groupon</t>
  </si>
  <si>
    <t>https://www.groupon.com/</t>
  </si>
  <si>
    <t>Growth Networks</t>
  </si>
  <si>
    <t>Scalable network and communication products for the WAN market</t>
  </si>
  <si>
    <t>https://www.nea.com/portfolio/growth-networks</t>
  </si>
  <si>
    <t>GST Clinics</t>
  </si>
  <si>
    <t>A fast growing TCM (Traditional Chinese Medicine) clinic operator in China</t>
  </si>
  <si>
    <t>https://www.nea.com/portfolio/gst-clinics</t>
  </si>
  <si>
    <t>Acquired
Acquired by VeriSign</t>
  </si>
  <si>
    <t>Managed security services</t>
  </si>
  <si>
    <t>https://www.nea.com/portfolio/guardent</t>
  </si>
  <si>
    <t>Guideline is an all-inclusive 401(k) technology designed for growing businesses. Guideline handles all plan administration, including set-up, participant enrollment and education, recordkeeping, investment management, compliance, and reporting. Guideline is the first full-service 401(k) with straightforward pricing of one flat fee per participant, in contrast to the asset-based fee model predominant in the industry.</t>
  </si>
  <si>
    <t>https://www.nea.com/portfolio/guideline</t>
  </si>
  <si>
    <t>The world’s first and largest in-image advertising platform.</t>
  </si>
  <si>
    <t>https://www.nea.com/portfolio/gumgum</t>
  </si>
  <si>
    <t>Gynecare</t>
  </si>
  <si>
    <t>IPO/Public
Johnson &amp; Johnson</t>
  </si>
  <si>
    <t>Endometrial ablation system for the treatment of excessive uterine bleeding</t>
  </si>
  <si>
    <t>https://www.nea.com/portfolio/gynecare</t>
  </si>
  <si>
    <t>Habitat Health empowers older adults to maintain independence and well-being by delivering medical and social care in partnership with leading healthcare organizations. Through the Program of All-Inclusive Care for the Elderly (PACE), a joint Medicare and Medicaid program, Habitat helps older adults live at home with the support of a dedicated care team, plus benefits like meals and pharmacy coverage included at no cost to qualified participants.</t>
  </si>
  <si>
    <t>https://www.nea.com/portfolio/habitat-health</t>
  </si>
  <si>
    <t>A marketplace that enables security researchers (i.e. hackers) to connect to enterprises (customers), primarily for vulnerability assessment, penetration testing, and bug bounties</t>
  </si>
  <si>
    <t>https://www.nea.com/portfolio/hackerone</t>
  </si>
  <si>
    <t>Mobile entertainment company</t>
  </si>
  <si>
    <t>https://www.nea.com/portfolio/hdmessaging</t>
  </si>
  <si>
    <t>Providers of inpatient rehabilitation services</t>
  </si>
  <si>
    <t>https://www.nea.com/portfolio/healthsouth</t>
  </si>
  <si>
    <t>Heap is an analytics platform that serves as the single source of truth for online businesses. Heap automates away the annoying parts of analytics, so that people can focus on making smarter business decisions.</t>
  </si>
  <si>
    <t>https://www.nea.com/portfolio/heap</t>
  </si>
  <si>
    <t>Enterprise software-as-a-service (SaaS) company that empowers brands with local representatives or branches to successfully and compliantly embrace social media</t>
  </si>
  <si>
    <t>https://www.nea.com/portfolio/hearsay-social</t>
  </si>
  <si>
    <t>HEAVY.AI helps Enterprise and Public Sector make time-sensitive, high-impact decisions with Big Data.</t>
  </si>
  <si>
    <t>https://www.nea.com/portfolio/heavy-ai</t>
  </si>
  <si>
    <t>IPO/Acquired
NASDAQ: CEVA
Acquired by CEVA, Inc</t>
  </si>
  <si>
    <t>Software and hardware products designed to enrich the television viewing experience</t>
  </si>
  <si>
    <t>https://www.nea.com/portfolio/hillcrest-laboratories</t>
  </si>
  <si>
    <t>The leading platform for home remodeling and design, providing people with everything they need to improve their homes from start to finish - online or from a mobile device</t>
  </si>
  <si>
    <t>https://www.nea.com/portfolio/houzz</t>
  </si>
  <si>
    <t>Acquired
Acquired by Eli Lilly and Company</t>
  </si>
  <si>
    <t>Private biopharmaceuticals company pioneering the discovery of novel drugs using its expertise in Transient Receptor Protocols in ion channels and molecular regeneration</t>
  </si>
  <si>
    <t>https://www.nea.com/portfolio/hydra-biosciences-inc</t>
  </si>
  <si>
    <t>IPO/Acquired
NASDAQ: HPTX
Acquired by Horizon Pharma</t>
  </si>
  <si>
    <t>Specialty therapeutics company focused on gastrointestinal and hepatology diseases and programs</t>
  </si>
  <si>
    <t>https://www.nea.com/portfolio/hyperion-therapeutics</t>
  </si>
  <si>
    <t>IDfy is a platform for people search, authentication and classification, with APIs driving trusted interactions, efficient transactions and context relevant people decisions.</t>
  </si>
  <si>
    <t>https://www.nea.com/portfolio/idfy</t>
  </si>
  <si>
    <t>Acquired
Acquired by: Mastercard International</t>
  </si>
  <si>
    <t>A new charitable marketplace where luminaries (celebrities, athletes, chefs, etc.) can sell experiences and personal items directly to consumers.</t>
  </si>
  <si>
    <t>https://www.nea.com/portfolio/ifonly</t>
  </si>
  <si>
    <t>Acquired
Acquired by Proofpoint</t>
  </si>
  <si>
    <t>illusive networks is a global pioneer of deception technology, the most effective protection against targeted attacks and advanced persistent threats (APTs).</t>
  </si>
  <si>
    <t>https://www.nea.com/portfolio/illusive-networks</t>
  </si>
  <si>
    <t>IPO/Public
Interwoven</t>
  </si>
  <si>
    <t>Solutions for business-to-business web based applications and document management applications</t>
  </si>
  <si>
    <t>https://www.nea.com/portfolio/imanage</t>
  </si>
  <si>
    <t>IPO/Public
NASDAQ: IMRA</t>
  </si>
  <si>
    <t>Developing IMR-687, an IND-ready PDE9 (phosphodiesterase 9) inhibitor for sickle cell disease</t>
  </si>
  <si>
    <t>https://www.nea.com/portfolio/imara</t>
  </si>
  <si>
    <t>InCarey</t>
  </si>
  <si>
    <t>Comprehensive service platform based in China and focused on the management of patients with chronic diseases and vertical diseases.</t>
  </si>
  <si>
    <t>https://www.nea.com/portfolio/incarey</t>
  </si>
  <si>
    <t>InfoGear Technology</t>
  </si>
  <si>
    <t>Full-function telephone with e-mail and web access capability</t>
  </si>
  <si>
    <t>https://www.nea.com/portfolio/infogear-technology</t>
  </si>
  <si>
    <t>Infoworks’ automates the entire big data engineering process, enabling organizations to launch new analytics use cases in days and establish a foundation for the digital transformation of their businesses.</t>
  </si>
  <si>
    <t>https://www.nea.com/portfolio/infoworks</t>
  </si>
  <si>
    <t>Inkitt is the world’s first data-powered content house, providing a platform to discover hidden talents and turn them into globally successful authors. Using proprietary technology, Inkitt is able to not only identify up-and-coming writers but then works with them to refine and monetize their work, aiming to create blockbuster-level sales.</t>
  </si>
  <si>
    <t>https://www.nea.com/portfolio/inkitt</t>
  </si>
  <si>
    <t>IPO/Public
NASDAQ: INZY</t>
  </si>
  <si>
    <t>Biotechnology company developing new medicines to treat rare disorders of calcification with initial focus on enzyme replacement therapy for devastating and debilitating rare diseases that largely impact infants, children and young adults.</t>
  </si>
  <si>
    <t>https://www.nea.com/portfolio/inozyme-pharma</t>
  </si>
  <si>
    <t>InSoft</t>
  </si>
  <si>
    <t>Acquired
Acquired by NetScape</t>
  </si>
  <si>
    <t>Collaborative computing, desktop conferencing and distributed digital video development tools and business applications.</t>
  </si>
  <si>
    <t>https://www.nea.com/portfolio/insoft</t>
  </si>
  <si>
    <t>A platform in the cloud for data, applications, and programming.</t>
  </si>
  <si>
    <t>https://www.nea.com/portfolio/instabase</t>
  </si>
  <si>
    <t>IPO/Acquired
NYSE:PHG
Acquired by Royal Philips</t>
  </si>
  <si>
    <t>A medical device company that is developing a novel, minimally invasive medical device for the treatment of peripheral arterial disease (PAD).</t>
  </si>
  <si>
    <t>https://www.nea.com/portfolio/intact-vascular</t>
  </si>
  <si>
    <t>IntelligenceNODE is a startup in the analytics field servicing the consumer facing enterprises with the potential to deliver significant business outcomes. It has built proprietary technology products that help brands and retailers globally in optimizing merchandize mix, pricing, marketing, supply chains and enabling customer personalization. Consumer enterprises across product categories of fashion, footwear and accessories, furniture, beauty and wellness, electronics, FMCG have been able to harness the power of big data analytics through their platform.</t>
  </si>
  <si>
    <t>https://www.nea.com/portfolio/intelligencenode</t>
  </si>
  <si>
    <t>Providing unified communications (UC) solutions through a device, technology and platform-independent product, Vennfer, that connects boardrooms, desktops, laptops, and mobiles in a unified conference</t>
  </si>
  <si>
    <t>https://www.nea.com/portfolio/intellisys</t>
  </si>
  <si>
    <t>Intrinsic is a preventive security tool that protects applications from exploits and malicious code. It uses a new application-level runtime virtualization technology to automatically enforce security policies on applications.</t>
  </si>
  <si>
    <t>https://www.nea.com/portfolio/intrinsic</t>
  </si>
  <si>
    <t>Developing device-based therapies for soft-tissue injuries of the spine</t>
  </si>
  <si>
    <t>https://www.nea.com/portfolio/intrinsic-therapeutics</t>
  </si>
  <si>
    <t>Acquired
Acquired by Novo Nordisk</t>
  </si>
  <si>
    <t>Inversago Pharma specializes in the development of new therapies focusing on CB1blockade, based on first-in-class, peripherally-acting, CB1 inverse agonists.</t>
  </si>
  <si>
    <t>https://www.nea.com/portfolio/inversago</t>
  </si>
  <si>
    <t>Extract Insights from your Device Data. The time-series database and visualization tool designed for connected hardware.</t>
  </si>
  <si>
    <t>https://www.nea.com/portfolio/iobeam</t>
  </si>
  <si>
    <t>Iomai Corporation</t>
  </si>
  <si>
    <t>IPO/Acquired
Acquired by Intercell AG</t>
  </si>
  <si>
    <t>Vaccines and immune system stimulants delivered through novel needle-free transcutaneous immunization</t>
  </si>
  <si>
    <t>https://www.nea.com/portfolio/iomai-corporation</t>
  </si>
  <si>
    <t>IPO/Public
NYSE: IONQ</t>
  </si>
  <si>
    <t>IonQ is developing quantum computers designed to solve the world's most complex problems, and transform business, society and the planet for the better.</t>
  </si>
  <si>
    <t>https://www.nea.com/portfolio/ionq</t>
  </si>
  <si>
    <t>Iridex Corporation</t>
  </si>
  <si>
    <t>IPO/Public
Cutera</t>
  </si>
  <si>
    <t>Ophthalmic probes and diode laser-based systems</t>
  </si>
  <si>
    <t>https://www.nea.com/portfolio/iridex-corporation</t>
  </si>
  <si>
    <t>Acquired
Acquired by Alcon</t>
  </si>
  <si>
    <t>Developing products for the treatment of eye diseases</t>
  </si>
  <si>
    <t>https://www.nea.com/portfolio/ivantis</t>
  </si>
  <si>
    <t>Acquired
Acquired by Walmart</t>
  </si>
  <si>
    <t>E-commerce marketplace</t>
  </si>
  <si>
    <t>https://www.nea.com/portfolio/jet-com</t>
  </si>
  <si>
    <t>IPO/Public
NASDAQ: JNPR</t>
  </si>
  <si>
    <t>Programmable high performance data forwarding system able to deliver a variety of traffic types to meet the needs of Internet Service Providers (ISPs)</t>
  </si>
  <si>
    <t>https://www.nea.com/portfolio/juniper-networks</t>
  </si>
  <si>
    <t>Juvo was founded with an overarching mission: to walk billions of people worldwide who are creditworthy, yet financially excluded, up a pathway to financial inclusion, starting with their mobile phone. Juvo’s proprietary Identity Scoring technology uses data science, machine learning, and game mechanics to create financial identities for anonymous prepaid mobile subscribers across the globe, providing ongoing access to otherwise unattainable financial services.</t>
  </si>
  <si>
    <t>https://www.nea.com/portfolio/juvo</t>
  </si>
  <si>
    <t>Provides the leading enterprise web and mobile communication platform for secure, scalable, live data delivery that is essential for real-time solutions including transactions, monitoring, notifications, trading, analytics and collaboration</t>
  </si>
  <si>
    <t>https://www.nea.com/portfolio/kaazing</t>
  </si>
  <si>
    <t>Acquired
Acquired by Lutron Electronics</t>
  </si>
  <si>
    <t>Intelligent semiconductor-based solutions enabling the highest quality of LED light</t>
  </si>
  <si>
    <t>https://www.nea.com/portfolio/ketra</t>
  </si>
  <si>
    <t>Kindred is a members-only home swapping network that harnesses the power of a trusted community to unlock a lifestyle rich with travel and human connection. By exchanging their homes and apartments with peers, both renters and owners alike can access the opportunity to travel freely between vetted, off-market homes.</t>
  </si>
  <si>
    <t>https://www.nea.com/portfolio/kindred</t>
  </si>
  <si>
    <t>Knotch is the independent content intelligence platform that helps CMOs and their teams measure and impact the outcome of their content efforts via real-time, actionable intelligence across all of their content investment.</t>
  </si>
  <si>
    <t>https://www.nea.com/portfolio/knotch</t>
  </si>
  <si>
    <t>Munich-based sensor company, combining German engineering quality and the speed of Silicon Valley. The firm develops smart sensor solutions to generate real-time machine insights for industrial companies.</t>
  </si>
  <si>
    <t>https://www.nea.com/portfolio/konux</t>
  </si>
  <si>
    <t>IPO/Acquired
NASAQ: KRRO
Merged with Frequency Therapeutics</t>
  </si>
  <si>
    <t>A preclinical-stage biopharma company that is developing novel RNA editing therapeutics to treat genetically-driven disease. Korro’s OPERA platform coopts the body’s ADAR system to make targeted edits to a single RNA base.</t>
  </si>
  <si>
    <t>https://www.nea.com/portfolio/korro</t>
  </si>
  <si>
    <t>Revolutionizing the way wireless systems are built using its innovative full-duplex wireless design</t>
  </si>
  <si>
    <t>https://www.nea.com/portfolio/kumu-networks</t>
  </si>
  <si>
    <t>Acquired
Acquired by Dun &amp; Bradstreet</t>
  </si>
  <si>
    <t>The pioneer in Big Data for Sales, Lattice Engines applies the science of Big Data to sales and marketing to predict the previously unpredictable: buyer intent</t>
  </si>
  <si>
    <t>https://www.nea.com/portfolio/lattice-engines</t>
  </si>
  <si>
    <t>Laurel Networks</t>
  </si>
  <si>
    <t>Acquired
Acquired by ECI</t>
  </si>
  <si>
    <t>IP service edge routers and management solutions</t>
  </si>
  <si>
    <t>https://www.nea.com/portfolio/laurel-networks</t>
  </si>
  <si>
    <t>Ledgy is the leading equity management platform for scaling companies, helping teams take the pain out of equity and share ownership.</t>
  </si>
  <si>
    <t>https://www.nea.com/portfolio/ledgy</t>
  </si>
  <si>
    <t>Collaborates with client hospitals and community physicians in the development and management of a proven disease management program for the care of gastroesophageal reflux disease (GERD)</t>
  </si>
  <si>
    <t>https://www.nea.com/portfolio/legato-medical</t>
  </si>
  <si>
    <t>Letgo is a free, person-to-person, mobile classifieds app that allows users to buy from, sell to and chat with others locally.</t>
  </si>
  <si>
    <t>https://www.nea.com/portfolio/letgo</t>
  </si>
  <si>
    <t>Mobile payment service provider in China</t>
  </si>
  <si>
    <t>https://www.nea.com/portfolio/lianlian</t>
  </si>
  <si>
    <t>IPO/Public
Invitrogen</t>
  </si>
  <si>
    <t>Tissue culture media, immunodiagnostics and test kits for the life sciences research field</t>
  </si>
  <si>
    <t>https://www.nea.com/portfolio/life-technologies</t>
  </si>
  <si>
    <t>IPO/Public
HKSE: 8267</t>
  </si>
  <si>
    <t>Fast growing online gaming company in China</t>
  </si>
  <si>
    <t>https://www.nea.com/portfolio/linekong-international-co-ltd</t>
  </si>
  <si>
    <t>IPO/Public
NASDAQ: LQDA</t>
  </si>
  <si>
    <t>Utilizes a proprietary nanotechnology platform to develop precisely engineered products in the materials and life sciences sectors</t>
  </si>
  <si>
    <t>https://www.nea.com/portfolio/liquidia-corporation</t>
  </si>
  <si>
    <t>Acquired
Acquired by Vista Equity Partners</t>
  </si>
  <si>
    <t>Helps great companies turn customer passion into marketing, product development, sales, and customer service assets</t>
  </si>
  <si>
    <t>https://www.nea.com/portfolio/lithium-technologies</t>
  </si>
  <si>
    <t>Logikcull provides instant discovery for modern legal teams. Its secure, cloud-based solution helps law firms and organizations of all sizes solve the expensive, complex, and risky challenges associated with eDiscovery, internal investigations, and open records response.</t>
  </si>
  <si>
    <t>https://www.nea.com/portfolio/logikcull</t>
  </si>
  <si>
    <t>Long Term Care Group</t>
  </si>
  <si>
    <t>Acquired
Acquired by Univita Health</t>
  </si>
  <si>
    <t>Markets and administers long term care insurance products for individuals, large employers and government organizations.</t>
  </si>
  <si>
    <t>https://www.nea.com/portfolio/long-term-care-group</t>
  </si>
  <si>
    <t>Acquired
Acquired by Green Dot</t>
  </si>
  <si>
    <t>Mobile social mapping service using GPS and other location based technology</t>
  </si>
  <si>
    <t>https://www.nea.com/portfolio/loopt</t>
  </si>
  <si>
    <t>IPO/Acquired
NASDAQ: LOXO
Acquired by Eli Lilly &amp; Co.</t>
  </si>
  <si>
    <t>Biopharma company developing targeted cancer therapies for genetically-defined patient populations</t>
  </si>
  <si>
    <t>https://www.nea.com/portfolio/loxo-oncology</t>
  </si>
  <si>
    <t>Acquired
Acquired by Shire</t>
  </si>
  <si>
    <t>Lumena Pharmaceuticals is developing oral therapeutics for rare liver diseases to improve liver function, relieve disease symptoms and dramatically impact patient health.</t>
  </si>
  <si>
    <t>https://www.nea.com/portfolio/lumena</t>
  </si>
  <si>
    <t>Luminary is a podcast streaming platform that gives you access to 500k+ shows, when and where you want.</t>
  </si>
  <si>
    <t>https://www.nea.com/portfolio/luminary</t>
  </si>
  <si>
    <t>Acquired
Acquired by Texas Instruments</t>
  </si>
  <si>
    <t>Microcontrollers for energy, security, and connectivity markets</t>
  </si>
  <si>
    <t>https://www.nea.com/portfolio/luminary-micro</t>
  </si>
  <si>
    <t>Building a transformative web-scale distributed computing platform that will enable mobile operators to rapidly densify networks and deploy new services.</t>
  </si>
  <si>
    <t>https://www.nea.com/portfolio/luminate-wireless</t>
  </si>
  <si>
    <t>Acquired
Acquired by NewLink Genetics</t>
  </si>
  <si>
    <t>Developing a novel therapeutic for the rare disease Creatine Transporter Deficiency, an inborn error of metabolism</t>
  </si>
  <si>
    <t>https://www.nea.com/portfolio/lumos-pharma</t>
  </si>
  <si>
    <t>CMOS Photonics chips for broadband communications</t>
  </si>
  <si>
    <t>https://www.nea.com/portfolio/luxtera</t>
  </si>
  <si>
    <t>LXA is a Singapore-based company constructing the first bridge in developed Asia between mortgage assets and institutional capital partners, starting with insurers.</t>
  </si>
  <si>
    <t>https://www.nea.com/portfolio/lxa</t>
  </si>
  <si>
    <t>IPO/Acquired
NASDAQ: MACR
Acquired by Adobe</t>
  </si>
  <si>
    <t>Graphics software tools for multimedia application</t>
  </si>
  <si>
    <t>https://www.nea.com/portfolio/macromedia</t>
  </si>
  <si>
    <t>Next-generation percutaneous left ventricular assist device targeting high-risk percutaneous coronary intervention and cardiogenic shock.</t>
  </si>
  <si>
    <t>https://www.nea.com/portfolio/magenta-medical</t>
  </si>
  <si>
    <t>IPO/Public
Synopsys</t>
  </si>
  <si>
    <t>Electronic design automation (EDA) software that enables chip designers to meet critical time-to-market objectives, improve chip performance and handle multimillion-gate designs</t>
  </si>
  <si>
    <t>https://www.nea.com/portfolio/magma-design-automation</t>
  </si>
  <si>
    <t>Value-added communications services for information companies</t>
  </si>
  <si>
    <t>https://www.nea.com/portfolio/mainstream-data</t>
  </si>
  <si>
    <t>IPO/Public
NASDAQ: MRKR</t>
  </si>
  <si>
    <t>Marker Therapeutics is dedicated to the development and commercialization of next-generation T cell-based immunotherapies for patients with a wide range of blood and solid tumor cancers.</t>
  </si>
  <si>
    <t>https://www.nea.com/portfolio/marker-therapeutics</t>
  </si>
  <si>
    <t>Mashgin is the world's fastest self-checkout system powered by AI and computer vision. Consumers demand instant gratification.</t>
  </si>
  <si>
    <t>https://www.nea.com/portfolio/mashgin</t>
  </si>
  <si>
    <t>MasterClass is the premier online education platform redefining the digital learning experience by bringing world-class experts and renowned instructors to students globally through a cutting-edge technology platform meant to distill knowledge and create meaningful experiences through online video.</t>
  </si>
  <si>
    <t>https://www.nea.com/portfolio/masterclass</t>
  </si>
  <si>
    <t>Matroid is The Computer Vision Company. With the Matroid studio, users can create and use detectors to find things in media.</t>
  </si>
  <si>
    <t>https://www.nea.com/portfolio/matroid</t>
  </si>
  <si>
    <t>IPO/Public
NASDAQ: MBX</t>
  </si>
  <si>
    <t>Advancing potential breakthrough medicines for rare endocrine diseases of substantial medical need with validated molecular targets.</t>
  </si>
  <si>
    <t>https://www.nea.com/portfolio/mbx-biosciences</t>
  </si>
  <si>
    <t>A medical education company focused on developing teaching and learning aids targeting both B2B and B2C healthcare education</t>
  </si>
  <si>
    <t>https://www.nea.com/portfolio/medisys-edutech</t>
  </si>
  <si>
    <t>Mejuri is a global fine jewelry company that believes luxury should be accessible, fun, and part of your everyday. The brand works with top jewelers, who commit to exceptional craftsmanship and ethical practices, to eliminate middlemen and produce quality essentials to sell directly to consumers.</t>
  </si>
  <si>
    <t>https://www.nea.com/portfolio/mejuri</t>
  </si>
  <si>
    <t>IPO/Public
NASDAQ: MRSN</t>
  </si>
  <si>
    <t>Biopharmaceutical company that is creating the next generation of antibody drug conjugates using its Fleximer-ADC technology</t>
  </si>
  <si>
    <t>https://www.nea.com/portfolio/mersana</t>
  </si>
  <si>
    <t>Metabase is free, open source business intelligence that installs in minutes and let's anyone in your company create dashboards, set up nightly stats emails, and interactively explore your company's data.</t>
  </si>
  <si>
    <t>https://www.nea.com/portfolio/metabase</t>
  </si>
  <si>
    <t>Metacrine is a biotech company developing innovative therapeutics for liver, gastrointestinal, and metabolic diseases. The lead program is a best-in-class FXR agonist for multiple diseases, including non-alcoholic steatohepatitis (NASH).</t>
  </si>
  <si>
    <t>https://www.nea.com/portfolio/metacrine</t>
  </si>
  <si>
    <t>Metronome helps software companies accelerate their revenue and move faster by automating billing workflows and enabling teams to make pricing changes in minutes, not months.</t>
  </si>
  <si>
    <t>https://www.nea.com/portfolio/metronome</t>
  </si>
  <si>
    <t>Mighty AI delivers the human insights artificial intelligence (AI) engines need to see, hear, talk and “think” like humans. Its Training Data as a Service™ platform helps companies get the accurate, high-quality datasets they need to train and scale their computer vision and natural language models.</t>
  </si>
  <si>
    <t>https://www.nea.com/portfolio/mighty-ai</t>
  </si>
  <si>
    <t>MiiM has embarked on a bold initiative to make the world a safer place. There are, and will always be, dislocating events that endanger safety. We seek to resolve these dislocations through the use of advanced signal processing and ethical artificial intelligence.</t>
  </si>
  <si>
    <t>https://www.nea.com/portfolio/miim</t>
  </si>
  <si>
    <t>IPO/Acquired
Acquired by AOL/Verizon</t>
  </si>
  <si>
    <t>Mobile advertising leader with the largest mobile media audience in the U.S., offering brand advertisers specific, scalable audiences</t>
  </si>
  <si>
    <t>https://www.nea.com/portfolio/millennial-media</t>
  </si>
  <si>
    <t>Acquired
Acquired by Airspan Networks</t>
  </si>
  <si>
    <t>Quenching the world's thirst for wireless. Gigabit Wi-Fi solutions helping network operators overcome massive spectrum and infrastructure challenges</t>
  </si>
  <si>
    <t>https://www.nea.com/portfolio/mimosa-networks</t>
  </si>
  <si>
    <t>MindTickle's online training software is a complete cloud-based training and mobile training solution. Create, share and measure training effectiveness.</t>
  </si>
  <si>
    <t>https://www.nea.com/portfolio/mindtickle</t>
  </si>
  <si>
    <t>IPO/Public
NASDAQ: UTRS</t>
  </si>
  <si>
    <t>Medical device start-up company focused on women's health care</t>
  </si>
  <si>
    <t>https://www.nea.com/portfolio/minerva-surgical</t>
  </si>
  <si>
    <t>IPO/Public
NASDAQ: MIRN</t>
  </si>
  <si>
    <t>Biopharmaceutical company focused on microRNA (miRNA)-directed oncology therapies</t>
  </si>
  <si>
    <t>https://www.nea.com/portfolio/mirna-therapeutics</t>
  </si>
  <si>
    <t>IPO/Public
NASDAQ: MIRM</t>
  </si>
  <si>
    <t>Mirum Pharmaceuticals, Inc. is a clinical-stage therapeutics company developing a novel approach for treating cholestatic liver diseases, with an immediate focus on rare pediatric conditions.</t>
  </si>
  <si>
    <t>https://www.nea.com/portfolio/mirum-pharmaceuticals</t>
  </si>
  <si>
    <t>Mission Critical Software</t>
  </si>
  <si>
    <t>IPO/Acquired
Acquired by NetIQ Technologies</t>
  </si>
  <si>
    <t>Systems management software products for large organizations adopting Microsoft Windows NT</t>
  </si>
  <si>
    <t>https://www.nea.com/portfolio/mission-critical-software</t>
  </si>
  <si>
    <t>MissMalini Entertainment is a multi-platform new media network dedicated to entertaining, connecting and empowering India’s internet generation.</t>
  </si>
  <si>
    <t>https://www.nea.com/portfolio/missmalini</t>
  </si>
  <si>
    <t>Acquired
Acquired by Allen Systems Group, Inc.</t>
  </si>
  <si>
    <t>Software for document-centric e-business applications</t>
  </si>
  <si>
    <t>https://www.nea.com/portfolio/mobius-management-systems</t>
  </si>
  <si>
    <t>Membership service that allows customers to pre-order the latest runway collections</t>
  </si>
  <si>
    <t>https://www.nea.com/portfolio/moda-operandi</t>
  </si>
  <si>
    <t>Mojo Vision is the Invisible Computing Company, dedicated to developing augmented reality products and solutions that re-imagine the intersection of ideas, information and people.</t>
  </si>
  <si>
    <t>https://www.nea.com/portfolio/mojo-vision</t>
  </si>
  <si>
    <t>India’s first app based credit line for individuals offering speed and convenience in the entire credit disbursal process. The entire user lifecycle is managed on the app including credit application, credit decisioning, disbursal and repayment</t>
  </si>
  <si>
    <t>https://www.nea.com/portfolio/moneytap</t>
  </si>
  <si>
    <t>IPO/Public
NASDAQ: MDB</t>
  </si>
  <si>
    <t>MongoDB (from humongous) is reinventing data management and powering big data as the leading NoSQL database. Designed for how we build and run applications today, it empowers organizations to be more agile and scalable</t>
  </si>
  <si>
    <t>https://www.nea.com/portfolio/mongodb</t>
  </si>
  <si>
    <t>MORE Health is a global digital health company that provides access to the best medical minds in the world delivering virtual medical second opinions through proprietary digital platform solutions. Initially offered as an international concierge service for private patients in China, MORE Health now services patients worldwide for individuals or to companies as an employee benefit.</t>
  </si>
  <si>
    <t>https://www.nea.com/portfolio/more-health</t>
  </si>
  <si>
    <t>Mobile computing technology and solutions</t>
  </si>
  <si>
    <t>https://www.nea.com/portfolio/motion-computing</t>
  </si>
  <si>
    <t>Mobile content distribution solutions</t>
  </si>
  <si>
    <t>https://www.nea.com/portfolio/motricity</t>
  </si>
  <si>
    <t>Acquired
Acquired by Allergan</t>
  </si>
  <si>
    <t>Motus is a biopharmaceutical company developing peptide therapeutics for the treatment of gastrointestinal (GI) diseases.</t>
  </si>
  <si>
    <t>https://www.nea.com/portfolio/motus-therapeutics</t>
  </si>
  <si>
    <t>Provider of messaging, collaboration and mobile media solutions</t>
  </si>
  <si>
    <t>https://www.nea.com/portfolio/movius-interactive-corporation</t>
  </si>
  <si>
    <t>Implantable shock absorber (ISA) that unloads the knee, relieves pain, and improves function for patients with osteoarthritis.</t>
  </si>
  <si>
    <t>https://www.nea.com/portfolio/moximed</t>
  </si>
  <si>
    <t>Acquired
Acquired by Naviance</t>
  </si>
  <si>
    <t>Developed an analytical, algorithmic tool to predict students' chances of being admitted to the colleges of their choice</t>
  </si>
  <si>
    <t>https://www.nea.com/portfolio/myfit</t>
  </si>
  <si>
    <t>IPO/Public
IPO/Public Gilead Sciences</t>
  </si>
  <si>
    <t>Biopharmaceutical company focused on small molecule therapeutics for the treatment of cardiovascular disorders.</t>
  </si>
  <si>
    <t>https://www.nea.com/portfolio/myogen</t>
  </si>
  <si>
    <t>Nationwide Remittance Centers</t>
  </si>
  <si>
    <t>Acquired
Acquired by Financial Telesis</t>
  </si>
  <si>
    <t>Nationwide system of data processing and communications services to process consumer payments through a network of affiliated banks</t>
  </si>
  <si>
    <t>https://www.nea.com/portfolio/nrc</t>
  </si>
  <si>
    <t>Startup founded by UC Berkeley Professor Scott Shenker, the co-founder of Nicira Networks and industry leader in the movement towards software-defined networking (SDN)</t>
  </si>
  <si>
    <t>https://www.nea.com/portfolio/nefeli-networks</t>
  </si>
  <si>
    <t>Neoteris</t>
  </si>
  <si>
    <t>Acquired
Acquired by Netscreen</t>
  </si>
  <si>
    <t>Secure access to selected enterprise applications from any Web browser</t>
  </si>
  <si>
    <t>https://www.nea.com/portfolio/neoteris</t>
  </si>
  <si>
    <t>Acquired
Teleflex</t>
  </si>
  <si>
    <t>Developer of the UroLift</t>
  </si>
  <si>
    <t>https://www.nea.com/portfolio/neotract</t>
  </si>
  <si>
    <t>Acquired
Proofpoint</t>
  </si>
  <si>
    <t>Intelligent Threat Management. Helping organizations respond rapidly to APTs and targeted attacks</t>
  </si>
  <si>
    <t>https://www.nea.com/portfolio/netcitadel</t>
  </si>
  <si>
    <t>Acquired
Acquired by Attachmate Corporation</t>
  </si>
  <si>
    <t>Provides mission critical software for e-business.</t>
  </si>
  <si>
    <t>https://www.nea.com/portfolio/netiq</t>
  </si>
  <si>
    <t>NetSolve</t>
  </si>
  <si>
    <t>IPO/Acquired
NASDAQ: NTSL
Acquired by Cisco Systems</t>
  </si>
  <si>
    <t>Enterprise data networking services allowing companies to selectively outsource network specific tasks</t>
  </si>
  <si>
    <t>https://www.nea.com/portfolio/netsolve</t>
  </si>
  <si>
    <t>Developing a personal use device to treat migraine using transcranial magnetic stimulation</t>
  </si>
  <si>
    <t>https://www.nea.com/portfolio/neuralieve</t>
  </si>
  <si>
    <t>IPO/Public
NASDAQ: NPCE</t>
  </si>
  <si>
    <t>Developing implantable devices for the treatment of neurological disorders by responsive brain stimulation</t>
  </si>
  <si>
    <t>https://www.nea.com/portfolio/neuropace</t>
  </si>
  <si>
    <t>IPO/Public
NASDAQ:IQNT</t>
  </si>
  <si>
    <t>Independent tandem service provider</t>
  </si>
  <si>
    <t>https://www.nea.com/portfolio/neutral-tandem</t>
  </si>
  <si>
    <t>IPO/Acquired
NYSE: NVRO</t>
  </si>
  <si>
    <t>Next generation high frequency spinal cord stimulation for the treatment of chronic pain</t>
  </si>
  <si>
    <t>https://www.nea.com/portfolio/nevro</t>
  </si>
  <si>
    <t>NewGlobe supports visionary governments to transform public education systems.</t>
  </si>
  <si>
    <t>https://www.nea.com/portfolio/newglobe</t>
  </si>
  <si>
    <t>Acquired
Cisco Systems</t>
  </si>
  <si>
    <t>Services portfolio management software</t>
  </si>
  <si>
    <t>https://www.nea.com/portfolio/newscale</t>
  </si>
  <si>
    <t>Nexo Therapeutics is a small molecule oncology company dedicated to the discovery and development of new drugs for cancer patients who currently lack meaningful therapies.</t>
  </si>
  <si>
    <t>https://www.nea.com/portfolio/nexo</t>
  </si>
  <si>
    <t>IPO/Public
NASDAQ: NN</t>
  </si>
  <si>
    <t>Deploying its urban and indoor positioning service across the U.S.</t>
  </si>
  <si>
    <t>https://www.nea.com/portfolio/nextnav</t>
  </si>
  <si>
    <t>Acquired
Acquired by F5 Networks</t>
  </si>
  <si>
    <t>A high performance web company that provides products, solutions and services for its renowned open source software, NGINX. Run by the busiest websites on the Internet, NGINX enables companies to match increasing demand for faster web experiences at scale.</t>
  </si>
  <si>
    <t>https://www.nea.com/portfolio/nginx</t>
  </si>
  <si>
    <t>Acquired
Hewlett-Packard Enterprise Company</t>
  </si>
  <si>
    <t>Niara uses machine intelligence to automatically detect attacks on the inside of an organization and act as a “force multiplier” for security analysts by amplifying their investigative and threat hunting efforts.</t>
  </si>
  <si>
    <t>https://www.nea.com/portfolio/niara</t>
  </si>
  <si>
    <t>Acquired
Acquired by VMWare</t>
  </si>
  <si>
    <t>Software Defined Networking (SDN) pioneer providing cloud service providers with unprecedented flexibility and control</t>
  </si>
  <si>
    <t>https://www.nea.com/portfolio/nicira</t>
  </si>
  <si>
    <t>IPO/Acquired
NASDAQ: NITE
Acquired by Biogen</t>
  </si>
  <si>
    <t>Private biopharmaceutical company focused on the development of therapies for retinal dystrophies.</t>
  </si>
  <si>
    <t>https://www.nea.com/portfolio/nightstar</t>
  </si>
  <si>
    <t>IPO/Public
NASDAQ: NKTX</t>
  </si>
  <si>
    <t>Nkarta is a clinical-stage biotechnology company advancing the development of allogeneic natural killer (NK) cell therapies for cancer.</t>
  </si>
  <si>
    <t>https://www.nea.com/portfolio/nkarta-therapeutics</t>
  </si>
  <si>
    <t>Long-range 3D vision for Autonomous Vehicles.</t>
  </si>
  <si>
    <t>https://www.nea.com/portfolio/nodar</t>
  </si>
  <si>
    <t>Nova Fertility has become India’s largest institutional provider of fertility services in India with 10,000+ pregnancies, with best in class success rates.</t>
  </si>
  <si>
    <t>https://www.nea.com/portfolio/nova-fertility</t>
  </si>
  <si>
    <t>China's leading speciality pharmaceutical developer</t>
  </si>
  <si>
    <t>https://www.nea.com/portfolio/novast-holdings-limited</t>
  </si>
  <si>
    <t>Provider of computing-as-a-service to India and other emerging markets</t>
  </si>
  <si>
    <t>https://www.nea.com/portfolio/novatium</t>
  </si>
  <si>
    <t>Acquired
Aytu BioScience, Inc.</t>
  </si>
  <si>
    <t>Nuelle™ is a sexual wellness company focused on delivering groundbreaking solutions made specifically for women, backed by science that promote individual vitality and healthy relationships.</t>
  </si>
  <si>
    <t>https://www.nea.com/portfolio/nuelle</t>
  </si>
  <si>
    <t>Acquired
Trane Technologies</t>
  </si>
  <si>
    <t>Nuvolo is revolutionizing enterprise asset management by innovating on Service Now, the world's leading enterprise cloud platform. Fully optimized for growing, mobile workforces worldwide, Nuvolo delivers a simple, intuitive and user-friendly online and offline mobile experience.</t>
  </si>
  <si>
    <t>https://www.nea.com/portfolio/nuvolo</t>
  </si>
  <si>
    <t>IPO/Public
NASDAQ: OBSV</t>
  </si>
  <si>
    <t>ObsEva is a clinical stage biopharmaceutical company focusing on the development of a novel generation of drugs addressing serious conditions compromising pregnancy from conception to birth.</t>
  </si>
  <si>
    <t>https://www.nea.com/portfolio/obseva</t>
  </si>
  <si>
    <t>Developing a novel treatment for Dry Eye, a disease affecting millions of people worldwide</t>
  </si>
  <si>
    <t>https://www.nea.com/portfolio/oculeve</t>
  </si>
  <si>
    <t>Europe's first online service to aggregate all major travel modes, with connections all the way down to small towns and villages</t>
  </si>
  <si>
    <t>https://www.nea.com/portfolio/omio</t>
  </si>
  <si>
    <t>IPO/Acquired
NASDAQ: OMTH
Acquired by Astrazeneca</t>
  </si>
  <si>
    <t>Emerging specialty pharmaceuticals company focusing its efforts on the clinical development of new therapies for dyslipidemia</t>
  </si>
  <si>
    <t>https://www.nea.com/portfolio/omthera-pharmaceuticals</t>
  </si>
  <si>
    <t>One Concern is a mission-driven company that marries machine learning and artificial intelligence with hazard modeling to help save lives – before, during and after natural disasters.</t>
  </si>
  <si>
    <t>https://www.nea.com/portfolio/one-concern</t>
  </si>
  <si>
    <t>Acquired
Acquired by PTC</t>
  </si>
  <si>
    <t>Onshape is a next-generation SaaS CAD platform. It's an all-in-one system that combines CAD, release management, workflow, collaboration, analytics, admin tools, and an API with more than 50 engineering applications.</t>
  </si>
  <si>
    <t>https://www.nea.com/portfolio/onshape</t>
  </si>
  <si>
    <t>OnStream</t>
  </si>
  <si>
    <t>Acquired
Acquired by 3Com</t>
  </si>
  <si>
    <t>High speed networking communications equipment</t>
  </si>
  <si>
    <t>https://www.nea.com/portfolio/onstream</t>
  </si>
  <si>
    <t>IPO/Acquired
NYSE:OPWR
Acquired by Oracle</t>
  </si>
  <si>
    <t>Energy efficiency software-as-a-service company offering an analytics platform that enables utilities to communicate with residential customers about energy usage</t>
  </si>
  <si>
    <t>https://www.nea.com/portfolio/opower</t>
  </si>
  <si>
    <t>Origin Medsystems</t>
  </si>
  <si>
    <t>Specialized endosurgery devices and instruments for orthopedic and general surgery</t>
  </si>
  <si>
    <t>https://www.nea.com/portfolio/origin-medsystems</t>
  </si>
  <si>
    <t>Biopharmaceutical company focused on the development and commercialization of novel first in class therapeutic dimer conjugates.</t>
  </si>
  <si>
    <t>https://www.nea.com/portfolio/orphomed</t>
  </si>
  <si>
    <t>Pioneer in autonomous yard operations for logistics hubs, helping large enterprises improve safety and increase efficiency by focusing on automating all aspects of yard operations.</t>
  </si>
  <si>
    <t>https://www.nea.com/portfolio/outrider</t>
  </si>
  <si>
    <t>IPO/Acquired
NASDAQ: OYST
Acquired by Viatris</t>
  </si>
  <si>
    <t>Oyster Point is a clinical-stage biopharmaceutical company focused on the discovery, development and commercialization of first-in-class pharmaceutical therapies to treat ocular surface diseases.</t>
  </si>
  <si>
    <t>https://www.nea.com/portfolio/oyster-point</t>
  </si>
  <si>
    <t>IPO/Public
Blue Coat Systems</t>
  </si>
  <si>
    <t>Quality of service tools for the Internet based on efficient bandwidth management.</t>
  </si>
  <si>
    <t>https://www.nea.com/portfolio/packeteer</t>
  </si>
  <si>
    <t>Pager is a technology platform offering healthcare on-demand to simplify the medical experience for both patients and providers. It seamlessly connects board-certified doctors to patients through a triage platform providing easy access to quality, personalized care in less than two hours.</t>
  </si>
  <si>
    <t>https://www.nea.com/portfolio/pager</t>
  </si>
  <si>
    <t>IPO/Acquired
NASDAQ: PRTK
Acquired by Novo Holdings and Gurnet Point Capital</t>
  </si>
  <si>
    <t>Specialty pharmaceutical company focused on addressing therapeutic needs in the fields of psychiatry and sleep medicine</t>
  </si>
  <si>
    <t>https://www.nea.com/portfolio/transcept-pharmaceuticals</t>
  </si>
  <si>
    <t>Parc Place</t>
  </si>
  <si>
    <t>Acquired</t>
  </si>
  <si>
    <t>Object-oriented application development tools for the client-server market</t>
  </si>
  <si>
    <t>https://www.nea.com/portfolio/parc-place</t>
  </si>
  <si>
    <t>Pathos is an AI-enabled biotechnology company focused on re-engineering drug development, leveraging the power of technology to bring precision medicine to patients through partnerships with pharmaceutical companies.</t>
  </si>
  <si>
    <t>https://www.nea.com/portfolio/pathos</t>
  </si>
  <si>
    <t>Mobile clinical information solutions focused on the healthcare professional</t>
  </si>
  <si>
    <t>https://www.nea.com/portfolio/patientkeeper</t>
  </si>
  <si>
    <t>Leading healthcare payment platform that uses unique datasets to power our proprietary model that identifies the best solution for each patient to access and afford care, while removing the administrative burden for providers.</t>
  </si>
  <si>
    <t>https://www.nea.com/portfolio/payzen</t>
  </si>
  <si>
    <t>Acquired
Acquired by Trilogy Software</t>
  </si>
  <si>
    <t>Internet-based commerce company which allows computer industry suppliers, resellers and end-users to buy and sell computer products online</t>
  </si>
  <si>
    <t>https://www.nea.com/portfolio/pcorder</t>
  </si>
  <si>
    <t>Acquired
Acquired by Hitachi</t>
  </si>
  <si>
    <t>Pentaho is business intelligence (BI) software that provides data integration, OLAP services, reporting, information dashboards, data mining and extract, transform, load (ETL) capabilities.</t>
  </si>
  <si>
    <t>https://www.nea.com/portfolio/pentaho</t>
  </si>
  <si>
    <t>A company on a mission to be the world's most knowledge centric company and build the best conversational answer engine in the market.</t>
  </si>
  <si>
    <t>https://www.nea.com/portfolio/perplexity</t>
  </si>
  <si>
    <t>Acquired
Acquired by LabCorp</t>
  </si>
  <si>
    <t>Innovative genomic technologies to solve fundamental challenges in oncology</t>
  </si>
  <si>
    <t>https://www.nea.com/portfolio/personal-genome-diagnostics</t>
  </si>
  <si>
    <t>Phase Forward</t>
  </si>
  <si>
    <t>Enterprise-level software products, services, and hosted solutions serving the clinical trials and drug safety markets.</t>
  </si>
  <si>
    <t>https://www.nea.com/portfolio/phase-forward</t>
  </si>
  <si>
    <t>IPO/Public
NASDAQ: PHAS</t>
  </si>
  <si>
    <t>Focused on discovery and development of therapeutic fusion proteins based on its proprietary Elastin-Like Polypeptide (ELP) technology</t>
  </si>
  <si>
    <t>https://www.nea.com/portfolio/phasebio-pharmaceuticals</t>
  </si>
  <si>
    <t>Philo is a streaming live television service that lets you watch your favorite shows on your favorite devices anywhere, anytime.</t>
  </si>
  <si>
    <t>https://www.nea.com/portfolio/philo</t>
  </si>
  <si>
    <t>Client-and-server system for sharing digital photographs</t>
  </si>
  <si>
    <t>https://www.nea.com/portfolio/picaboo</t>
  </si>
  <si>
    <t>Acquired
Acquired by Syntiant</t>
  </si>
  <si>
    <t>Pilot AI Labs has built a computationally efficient deep-learning computer vision framework that runs directly on embedded platforms and the commodity silicon that is prevalent in these platforms.</t>
  </si>
  <si>
    <t>https://www.nea.com/portfolio/pilot-ai</t>
  </si>
  <si>
    <t>Focused on developing a more fuel-efficient and powerful engine with a comparable cost to the traditional combustion engine</t>
  </si>
  <si>
    <t>https://www.nea.com/portfolio/pinnacle-engines</t>
  </si>
  <si>
    <t>Acquired
Acquired by Ikena</t>
  </si>
  <si>
    <t>Pionyr Immunotherapeutics is developing cancer immunotherapies that target the tumor microenvironment to enhance the body’s antitumor immunity.</t>
  </si>
  <si>
    <t>https://www.nea.com/portfolio/pionyr-immunotherapeutics</t>
  </si>
  <si>
    <t>Acquired
Acquired by NETGEAR</t>
  </si>
  <si>
    <t>Provides an advanced computer vision technology platform that ingests video feeds from commodity hardware sources and translates these feeds into a structured data set to provide detailed feedback on the physical world.</t>
  </si>
  <si>
    <t>https://www.nea.com/portfolio/placemeter</t>
  </si>
  <si>
    <t>An end to end marketing platform for the residential real estate vertical</t>
  </si>
  <si>
    <t>https://www.nea.com/portfolio/placester</t>
  </si>
  <si>
    <t>Modern developer platform for interacting with bank and transaction data.</t>
  </si>
  <si>
    <t>https://www.nea.com/portfolio/plaid</t>
  </si>
  <si>
    <t>Plato's perception solution tracks the activity patterns of people, equipment and assets in industrial environments, with applications in operational efficiency/automation, safety, and physical security. The Spatial Intelligence (TM) product is based on Plato’s proprietary Deep Fusion technology that combines complementary sensors to provide reliable and scalable 3D tracking in any environment and without physical tagging of objects.</t>
  </si>
  <si>
    <t>https://www.nea.com/portfolio/plato</t>
  </si>
  <si>
    <t>PlayVS is a startup building the only online and offline infrastructure for high school esports which marks the first time students will be able to compete in esports for an official state championship and be recognized by their state athletic/ activity association.</t>
  </si>
  <si>
    <t>https://www.nea.com/portfolio/playvs</t>
  </si>
  <si>
    <t>Acquired
Acquired by Arista Networks</t>
  </si>
  <si>
    <t>Driving the 3rd wave of virtualization into the ethernet hardware market</t>
  </si>
  <si>
    <t>https://www.nea.com/portfolio/pluribus-networks</t>
  </si>
  <si>
    <t>Plusmo</t>
  </si>
  <si>
    <t>Acquired
Acquired by AT&amp;T</t>
  </si>
  <si>
    <t>Mobile widgets platform</t>
  </si>
  <si>
    <t>https://www.nea.com/portfolio/plusmo</t>
  </si>
  <si>
    <t>Acquired
Acquired by Mozilla</t>
  </si>
  <si>
    <t>A cross-platform service that lets you save what you find on the web to watch and read on any device.</t>
  </si>
  <si>
    <t>https://www.nea.com/portfolio/pocket</t>
  </si>
  <si>
    <t>Acquired
Acquired by Hewlett Packard</t>
  </si>
  <si>
    <t>Shared data clustering software for Linux and Windows based data centers</t>
  </si>
  <si>
    <t>https://www.nea.com/portfolio/polyserve</t>
  </si>
  <si>
    <t>PortAuthority</t>
  </si>
  <si>
    <t>Acquired
Acquired by WebSense</t>
  </si>
  <si>
    <t>Information leak prevention security solutions</t>
  </si>
  <si>
    <t>https://www.nea.com/portfolio/portauthority</t>
  </si>
  <si>
    <t>ppoNEXT</t>
  </si>
  <si>
    <t>Acquired by Concentra</t>
  </si>
  <si>
    <t>PPO services company featuring an adaptable national provider network and innovative cost-saving services</t>
  </si>
  <si>
    <t>https://www.nea.com/portfolio/pponext</t>
  </si>
  <si>
    <t>Predictive Biosciences</t>
  </si>
  <si>
    <t>Developing highly accurate, noninvasive diagnostic products for informed cancer management</t>
  </si>
  <si>
    <t>https://www.nea.com/portfolio/predictive-biosciences</t>
  </si>
  <si>
    <t>A next-gen platform to unlock scalable SMB lending for community banks.</t>
  </si>
  <si>
    <t>https://www.nea.com/portfolio/prime-financial-technologies</t>
  </si>
  <si>
    <t>Procket</t>
  </si>
  <si>
    <t>Internet protocol (IP) technology and products</t>
  </si>
  <si>
    <t>https://www.nea.com/portfolio/procket</t>
  </si>
  <si>
    <t>IPO/Public
NASDAQ: PRGS</t>
  </si>
  <si>
    <t>Applications development environment coupled with a relational database</t>
  </si>
  <si>
    <t>https://www.nea.com/portfolio/progress-software</t>
  </si>
  <si>
    <t>IPO/Acquired
NASDAQ: RNA
Acquired by BioMarin</t>
  </si>
  <si>
    <t>Biopharmaceutical company developing therapeutics for orphan genetic diseases with a focus on neuromuscular disorders</t>
  </si>
  <si>
    <t>https://www.nea.com/portfolio/prosensa</t>
  </si>
  <si>
    <t>IPO/Public
NASDAQ: PTI</t>
  </si>
  <si>
    <t>Discovering and developing novel small molecule therapeutics designed to control the body's protein homeostasis, or Proteostasis Network</t>
  </si>
  <si>
    <t>https://www.nea.com/portfolio/proteostasis-therapeutics</t>
  </si>
  <si>
    <t>Proxima Therapeutics</t>
  </si>
  <si>
    <t>Acquired
Acquired by Cytyc Corporation</t>
  </si>
  <si>
    <t>Internal radiation delivery systems for the treatment of solid cancerous tumors</t>
  </si>
  <si>
    <t>https://www.nea.com/portfolio/proxima-therapeutics</t>
  </si>
  <si>
    <t>Acquired
Acquired by Emalex</t>
  </si>
  <si>
    <t>Developing ecopipam, a dopamine D-1 antagonist, for the treatment of Tourette's syndrome, a neurological disorder manifested by motor and phonic tics.</t>
  </si>
  <si>
    <t>https://www.nea.com/portfolio/psyadon-pharmaceuticals</t>
  </si>
  <si>
    <t>Acquired
Acquired by LinkedIn</t>
  </si>
  <si>
    <t>News reading application for iPhone, iPad and Android devices. It incorporates colorful panning story bars and fills them with content from your favorite sources</t>
  </si>
  <si>
    <t>https://www.nea.com/portfolio/pulse</t>
  </si>
  <si>
    <t>Pure Energies</t>
  </si>
  <si>
    <t>Acquired
Acquired by NRG Energy</t>
  </si>
  <si>
    <t>PURE Energies is committed to being the trusted energy advisor to homeowners by facilitating the adoption of solar energy and home conservation products across North America for the benefit of communities and future generations.</t>
  </si>
  <si>
    <t>https://www.nea.com/portfolio/pure-energies</t>
  </si>
  <si>
    <t>Pyxis</t>
  </si>
  <si>
    <t>IPO/Acquired
NMS: PYXS
Acquired by Cardinal Health</t>
  </si>
  <si>
    <t>Narcotic medication distribution system for hospital use</t>
  </si>
  <si>
    <t>https://www.nea.com/portfolio/pyxis</t>
  </si>
  <si>
    <t>Acquired
Acquired by Shionogi</t>
  </si>
  <si>
    <t>Qpex Biopharma is developing a pipeline of agents addressing critical needs for the treatment of infectious diseases in the inpatient and outpatient settings.</t>
  </si>
  <si>
    <t>https://www.nea.com/portfolio/qpex-biopharma</t>
  </si>
  <si>
    <t>Acquired
Acquired by Motorola</t>
  </si>
  <si>
    <t>Optical access networking equipment enabling telecommunications service providers to deliver high-bandwidth services to businesses customers</t>
  </si>
  <si>
    <t>https://www.nea.com/portfolio/quantum-bridge-communications</t>
  </si>
  <si>
    <t>IPO/Acquired
NASDAQ: RARX
Acquired by UCB</t>
  </si>
  <si>
    <t>Developing a new class of drugs with the diversity and specificity of antibodies, coupled with the oral bioavailability of small molecules</t>
  </si>
  <si>
    <t>https://www.nea.com/portfolio/ra-pharmaceuticals</t>
  </si>
  <si>
    <t>Provides a comprehensive professional radiology services solution delivered through a technology enabled national group practice</t>
  </si>
  <si>
    <t>https://www.nea.com/portfolio/radiology-partners</t>
  </si>
  <si>
    <t>Raise.com is a marketplace for buying and selling gift cards and store credits</t>
  </si>
  <si>
    <t>https://www.nea.com/portfolio/raise</t>
  </si>
  <si>
    <t>Rapid Robotics is the creator of the world's first ready-to-work robotic machine operator.</t>
  </si>
  <si>
    <t>https://www.nea.com/portfolio/rapid-robotics</t>
  </si>
  <si>
    <t>Acquired
Acquired by LexisNexis (RELX)</t>
  </si>
  <si>
    <t>Focused on making legal research radically easier, faster, and more intuitive</t>
  </si>
  <si>
    <t>https://www.nea.com/portfolio/ravel</t>
  </si>
  <si>
    <t>Recludix is a leader in developing platform approaches to discover potent and selective inhibitors of challenging protein targets by integrating custom generated DNA-encoded libraries, massively parallel determination of structure activity relationships, and a proprietary screening tool to ensure selectivity.</t>
  </si>
  <si>
    <t>https://www.nea.com/portfolio/recludix-pharma</t>
  </si>
  <si>
    <t>China's largest multi-channel direct marketer of consumer products operating an integrated e-commerce platform of Internet, mail order and wireless for home shopping</t>
  </si>
  <si>
    <t>https://www.nea.com/portfolio/redbaby</t>
  </si>
  <si>
    <t>Percutaneous radiofrequency procedure to ablate the basivertebral nerve for the treatment of chronic axial low back pain.</t>
  </si>
  <si>
    <t>https://www.nea.com/portfolio/relievant-medsystems</t>
  </si>
  <si>
    <t>Reltio is the modern data management company providing breakthrough technologies to help companies be right faster. It’s the only Platform as a Service (PaaS) to deliver enterprise data-driven applications with reliable master data, relevant big data insights, and intelligent recommended actions.</t>
  </si>
  <si>
    <t>https://www.nea.com/portfolio/reltio</t>
  </si>
  <si>
    <t>IPO/Acquired
NASDAQ: OKUR</t>
  </si>
  <si>
    <t>Biopharmaceutical company licensing and developing drugs to treat fibrosis.</t>
  </si>
  <si>
    <t>https://www.nea.com/portfolio/reneo-pharmaceuticals</t>
  </si>
  <si>
    <t>RESILIENCE (National Resilience, Inc.) is a first-of-its-kind manufacturing and technology company dedicated to broadening access to complex medicines and protecting biopharmaceutical supply chains against disruption.</t>
  </si>
  <si>
    <t>https://www.nea.com/portfolio/resilience</t>
  </si>
  <si>
    <t>Retrieve humanizes the educational experience with a modern Virtual Teaching System. The Virtual Teaching System provides personalized pathways, automatic transcription, competency-based assessment, a customizable storefront, and a curriculum portfolio for the interoperability needed within organizations</t>
  </si>
  <si>
    <t>https://www.nea.com/portfolio/retrieve</t>
  </si>
  <si>
    <t>Minimally invasive procedure to effectively target the root cause of cellulite.</t>
  </si>
  <si>
    <t>https://www.nea.com/portfolio/revelle-aesthetics</t>
  </si>
  <si>
    <t>RevSpring is the leading end-to-end platform for consumer-driven engagement and patient payment services selling to healthcare providers (75%+ of revenue) and financial services companies.</t>
  </si>
  <si>
    <t>https://www.nea.com/portfolio/revspring</t>
  </si>
  <si>
    <t>Rewind records anything you've seen, said, or heard and makes it searchable.</t>
  </si>
  <si>
    <t>https://www.nea.com/portfolio/rewind</t>
  </si>
  <si>
    <t>IPO/Public
NASDAQ: RYTM</t>
  </si>
  <si>
    <t>Biotechnology company developing peptide therapeutics that address unmet needs in metabolic diseases</t>
  </si>
  <si>
    <t>https://www.nea.com/portfolio/rhythm-pharmaceuticals</t>
  </si>
  <si>
    <t>RingCube</t>
  </si>
  <si>
    <t>Acquired
Acquired by Citrix</t>
  </si>
  <si>
    <t>Technology platform to deliver secure, managed digital workspaces</t>
  </si>
  <si>
    <t>https://www.nea.com/portfolio/ringcube</t>
  </si>
  <si>
    <t>IPO/Public
NASDAQ: HOOD</t>
  </si>
  <si>
    <t>Robinhood is a mobile-first, zero commission stock brokerage.</t>
  </si>
  <si>
    <t>https://www.nea.com/portfolio/robinhood</t>
  </si>
  <si>
    <t>Rocket is a modern tech recruiting firm that combines experienced tech recruiters with AI recruiting software to help high growth companies scale.</t>
  </si>
  <si>
    <t>https://www.nea.com/portfolio/rocket</t>
  </si>
  <si>
    <t>The leading open source team chat platform, fully customizable, with on-premise and cloud solutions. Rocket.Chat is building a federated network of communication services to achieve open connectivity.</t>
  </si>
  <si>
    <t>https://www.nea.com/portfolio/rocket-chat</t>
  </si>
  <si>
    <t>Acquired
Acquired by Smith &amp; Nephew</t>
  </si>
  <si>
    <t>Medical device start-up company on mission to advance the treatment of rotator cuff disease</t>
  </si>
  <si>
    <t>https://www.nea.com/portfolio/rotation-medical</t>
  </si>
  <si>
    <t>SafeBase is the Smart Trust Center for B2B companies to share their security posture and automate access to sensitive compliance information. Customers are seeing sales cycles sped up by 7 days and a 50% decrease in security questionnaires with their security portal, automated NDA flow, security updates, and workflow integrations with tools such as Salesforce and Slack.</t>
  </si>
  <si>
    <t>https://www.nea.com/portfolio/safebase</t>
  </si>
  <si>
    <t>Acquired
NASDAQ: SGMT</t>
  </si>
  <si>
    <t>A clinical-stage biopharmaceutical company focused on developing novel therapeutics to treat important diseases such as the liver disease NASH and specific cancers, with focus on targeting dysfunctional metabolic pathways.</t>
  </si>
  <si>
    <t>https://www.nea.com/portfolio/sagimet-biosciences</t>
  </si>
  <si>
    <t>Sakana AI is a Japanese AI company taking an evolutionary algorithm approach to AI foundation model development, deployment, and optimization.</t>
  </si>
  <si>
    <t>https://www.nea.com/portfolio/sakana-ai</t>
  </si>
  <si>
    <t>Salix</t>
  </si>
  <si>
    <t>Acquired
Acquired by Tellabs</t>
  </si>
  <si>
    <t>Developer of class-independent switching solutions</t>
  </si>
  <si>
    <t>https://www.nea.com/portfolio/salix</t>
  </si>
  <si>
    <t>Sana is an AI-powered learning platform that empowers organizations to find, share, and harness the knowledge they need to achieve their missions.</t>
  </si>
  <si>
    <t>https://www.nea.com/portfolio/sana</t>
  </si>
  <si>
    <t>Acquired
Acquired by R1 RCM</t>
  </si>
  <si>
    <t>Employs a hosted SaaS delivery model that offers products and services to U.S. healthcare providers proven to reduce administrative costs through automated tools and self-service portals</t>
  </si>
  <si>
    <t>https://www.nea.com/portfolio/sci-solutions</t>
  </si>
  <si>
    <t>High-performance, appliance-based "NOC in a box"</t>
  </si>
  <si>
    <t>https://www.nea.com/portfolio/sciencelogic</t>
  </si>
  <si>
    <t>IPO/Public
NYSE: SENS</t>
  </si>
  <si>
    <t>Developing broadly enabling chemical sensing technologies based on fluorescence sensing with initial products for implantable glucose sensors and metabolic rate monitors</t>
  </si>
  <si>
    <t>https://www.nea.com/portfolio/senseonics</t>
  </si>
  <si>
    <t>IPO/Public
NASDAQ: SNTI
Dynamics Special Purpose Corp.</t>
  </si>
  <si>
    <t>Focused on use of synthetic biology techniques to engineer mammalian cells for a wide variety of applications.</t>
  </si>
  <si>
    <t>https://www.nea.com/portfolio/senti-biosciences</t>
  </si>
  <si>
    <t>A fabless system-on-chip company that develops and markets high-performance, low-cost human-machine interface solutions based on dynamic acoustic techniques</t>
  </si>
  <si>
    <t>https://www.nea.com/portfolio/sentons</t>
  </si>
  <si>
    <t>Sentry provides real-time crash reporting for web apps, mobile apps, and games.</t>
  </si>
  <si>
    <t>https://www.nea.com/portfolio/sentry</t>
  </si>
  <si>
    <t>IPO/Public
Sunovion</t>
  </si>
  <si>
    <t>Bioactive membranes and other separation technologies for the chemical processing and pharmaceutical fields</t>
  </si>
  <si>
    <t>https://www.nea.com/portfolio/sepracor</t>
  </si>
  <si>
    <t>Implantable neuromodulation device targeting the vagus nerve to treat chronic inflammatory diseases, with an initial indication for rheumatoid arthritis.</t>
  </si>
  <si>
    <t>https://www.nea.com/portfolio/setpoint-medical</t>
  </si>
  <si>
    <t>A development stage biotechnology company based in Seattle WA and San Diego CA that is establishing itself as a leader in next generation genomic medicine.</t>
  </si>
  <si>
    <t>https://www.nea.com/portfolio/shape-therapeutics</t>
  </si>
  <si>
    <t>Acquired
Acquired by Hitachi Consulting</t>
  </si>
  <si>
    <t>Integrated products and services to connect leading enterprise applications</t>
  </si>
  <si>
    <t>https://www.nea.com/portfolio/sierra-atlantic</t>
  </si>
  <si>
    <t>Acquired
Acquired by Broadcom</t>
  </si>
  <si>
    <t>Reconfigurable instruction data computers for the telecommunications industry</t>
  </si>
  <si>
    <t>https://www.nea.com/portfolio/silicon-spice</t>
  </si>
  <si>
    <t>Acquired
Acquired by Lattice Semiconductor</t>
  </si>
  <si>
    <t>Ultra low power fpga devices for designing handheld applications and mobile applications</t>
  </si>
  <si>
    <t>https://www.nea.com/portfolio/siliconblue-technologies</t>
  </si>
  <si>
    <t>Simple Psychology</t>
  </si>
  <si>
    <t>An online discovery engine and marketplace for psychotherapy as well as other innovative services for mentalwell-being</t>
  </si>
  <si>
    <t>https://www.nea.com/portfolio/simple-psychology</t>
  </si>
  <si>
    <t>Sisu is the fastest and most comprehensive way to diagnose why your most important business metrics are changing. Based on years of research at Stanford University and proven at scale at Microsoft, Facebook and Google, Sisu’s diagnostic analytics platform combines machine learning and powerful statistical analysis to help anyone get answers to their toughest business questions.</t>
  </si>
  <si>
    <t>https://www.nea.com/portfolio/sisu</t>
  </si>
  <si>
    <t>Sitetracker is the first complete program and asset management platform designed to modernize end-to-end infrastructure and capital project execution.</t>
  </si>
  <si>
    <t>https://www.nea.com/portfolio/sitetracker</t>
  </si>
  <si>
    <t>Acquired
Acquired by MegaChips</t>
  </si>
  <si>
    <t>MEMS-based oscillators in standard silicon for electronic device applications</t>
  </si>
  <si>
    <t>https://www.nea.com/portfolio/sitime</t>
  </si>
  <si>
    <t>Slope is a clinical trial execution platform that orchestrates the entire biospecimen lifecycle across all study stakeholders. Slope captures sample data from sites as they perform study activities, providing sponsors with real-time access to the biospecimen data they need to make critical study decisions.</t>
  </si>
  <si>
    <t>https://www.nea.com/portfolio/slope</t>
  </si>
  <si>
    <t>Smartcar makes it easy for developers to build web and mobile apps that communicate with vehicles.</t>
  </si>
  <si>
    <t>https://www.nea.com/portfolio/smartcar</t>
  </si>
  <si>
    <t>Acquired
Acquired by Omnitracs</t>
  </si>
  <si>
    <t>Offers measured safety technology and services to reduce costs associated with vehicle collisions, workers' compensations and personal injury</t>
  </si>
  <si>
    <t>https://www.nea.com/portfolio/smartdrive-systems</t>
  </si>
  <si>
    <t>Digital distributor of high-quality independent films, on pay and free (ad-supported) platforms, and home of indieWIRE (leading online source about independent film)</t>
  </si>
  <si>
    <t>https://www.nea.com/portfolio/snagfilms</t>
  </si>
  <si>
    <t>A behavioral data platform built to empower data teams to capture and operationalize behavioral data at scale.</t>
  </si>
  <si>
    <t>https://www.nea.com/portfolio/snowplow</t>
  </si>
  <si>
    <t>Developing technology that makes you aware of the people and connections around you</t>
  </si>
  <si>
    <t>https://www.nea.com/portfolio/socialradar</t>
  </si>
  <si>
    <t>Acquired
Acquired by IRRADIANCE Group</t>
  </si>
  <si>
    <t>Developing high efficiency triple junction solar cells</t>
  </si>
  <si>
    <t>https://www.nea.com/portfolio/solar-junction</t>
  </si>
  <si>
    <t>Acquired
Acquired by NetApp</t>
  </si>
  <si>
    <t>Next-generation cloud computing storage platform</t>
  </si>
  <si>
    <t>https://www.nea.com/portfolio/solidfire</t>
  </si>
  <si>
    <t>IPO/Acquired
Acquired by BDG Media</t>
  </si>
  <si>
    <t>Some Spider Studios is a media &amp; entertainment company building identity-based brands online and off. It all starts with amazing original content that connects with people. The Company's brands include Scary Mommy, one of the largest women's brands in the U.S., reaching over 100 million people; The Dad, the fastest growing brand for men with kids; and CAFE, which is led by popular national figure Preet Bharara, host of the chart topping podcast "Stay Tuned."</t>
  </si>
  <si>
    <t>https://www.nea.com/portfolio/some-spider-studios</t>
  </si>
  <si>
    <t>Leader in component lifecycle management technologies, intelligent tools and information services</t>
  </si>
  <si>
    <t>https://www.nea.com/portfolio/sonatype</t>
  </si>
  <si>
    <t>IPO/Public
William Demant Holding</t>
  </si>
  <si>
    <t>A new generation of hearing aids based on patented digital signal processing technology</t>
  </si>
  <si>
    <t>https://www.nea.com/portfolio/sonic-innovations</t>
  </si>
  <si>
    <t>Acquired
Acquired by Ecosense Lighting</t>
  </si>
  <si>
    <t>Leading III-Nitride technology company focusing on disruptive energy saving solutions</t>
  </si>
  <si>
    <t>https://www.nea.com/portfolio/soraa</t>
  </si>
  <si>
    <t>Sorriso Pharmaceuticals is a biotechnology company advancing a pipeline of disease-modifying antibodies for the treatment of inflammatory disease, including Crohn’s disease and ulcerative colitis.</t>
  </si>
  <si>
    <t>https://www.nea.com/portfolio/sorriso-pharmaceuticals</t>
  </si>
  <si>
    <t>IPO/Acquired
NASDAQ: FIRE</t>
  </si>
  <si>
    <t>Network defense solutions</t>
  </si>
  <si>
    <t>https://www.nea.com/portfolio/sourcefire</t>
  </si>
  <si>
    <t>http://www.sourcefire.com/</t>
  </si>
  <si>
    <t>Spectrian</t>
  </si>
  <si>
    <t>IPO/Public
Remec</t>
  </si>
  <si>
    <t>Power amplification products for wireless communications</t>
  </si>
  <si>
    <t>https://www.nea.com/portfolio/spectrian</t>
  </si>
  <si>
    <t>Medical device company focused on degenerative disc disease, vertebral compression fractures, and nucleus replacement</t>
  </si>
  <si>
    <t>https://www.nea.com/portfolio/spine-wave</t>
  </si>
  <si>
    <t>https://www.spinewave.com/</t>
  </si>
  <si>
    <t>Clinical provider of care management and other health-related services to individuals with complex and chronic needs.</t>
  </si>
  <si>
    <t>https://www.nea.com/portfolio/spiras-health</t>
  </si>
  <si>
    <t>https://spirashealth.com/about-us/</t>
  </si>
  <si>
    <t>Acquired
Acquired by Olympus Corporation</t>
  </si>
  <si>
    <t>Medical device company focused on bronchoscopic treatment for emphysema</t>
  </si>
  <si>
    <t>https://www.nea.com/portfolio/spiration</t>
  </si>
  <si>
    <t>Software company offering enterprise mobile access and collaboration of applications</t>
  </si>
  <si>
    <t>https://www.nea.com/portfolio/splashtop</t>
  </si>
  <si>
    <t>https://www.splashtop.com/</t>
  </si>
  <si>
    <t>SpliceBio is a biotechnology company exploiting Protein Splicing to develop next generation gene therapies.</t>
  </si>
  <si>
    <t>https://www.nea.com/portfolio/splicebio</t>
  </si>
  <si>
    <t>https://splice.bio/</t>
  </si>
  <si>
    <t>IPO/Acquired
NASDAQ: SPRD
Acquired by Tsinghua</t>
  </si>
  <si>
    <t>Fabless semiconductor company focused on digital wireless communications products</t>
  </si>
  <si>
    <t>https://www.nea.com/portfolio/spreadtrum-communications</t>
  </si>
  <si>
    <t>Acquired
Acquired by Cisco Systems, Inc.</t>
  </si>
  <si>
    <t>Virtualized storage software for enterprise storage and data management</t>
  </si>
  <si>
    <t>https://www.nea.com/portfolio/springpath</t>
  </si>
  <si>
    <t>Leader in social media management tools for business</t>
  </si>
  <si>
    <t>https://www.nea.com/portfolio/sprout-social</t>
  </si>
  <si>
    <t>https://sproutsocial.com/</t>
  </si>
  <si>
    <t>Spyglass</t>
  </si>
  <si>
    <t>Medical device incubator focused on three novel ophthalmic devices.</t>
  </si>
  <si>
    <t>https://www.nea.com/portfolio/spyglass-pharma</t>
  </si>
  <si>
    <t>Stablix is pioneering an entirely new field of targeted protein stabilization (TPS) to bring transformative medicines to patients with unmet medical need.</t>
  </si>
  <si>
    <t>https://www.nea.com/portfolio/stablix</t>
  </si>
  <si>
    <t>https://www.stablix.com/</t>
  </si>
  <si>
    <t>Private
Okta</t>
  </si>
  <si>
    <t>Identity access control service for cloud and enterprise applications</t>
  </si>
  <si>
    <t>https://www.nea.com/portfolio/stormpath</t>
  </si>
  <si>
    <t>Acquired
Acquired by Software AG</t>
  </si>
  <si>
    <t>StreamSets provides data ingest technology for the next generation of big data applications. Its enterprise-grade infrastructure accelerates data analysis and decision-making by bringing unprecedented transparency and event processing to data in motion.</t>
  </si>
  <si>
    <t>https://www.nea.com/portfolio/streamsets</t>
  </si>
  <si>
    <t>https://streamsets.com/</t>
  </si>
  <si>
    <t>Strive Health delivers a turn-key kidney care service line for health systems and payors, powered by specialized analytics and Nephrology caregivers. Strive is fundamentally changing the lives of kidney disease patients through early engagement, comprehensive coordinated care, and expanded treatment options.</t>
  </si>
  <si>
    <t>https://www.nea.com/portfolio/strive-health</t>
  </si>
  <si>
    <t>https://strivehealth.com/</t>
  </si>
  <si>
    <t>Acquired
Acquired by Accel-KKR</t>
  </si>
  <si>
    <t>Commercial open-source customer relationship management (CRM) software</t>
  </si>
  <si>
    <t>https://www.nea.com/portfolio/sugarcrm</t>
  </si>
  <si>
    <t>https://www.sugarcrm.com/</t>
  </si>
  <si>
    <t>Super is a leading social commerce application in Indonesia for 2nd tier, 3rd tier cities, and rural regions. It is the first Indonesian consumer technology start-up that went through Y-Combinator.</t>
  </si>
  <si>
    <t>https://www.nea.com/portfolio/super</t>
  </si>
  <si>
    <t>https://superapp.id/</t>
  </si>
  <si>
    <t>SupplyBase</t>
  </si>
  <si>
    <t>Acquired
Acquired by I2 Technologies</t>
  </si>
  <si>
    <t>Online supply chain management solutions for the development and sourcing of customer parts and assemblies</t>
  </si>
  <si>
    <t>https://www.nea.com/portfolio/supplybase</t>
  </si>
  <si>
    <t>IPO/Acquired
NASDAQ: SURF
Acquired by Coherus</t>
  </si>
  <si>
    <t>Focused on developing novel oncology-focused antibody therapeutics against series of targets that modulate elements at the boundary of the innate and adaptive immune systems</t>
  </si>
  <si>
    <t>https://www.nea.com/portfolio/surface-oncology</t>
  </si>
  <si>
    <t>Surgical Health</t>
  </si>
  <si>
    <t>Acquired by HealthSouth</t>
  </si>
  <si>
    <t>Ambulatory surgery centers</t>
  </si>
  <si>
    <t>https://www.nea.com/portfolio/surgical-health</t>
  </si>
  <si>
    <t>SurgRx</t>
  </si>
  <si>
    <t>Acquired
Acquired by Johnson &amp; Johnson</t>
  </si>
  <si>
    <t>Medical devices for secure, rapid vessel sealing and transection for use in open and laparoscopic surgery</t>
  </si>
  <si>
    <t>https://www.nea.com/portfolio/surgrx</t>
  </si>
  <si>
    <t>Swift Navigation makes GPS positioning technology more accurate and affordable; the company has gained a reputation for defining a new category of GNSS systems as the industry’s first low-cost, high accuracy real-time kinematics (RTK) receiver</t>
  </si>
  <si>
    <t>https://www.nea.com/portfolio/swift-navigation</t>
  </si>
  <si>
    <t>https://www.swiftnav.com/</t>
  </si>
  <si>
    <t>Acquired
Acquired by Elastic</t>
  </si>
  <si>
    <t>Swiftype is the easiest way to add great search to your website or mobile application.</t>
  </si>
  <si>
    <t>https://www.nea.com/portfolio/swiftype</t>
  </si>
  <si>
    <t>https://swiftype.com/</t>
  </si>
  <si>
    <t>SwitchOn Networks</t>
  </si>
  <si>
    <t>Acquired
Acquired by PMC Sierra</t>
  </si>
  <si>
    <t>Provides standard semiconductor and software components to the emerging market of Policy-based networking.</t>
  </si>
  <si>
    <t>https://www.nea.com/portfolio/switchon-networks</t>
  </si>
  <si>
    <t>IPO/Public
NASDAQ: SNPS</t>
  </si>
  <si>
    <t>Software tools for electronic design automation.</t>
  </si>
  <si>
    <t>https://www.nea.com/portfolio/synopsys</t>
  </si>
  <si>
    <t>https://www.synopsys.com/</t>
  </si>
  <si>
    <t>IPO/Acquired
NYSE: DATA
Acquired by Salesforce</t>
  </si>
  <si>
    <t>Tableau Software helps people see and understand data by allowing users to quickly analyze, visualize and share information</t>
  </si>
  <si>
    <t>https://www.nea.com/portfolio/tableau-software</t>
  </si>
  <si>
    <t>https://www.tableau.com/</t>
  </si>
  <si>
    <t>Photo marketing and augmented reality software platform for events, retail and live entertainment.</t>
  </si>
  <si>
    <t>https://www.nea.com/portfolio/tagkast</t>
  </si>
  <si>
    <t>https://www.tagkast.com/</t>
  </si>
  <si>
    <t>Precision therapy company leveraging its ‘click-2-release’ technology platform to unlock full potential of systemic therapies by improving therapeutic window and improving standard of care for patients suffering from severe diseases including cancer.</t>
  </si>
  <si>
    <t>https://www.nea.com/portfolio/tagworks</t>
  </si>
  <si>
    <t>https://www.tagworkspharma.com/</t>
  </si>
  <si>
    <t>A vertically integrated ecommerce brand focused on the luxury women’s shoe market.</t>
  </si>
  <si>
    <t>https://www.nea.com/portfolio/tamara-mellon</t>
  </si>
  <si>
    <t>https://www.tamaramellon.com/</t>
  </si>
  <si>
    <t>Reseller and provider of marketing services for high technology companies into the public sector: U.S. government, DoD, prime contractors, and state and Local governments.</t>
  </si>
  <si>
    <t>https://www.nea.com/portfolio/technical-communities</t>
  </si>
  <si>
    <t>https://www.technicalcommunities.com/</t>
  </si>
  <si>
    <t>Acquired
Acquired by Spreadtrum</t>
  </si>
  <si>
    <t>Chip products for the mobile video and consumer electronics markets</t>
  </si>
  <si>
    <t>https://www.nea.com/portfolio/telegent-systems</t>
  </si>
  <si>
    <t>https://telegentsystems.com/</t>
  </si>
  <si>
    <t>IPO/Public
NASDAQ: TPST</t>
  </si>
  <si>
    <t>A clinical-stage oncology company advancing small molecules that combine both targeted and immune-mediated mechanisms with the potential to treat a wide range of tumors.</t>
  </si>
  <si>
    <t>https://www.nea.com/portfolio/tempest-therapeutics</t>
  </si>
  <si>
    <t>https://ir.tempesttx.com/</t>
  </si>
  <si>
    <t>Teneros</t>
  </si>
  <si>
    <t>Instant-On failover appliances for 24 X 7 continuity of mission-critical, Microsoft infrastructure applications</t>
  </si>
  <si>
    <t>https://www.nea.com/portfolio/teneros</t>
  </si>
  <si>
    <t>Teracent</t>
  </si>
  <si>
    <t>Acquired
Acquired by Google</t>
  </si>
  <si>
    <t>Consumer product merchandising ad network</t>
  </si>
  <si>
    <t>https://www.nea.com/portfolio/teracent</t>
  </si>
  <si>
    <t>IPO/Acquired
NASDAQ: TSRO
Acquired by GlaxoSmithKline</t>
  </si>
  <si>
    <t>Oncology-focused biopharmaceutical company dedicated to improving the lives of cancer patients by developing and commercializing safer and more effective therapeutics</t>
  </si>
  <si>
    <t>https://www.nea.com/portfolio/tesaro</t>
  </si>
  <si>
    <t>https://www.gsk.com/en-gb/investors/corporate-actions/agreement-to-acquire-tesaro/</t>
  </si>
  <si>
    <t>Service provider for technical organizations that sell to U.S. government agencies, military organizations, and prime federal contractors</t>
  </si>
  <si>
    <t>https://www.nea.com/portfolio/testmart</t>
  </si>
  <si>
    <t>https://www.testmart.com/</t>
  </si>
  <si>
    <t>Acquired
Acquired by Monsanto</t>
  </si>
  <si>
    <t>Financial services platform for managing weather risk</t>
  </si>
  <si>
    <t>https://www.nea.com/portfolio/the-climate-corporation</t>
  </si>
  <si>
    <t>Acquired
Acquired by Minute Media</t>
  </si>
  <si>
    <t>The Players’ Tribune is a new media platform that will present the voices of professional athletes like never before. The Players’ Tribune aims to provide unique insight into the daily sports conversation and to publish first-person stories directly from athletes. From video to podcasts to player polls and written pieces, The Tribune will strive to be “The Voice of the Game.”</t>
  </si>
  <si>
    <t>https://www.nea.com/portfolio/the-players-tribune</t>
  </si>
  <si>
    <t>https://www.theplayerstribune.com/</t>
  </si>
  <si>
    <t>THE WELL is a complete ecosystem for wellness, bringing together Western doctors and Eastern healers to collaborate, developing online content and personalized products and experiences that empower the community to take greater agency for their health.</t>
  </si>
  <si>
    <t>https://www.nea.com/portfolio/the-well</t>
  </si>
  <si>
    <t>https://www.the-well.com/</t>
  </si>
  <si>
    <t>Acquired
Acquired by Pinterest</t>
  </si>
  <si>
    <t>The Yes is a next generation AI-powered shopping platform poised to rewrite the architecture of e-commerce.</t>
  </si>
  <si>
    <t>https://www.nea.com/portfolio/the-yes</t>
  </si>
  <si>
    <t>https://www.theyes.com/</t>
  </si>
  <si>
    <t>Theorycraft is an independent game studio developing deep games that can be played with friends and serve the fundamental human needs of belonging, creativity and mastery.</t>
  </si>
  <si>
    <t>https://www.nea.com/portfolio/theorycraft-games</t>
  </si>
  <si>
    <t>https://www.theorycraftgames.com/</t>
  </si>
  <si>
    <t>Therachon</t>
  </si>
  <si>
    <t>Developing a novel biologic therapy for achondroplasia, the most common form of dwarfism</t>
  </si>
  <si>
    <t>https://www.nea.com/portfolio/therachon</t>
  </si>
  <si>
    <t>Thoughtfully-designed lingerie with half-cup sizes and patented sizing technology which empowers women to measure themselves at home.</t>
  </si>
  <si>
    <t>https://www.nea.com/portfolio/thirdlove</t>
  </si>
  <si>
    <t>https://www.thirdlove.com/</t>
  </si>
  <si>
    <t>Develops an automated threat intelligence platform ("TIP") that allows enterprises to monitor, audit, and defend against sophisticated adversaries and cyberattacks</t>
  </si>
  <si>
    <t>https://www.nea.com/portfolio/threatquotient</t>
  </si>
  <si>
    <t>https://www.threatq.com/</t>
  </si>
  <si>
    <t>Acquired
Acquired by Sanofi</t>
  </si>
  <si>
    <t>Tidal Therapeutics is a preclinical biotech company focused on developing nanoparticles that deliver mRNA to reprogram immune cells inside the body with applications in oncology and immune diseases.</t>
  </si>
  <si>
    <t>https://www.nea.com/portfolio/tidal-therapeutics</t>
  </si>
  <si>
    <t>https://www.sanofi.com/en</t>
  </si>
  <si>
    <t>Tigera provides Zero Trust network security and continuous compliance for Kubernetes platforms. Tigera Secure extends firewalls to Kubernetes by enabling enterprise security and compliance controls, with support for on-premises, multi-cloud, and legacy environments.</t>
  </si>
  <si>
    <t>https://www.nea.com/portfolio/tigera</t>
  </si>
  <si>
    <t>https://www.tigera.io/</t>
  </si>
  <si>
    <t>TimescaleDB is the first and only open-source time-series database to offer full, native SQL at scale. It combines the power, reliability, and ease-of-use of a relational database with the scalability typically seen in NoSQL databases.</t>
  </si>
  <si>
    <t>https://www.nea.com/portfolio/timescale</t>
  </si>
  <si>
    <t>https://www.timescale.com/</t>
  </si>
  <si>
    <t>https://www.nea.com/portfolio/together-ai</t>
  </si>
  <si>
    <t>https://www.together.ai/</t>
  </si>
  <si>
    <t>Research-driven artificial intelligence company that contributes leading open-source research, models, and datasets to advance the frontier of AI.</t>
  </si>
  <si>
    <t>Acquired
Acquired by Abbott Labs</t>
  </si>
  <si>
    <t>A clinical stage medical device company developing a novel catheter based mapping system used for guiding cardiac ablation procedures for the treatment of arrhythmias like atrial fibrillation</t>
  </si>
  <si>
    <t>https://www.nea.com/portfolio/topera</t>
  </si>
  <si>
    <t>https://www.abbott.com/</t>
  </si>
  <si>
    <t>Topia is a cloud-based platform for employee relocation and global mobility.</t>
  </si>
  <si>
    <t>https://www.nea.com/portfolio/topia</t>
  </si>
  <si>
    <t>https://www.topia.com/</t>
  </si>
  <si>
    <t>Acquired
Acquired by Skyward</t>
  </si>
  <si>
    <t>The competitive intelligence platform for digital marketers helping brands benchmark, track, and improve their online marketing</t>
  </si>
  <si>
    <t>https://www.nea.com/portfolio/trackmaven</t>
  </si>
  <si>
    <t>IPO/Public
NASDAQ: TCON</t>
  </si>
  <si>
    <t>Clinical stage biopharmaceutical company focused on development of novel therapeutics for cancer and age-related macular degeneration.</t>
  </si>
  <si>
    <t>https://www.nea.com/portfolio/tracon-pharmaceuticals</t>
  </si>
  <si>
    <t>https://traconpharma.com/</t>
  </si>
  <si>
    <t>Trading Dynamics</t>
  </si>
  <si>
    <t>Acquired
Acquired by Ariba</t>
  </si>
  <si>
    <t>Software platform for efficient and flexible online market creation.</t>
  </si>
  <si>
    <t>https://www.nea.com/portfolio/trading-dynamics</t>
  </si>
  <si>
    <t>Transfix is the leading freight marketplace connecting shippers to a national network of reliable carriers.</t>
  </si>
  <si>
    <t>https://www.nea.com/portfolio/transfix</t>
  </si>
  <si>
    <t>https://transfix.io/</t>
  </si>
  <si>
    <t>Transvascular</t>
  </si>
  <si>
    <t>New class of intervention for the treatment of vascular diseases and other disorders</t>
  </si>
  <si>
    <t>https://www.nea.com/portfolio/transvascular</t>
  </si>
  <si>
    <t>Acquired
Acquired by U.S. Bancorp</t>
  </si>
  <si>
    <t>A smarter expense solution, powered by budgets. TravelBank is here to redefine how people do expense reports and make spend predictable.</t>
  </si>
  <si>
    <t>https://www.nea.com/portfolio/travelbank</t>
  </si>
  <si>
    <t>https://travelbank.com/</t>
  </si>
  <si>
    <t>IPO/Public
NASDAQ: TRVN</t>
  </si>
  <si>
    <t>Discovering biased GPCR ligands that unlock new biology and avoid side effects as medicines for cardiovascular diseases, pain and inflammation</t>
  </si>
  <si>
    <t>https://www.nea.com/portfolio/trevena</t>
  </si>
  <si>
    <t>https://www.trevena.com/</t>
  </si>
  <si>
    <t>Tripod</t>
  </si>
  <si>
    <t>Acquired
Acquired by Lycos</t>
  </si>
  <si>
    <t>Online digital services</t>
  </si>
  <si>
    <t>https://www.nea.com/portfolio/tripod</t>
  </si>
  <si>
    <t>A next-gen healthcare payments platform that connects providers and suppliers to simplify healthcare supply chain product and payment flows.</t>
  </si>
  <si>
    <t>https://www.nea.com/portfolio/trivalence</t>
  </si>
  <si>
    <t>https://www.trivalence.com/</t>
  </si>
  <si>
    <t>IPO/Acquired
NASDAQ: TRIV
Acquired by Endologix</t>
  </si>
  <si>
    <t>Developing endovascular repair devices to treat abdominal aortic aneurysms</t>
  </si>
  <si>
    <t>https://www.nea.com/portfolio/trivascular</t>
  </si>
  <si>
    <t>https://endologix.com/</t>
  </si>
  <si>
    <t>Tulip brings the power of Industrial IoT and advanced analytics to the shop floor through its Manufacturing App Platform, filling the gap between rigid back-end manufacturing IT systems and the dynamic operations taking place on the shop floor.</t>
  </si>
  <si>
    <t>https://www.nea.com/portfolio/tulip</t>
  </si>
  <si>
    <t>https://tulip.co/</t>
  </si>
  <si>
    <t>Tune Therapeutics is orchestrating the power of the epigenome to treat complex, pervasive diseases that have long eluded treatment.</t>
  </si>
  <si>
    <t>https://www.nea.com/portfolio/tune-therapeutics</t>
  </si>
  <si>
    <t>https://tunetx.com/</t>
  </si>
  <si>
    <t>Acquired
Acquired by Apple</t>
  </si>
  <si>
    <t>Large-scale machine learning on graphs</t>
  </si>
  <si>
    <t>https://www.nea.com/portfolio/turi</t>
  </si>
  <si>
    <t>IPO/Public
NYSE: TUYA</t>
  </si>
  <si>
    <t>Tuya Smart is a global smart platform that enables products smarter for consumers, brands, OEM manufacturers and retail chains. It provides users with a one-stop smart home solution that covers hardware access, cloud services and APP software development, forming a service closed-loop of AI + manufacturing.</t>
  </si>
  <si>
    <t>https://www.nea.com/portfolio/tuya</t>
  </si>
  <si>
    <t>https://www.tuya.com/</t>
  </si>
  <si>
    <t>Twelve Labs makes video instantly, intelligently searchable and understandable with state-of-the-art video understanding technology that enables the accurate and timely discovery of valuable moments within an organization's vast sea of videos so that users can do and learn more.</t>
  </si>
  <si>
    <t>https://www.nea.com/portfolio/twelve-labs</t>
  </si>
  <si>
    <t>https://www.twelvelabs.io/</t>
  </si>
  <si>
    <t>A fundamental rethink of the radio access layer, created to make the mobile edge a distributed, cloud-scale datacenter rather than a network.</t>
  </si>
  <si>
    <t>https://www.nea.com/portfolio/uhana</t>
  </si>
  <si>
    <t>Ulink</t>
  </si>
  <si>
    <t>Resells telecom service of destination countries, in the form of prepaid SIM cards and data plans preloaded in rented MiFis, to Chinese travelers going overseas.</t>
  </si>
  <si>
    <t>https://www.nea.com/portfolio/ulink</t>
  </si>
  <si>
    <t>Acquired
Acquired by Merz
=</t>
  </si>
  <si>
    <t>Developer of a novel ultrasound-based medical device platform for the expanding non-invasive aesthetic treatments market</t>
  </si>
  <si>
    <t>https://www.nea.com/portfolio/ulthera</t>
  </si>
  <si>
    <t>https://ultherapy.com/?redirect=global.ultherapy.com</t>
  </si>
  <si>
    <t>UltraDNS</t>
  </si>
  <si>
    <t>Acquired
Acquired by Neustar</t>
  </si>
  <si>
    <t>Directory infrastructure provider</t>
  </si>
  <si>
    <t>https://www.nea.com/portfolio/ultradns</t>
  </si>
  <si>
    <t>Acquired
Acquired by Prove</t>
  </si>
  <si>
    <t>UnifyID is the first implicit authentication platform; its proprietary approach uses behavioral and environmental factors to identify users.</t>
  </si>
  <si>
    <t>https://www.nea.com/portfolio/unifyid</t>
  </si>
  <si>
    <t>Union</t>
  </si>
  <si>
    <t>Union (fka TabbedOut) is the easiest, smartest and most cost-effective POS on the market.</t>
  </si>
  <si>
    <t>https://www.nea.com/portfolio/union</t>
  </si>
  <si>
    <t>Acquired
Acquired by TeamViewer</t>
  </si>
  <si>
    <t>Upskill provides wearable technology to connect hands-on workers to the information, equipment, processes and people they need to do their jobs with greater efficiency and fewer errors across manufacturing, logistics and field services.</t>
  </si>
  <si>
    <t>https://www.nea.com/portfolio/upskill</t>
  </si>
  <si>
    <t>https://www.teamviewer.com/en/upskill/</t>
  </si>
  <si>
    <t>Acquired
Acquired by Elance Odesk</t>
  </si>
  <si>
    <t>Software solutions for services procurement and management (SPM)</t>
  </si>
  <si>
    <t>https://www.nea.com/portfolio/upwork-formerly-odesk</t>
  </si>
  <si>
    <t>https://www.upwork.com/</t>
  </si>
  <si>
    <t>IPO/Acquired
MFS Communications Company, Inc.</t>
  </si>
  <si>
    <t>Comprehensive range of Internet access options, applications and consumer services to businesses and on-line service providers</t>
  </si>
  <si>
    <t>https://www.nea.com/portfolio/uunet</t>
  </si>
  <si>
    <t>Provider of enterprise mobility solutions and mobile marketing for the Indian sub-continent and Middle East</t>
  </si>
  <si>
    <t>https://www.nea.com/portfolio/valuefirst</t>
  </si>
  <si>
    <t>https://www.vfirst.com/</t>
  </si>
  <si>
    <t>Acquired
Acquired by McKesson</t>
  </si>
  <si>
    <t>Comprehensive development, implementation and management solutions for radiation oncology centers</t>
  </si>
  <si>
    <t>https://www.nea.com/portfolio/vantage-oncology</t>
  </si>
  <si>
    <t>An early stage startup focused on building cloud-based wide area networking (WAN) as a service</t>
  </si>
  <si>
    <t>https://www.nea.com/portfolio/velocloud</t>
  </si>
  <si>
    <t>https://sase.vmware.com/</t>
  </si>
  <si>
    <t>IPO/Public
NASDAQ: VRTX</t>
  </si>
  <si>
    <t>Structural biology and organic chemistry-based human therapies and drugs</t>
  </si>
  <si>
    <t>https://www.nea.com/portfolio/vertex-pharmaceuticals</t>
  </si>
  <si>
    <t>Ultra-fast, grid-enabled column-oriented database software for data warehousing</t>
  </si>
  <si>
    <t>https://www.nea.com/portfolio/vertica</t>
  </si>
  <si>
    <t>https://www.vertica.com/</t>
  </si>
  <si>
    <t>Acquired
NYSE: BSX
Acquired by Boston Scientific</t>
  </si>
  <si>
    <t>Developing minimally invasive and motion preservation technologies for disorders of the spine</t>
  </si>
  <si>
    <t>https://www.nea.com/portfolio/vertiflex</t>
  </si>
  <si>
    <t>https://www.bostonscientific.com/en-US/products/indirect-decompression-system/superion-indirect-decompression-system.html</t>
  </si>
  <si>
    <t>Acquired
Acquired by Royal Philips</t>
  </si>
  <si>
    <t>Vesper Medical is shaping the future of treating deep venous disease through the creation of a next-generation, modular, and uniquely engineered venous stent portfolio that addresses the multiple anatomical challenges presented by the iliac and femoral veins and provides the ability to customize therapy.</t>
  </si>
  <si>
    <t>https://www.nea.com/portfolio/vesper-medical</t>
  </si>
  <si>
    <t>Acquired
Acquired by Fullscreen</t>
  </si>
  <si>
    <t>A simple way for anyone to capture, beautify, and share amazing videos with the world</t>
  </si>
  <si>
    <t>https://www.nea.com/portfolio/viddy</t>
  </si>
  <si>
    <t>Vimaan’s primary mission is to deliver computer vision and robotics solutions to solve long-standing inventory visibility, accuracy and quality challenges experienced in warehouses and the rest of the supply chain.</t>
  </si>
  <si>
    <t>https://www.nea.com/portfolio/vimaan-robotics</t>
  </si>
  <si>
    <t>Virata</t>
  </si>
  <si>
    <t>IPO/Public
Globespan</t>
  </si>
  <si>
    <t>Delivers integrated software and systems on a chip solutions to the broadband local loop market</t>
  </si>
  <si>
    <t>https://www.nea.com/portfolio/virata</t>
  </si>
  <si>
    <t>Acquired
Acquired by NTT Communications Corporation</t>
  </si>
  <si>
    <t>Managed private networking solutions</t>
  </si>
  <si>
    <t>https://www.nea.com/portfolio/virtela</t>
  </si>
  <si>
    <t>In an era where every data transfer is a potential data leak, Virtru makes it possible for everyone to protect their content by offering easy and affordable email and file encryption. From individuals to large enterprises, Virtru lets people control who receives, reviews, and retains their information – wherever it travels, throughout its lifespan.</t>
  </si>
  <si>
    <t>https://www.nea.com/portfolio/virtru</t>
  </si>
  <si>
    <t>IPO/Acquired
NASDAQ: VTAE
Acquired by Allergan</t>
  </si>
  <si>
    <t>Drug discovery company developing optimized drugs using proprietary computational drug design platform</t>
  </si>
  <si>
    <t>https://www.nea.com/portfolio/vitae-pharmaceuticals</t>
  </si>
  <si>
    <t>Acquired
Acquired by SolarWinds</t>
  </si>
  <si>
    <t>A SaaS solution that provides a real-time, unified view of the performance and behavior of the entire data layer across a diversity of database technologies and paradigms, including MySQL, PostreSQL, Redis, MongoDB, and RDS</t>
  </si>
  <si>
    <t>https://www.nea.com/portfolio/vividcortex</t>
  </si>
  <si>
    <t>IPO/Public
TSX, VXS.TO</t>
  </si>
  <si>
    <t>Semiconductors for multimedia encoding and transcoding</t>
  </si>
  <si>
    <t>https://www.nea.com/portfolio/vixs-systems</t>
  </si>
  <si>
    <t>Vori Health is your all-in-one musculoskeletal care program that meets you where you are at. We personalize your care plan to help you achieve your health goals.</t>
  </si>
  <si>
    <t>https://www.nea.com/portfolio/vori-health</t>
  </si>
  <si>
    <t>Private
Sucampo</t>
  </si>
  <si>
    <t>Biotech company built around a Phase 2/3 ready asset from NIH / NCATS, cyclodextrin, for the treatment of Niemann-Pick C (NPC)</t>
  </si>
  <si>
    <t>https://www.nea.com/portfolio/vtesse</t>
  </si>
  <si>
    <t>Acquired
Acquired by PCCW</t>
  </si>
  <si>
    <t>Provides service for mobile users to search and watch web videos</t>
  </si>
  <si>
    <t>https://www.nea.com/portfolio/vuclip</t>
  </si>
  <si>
    <t>Developing a next generation integrated imaging and ablation system for cardiac electrophysiologists</t>
  </si>
  <si>
    <t>https://www.nea.com/portfolio/vytronus</t>
  </si>
  <si>
    <t>A mobile first peer to peer marketplace for secondhand goods.</t>
  </si>
  <si>
    <t>https://www.nea.com/portfolio/wallapop</t>
  </si>
  <si>
    <t>Waymark is a public benefit corporation providing community-based, tech-enabled healthcare services for Medicaid beneficiaries, in partnership with primary care providers and health plans.</t>
  </si>
  <si>
    <t>https://www.nea.com/portfolio/waymark</t>
  </si>
  <si>
    <t>Internet access service provider, integrating applications and software over wired and wireless carrier grade networks</t>
  </si>
  <si>
    <t>https://www.nea.com/portfolio/wayport</t>
  </si>
  <si>
    <t>Weaviate is an open-source vector search engine that allows users to store data objects and vector embeddings from ML-models and scale seamlessly into billions of data objects.</t>
  </si>
  <si>
    <t>https://www.nea.com/portfolio/weaviate</t>
  </si>
  <si>
    <t>IPO/Acquired
NASDAQ: WEBX
Acquired by Cisco Systems</t>
  </si>
  <si>
    <t>Internet infrastructure for interactive meetings</t>
  </si>
  <si>
    <t>https://www.nea.com/portfolio/webex-communications</t>
  </si>
  <si>
    <t>IPO/Public
NASDAQ: WBMD</t>
  </si>
  <si>
    <t>Provides Internet-based, on-line healthcare information and services focusing on business-to-business applications</t>
  </si>
  <si>
    <t>https://www.nea.com/portfolio/webmd-healtheon</t>
  </si>
  <si>
    <t>Acquired
Acquired by Virgin Pulse</t>
  </si>
  <si>
    <t>Welltok’s CaféWell Health Optimization Platform enables population health managers to guide and incentivize consumers to optimize their health and lower healthcare costs.</t>
  </si>
  <si>
    <t>https://www.nea.com/portfolio/welltok</t>
  </si>
  <si>
    <t>Wheelhouse powers revenue management &amp; financial intelligence for the next generation of the accommodations space.</t>
  </si>
  <si>
    <t>https://www.nea.com/portfolio/wheelhouse</t>
  </si>
  <si>
    <t>IPO/Acquired</t>
  </si>
  <si>
    <t>Wheels Up is a membership-based private aviation company that significantly reduces the cost of flying privately while providing unparalleled flexibility and service.</t>
  </si>
  <si>
    <t>https://www.nea.com/portfolio/wheels-up</t>
  </si>
  <si>
    <t>The first all-in-one, mobile, wireless, and hands-free wearable breast pump.</t>
  </si>
  <si>
    <t>https://www.nea.com/portfolio/willow</t>
  </si>
  <si>
    <t>Wizard is the conversational commerce platform empowering brands to engage, market, and transact with consumers—all via text.</t>
  </si>
  <si>
    <t>https://www.nea.com/portfolio/wizard</t>
  </si>
  <si>
    <t>WNP Communications</t>
  </si>
  <si>
    <t>Acquired
Acquired by NextLink</t>
  </si>
  <si>
    <t>Holder of local multipoint distribution service (LMDS) licenses delivering high speed communications</t>
  </si>
  <si>
    <t>https://www.nea.com/portfolio/wnp-communications</t>
  </si>
  <si>
    <t>Woebot is the world's first mental health chatbot supported by a controlled research trial. Woebot was founded to address the global mental health crisis with tools to cognitive behavior therapy accessible, engaging and stigma-free for millions of people who experience symptoms of anxiety and depression.</t>
  </si>
  <si>
    <t>https://www.nea.com/portfolio/woebot</t>
  </si>
  <si>
    <t>Wonder is a new kind of at-home dining experience that combines the convenience of delivery with the high quality of the best dine-in restaurants.</t>
  </si>
  <si>
    <t>https://www.nea.com/portfolio/wonder</t>
  </si>
  <si>
    <t>IPO/Public
NYSE: WDAY</t>
  </si>
  <si>
    <t>SaaS products for human capital management, financial management, and payroll</t>
  </si>
  <si>
    <t>https://www.nea.com/portfolio/workday</t>
  </si>
  <si>
    <t>Workera is the precision upskilling platform helping enterprises, governments and individuals upskill and reskill to meet the critical demand for key technological capabilities including data science, machine learning and artificial intelligence. The Workera platform provides AI-driven mentorship at scale with its adaptive assessments and personalized learning plans that drive measurable results to close the skills gap.</t>
  </si>
  <si>
    <t>https://www.nea.com/portfolio/workera</t>
  </si>
  <si>
    <t>World Labs is a spatial intelligence AI company building Large World Models (LWMs) to perceive, generate, and interact with the 3D world.</t>
  </si>
  <si>
    <t>https://www.nea.com/portfolio/world-labs</t>
  </si>
  <si>
    <t>Enterprise grade virtualization solutions</t>
  </si>
  <si>
    <t>https://www.nea.com/portfolio/xensource</t>
  </si>
  <si>
    <t>Acquired
Acquired by Viacom</t>
  </si>
  <si>
    <t>Online gaming platform</t>
  </si>
  <si>
    <t>https://www.nea.com/portfolio/xfire</t>
  </si>
  <si>
    <t>Xoc Pharmaceuticals is an early-stage, biopharmaceutical company focused on the development of innovative therapeutics. The Company designs novel products “from the ground up” by leveraging information on existing compounds with established pharmacological and clinical history and using its proprietary design and development process to address unmet medical needs, primarily in the CNS disease space. Xoc’s initial product programs are in migraine prevention and Parkinson’s disease maintenance.</t>
  </si>
  <si>
    <t>https://www.nea.com/portfolio/xoc-pharmaceuticals</t>
  </si>
  <si>
    <t>IPO/Public
NASDAQ: XOOM</t>
  </si>
  <si>
    <t>Leading provider of online money transfer services, allowing individuals to send money quickly and inexpensively from the internet</t>
  </si>
  <si>
    <t>https://www.nea.com/portfolio/xoom-corporation</t>
  </si>
  <si>
    <t>Xros</t>
  </si>
  <si>
    <t>Acquired
Acquired by Nortel</t>
  </si>
  <si>
    <t>Developer of state-of-the-art fiber optic switching systems</t>
  </si>
  <si>
    <t>https://www.nea.com/portfolio/xros</t>
  </si>
  <si>
    <t>XTuit Pharmaceuticals, Inc. is a biopharmaceutical company developing novel microenvironment-activated therapeutics targeting key mechanisms resulting in hypoxia, decreased drug uptake, drug resistance, and decreased immune response.</t>
  </si>
  <si>
    <t>https://www.nea.com/portfolio/xtuit</t>
  </si>
  <si>
    <t>Yubico sets new global standards for simple and secure access to computers, servers, and internet accounts. The company’s core invention, the YubiKey, delivers strong hardware protection, with a simple touch, across any number of IT systems and online services.</t>
  </si>
  <si>
    <t>https://www.nea.com/portfolio/yubico</t>
  </si>
  <si>
    <t>IPO/Public
NASDAQ: ZFOX</t>
  </si>
  <si>
    <t>ZeroFox, the leader in external cybersecurity, exposes, disrupts, and responds to threats outside the perimeter, protecting brands, people, assets and data.</t>
  </si>
  <si>
    <t>https://www.nea.com/portfolio/zerofox</t>
  </si>
  <si>
    <t>IPO/Public
NASDAQ: DZSI</t>
  </si>
  <si>
    <t>Next-generation local loop infrastructure equipment</t>
  </si>
  <si>
    <t>https://www.nea.com/portfolio/zhone-technologies</t>
  </si>
  <si>
    <t>Acquired
Acquired by Novartis</t>
  </si>
  <si>
    <t>Clinical stage biotechnology company progressing novel &amp; differentiated therapies for inflammatory and allergic diseases, using both oral and topical routes of delivery.</t>
  </si>
  <si>
    <t>https://www.nea.com/portfolio/ziarco</t>
  </si>
  <si>
    <t>Zoomdata is a highly scalable BI platform designed to enable interactive access to all your data, without requiring semantic modeling or data movement.</t>
  </si>
  <si>
    <t>https://www.nea.com/portfolio/zoomdata</t>
  </si>
  <si>
    <t>Zuoyebang is a leading online K12 education platform in China, providing technology empowered tools, online learning content and after-school tutoring to students all over China.</t>
  </si>
  <si>
    <t>https://www.nea.com/portfolio/zuoyebang</t>
  </si>
  <si>
    <t xml:space="preserve">master vc list i have tried </t>
  </si>
  <si>
    <t>grelock still doing</t>
  </si>
  <si>
    <t xml:space="preserve">benchmark no list </t>
  </si>
  <si>
    <t>• Accel</t>
  </si>
  <si>
    <t>done</t>
  </si>
  <si>
    <t>• Andreessen Horowitz</t>
  </si>
  <si>
    <t>• Bain Capital Ventures</t>
  </si>
  <si>
    <t>• Benchmark Capital</t>
  </si>
  <si>
    <t>• Bessemer Venture Partners</t>
  </si>
  <si>
    <t>• Coatue Management</t>
  </si>
  <si>
    <t>• First Round Capital</t>
  </si>
  <si>
    <t>• Founders Fund</t>
  </si>
  <si>
    <t>• General Catalyst</t>
  </si>
  <si>
    <t>• Greylock Partners</t>
  </si>
  <si>
    <t>• Index Ventures</t>
  </si>
  <si>
    <t>• Insight Partners</t>
  </si>
  <si>
    <t>• Kleiner Perkins</t>
  </si>
  <si>
    <t>• Lightspeed Venture Partners</t>
  </si>
  <si>
    <t>• New Enterprise Associates (NEA)</t>
  </si>
  <si>
    <t>• Sequoia Capital</t>
  </si>
  <si>
    <t>• SoftBank Vision Fund</t>
  </si>
  <si>
    <t>• Tiger Global Management</t>
  </si>
  <si>
    <t>• Union Square Ventures</t>
  </si>
  <si>
    <t>• Y Combinator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</si>
</sst>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12">
    <font>
      <sz val="10.0"/>
      <color rgb="FF000000"/>
      <name val="Arial"/>
      <scheme val="minor"/>
    </font>
    <font>
      <color theme="1"/>
      <name val="Arial"/>
      <scheme val="minor"/>
    </font>
    <font>
      <u/>
      <color rgb="FF0000FF"/>
    </font>
    <font>
      <u/>
      <color rgb="FF0000FF"/>
    </font>
    <font>
      <u/>
      <color rgb="FF0000FF"/>
    </font>
    <font>
      <u/>
      <color rgb="FF0000FF"/>
    </font>
    <font>
      <u/>
      <color rgb="FF0000FF"/>
    </font>
    <font>
      <u/>
      <color rgb="FF0000FF"/>
    </font>
    <font>
      <color theme="1"/>
      <name val="Arial"/>
    </font>
    <font>
      <b/>
      <color theme="1"/>
      <name val="Arial"/>
      <scheme val="minor"/>
    </font>
    <font>
      <b/>
      <color theme="1"/>
      <name val="Arial"/>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Font="1"/>
    <xf borderId="0" fillId="0" fontId="3" numFmtId="0" xfId="0" applyAlignment="1" applyFont="1">
      <alignment readingOrder="0"/>
    </xf>
    <xf borderId="0" fillId="0" fontId="4" numFmtId="0" xfId="0" applyFont="1"/>
    <xf borderId="0" fillId="0" fontId="1" numFmtId="0" xfId="0" applyFont="1"/>
    <xf borderId="0" fillId="0" fontId="5" numFmtId="0" xfId="0" applyAlignment="1" applyFont="1">
      <alignment readingOrder="0"/>
    </xf>
    <xf borderId="0" fillId="0" fontId="1" numFmtId="0" xfId="0" applyAlignment="1" applyFont="1">
      <alignment readingOrder="0" shrinkToFit="0" wrapText="0"/>
    </xf>
    <xf borderId="0" fillId="0" fontId="1" numFmtId="4" xfId="0" applyAlignment="1" applyFont="1" applyNumberFormat="1">
      <alignment readingOrder="0" shrinkToFit="0" wrapText="0"/>
    </xf>
    <xf borderId="0" fillId="0" fontId="1" numFmtId="49" xfId="0" applyAlignment="1" applyFont="1" applyNumberFormat="1">
      <alignment readingOrder="0" shrinkToFit="0" wrapText="0"/>
    </xf>
    <xf borderId="0" fillId="0" fontId="1" numFmtId="0" xfId="0" applyAlignment="1" applyFont="1">
      <alignment shrinkToFit="0" wrapText="0"/>
    </xf>
    <xf borderId="0" fillId="0" fontId="1" numFmtId="0" xfId="0" applyAlignment="1" applyFont="1">
      <alignment shrinkToFit="0" wrapText="0"/>
    </xf>
    <xf quotePrefix="1" borderId="0" fillId="0" fontId="1" numFmtId="0" xfId="0" applyAlignment="1" applyFont="1">
      <alignment readingOrder="0" shrinkToFit="0" wrapText="0"/>
    </xf>
    <xf borderId="0" fillId="0" fontId="6" numFmtId="0" xfId="0" applyAlignment="1" applyFont="1">
      <alignment shrinkToFit="0" wrapText="0"/>
    </xf>
    <xf borderId="0" fillId="0" fontId="7" numFmtId="0" xfId="0" applyAlignment="1" applyFont="1">
      <alignment readingOrder="0" shrinkToFit="0" wrapText="0"/>
    </xf>
    <xf borderId="0" fillId="0" fontId="1" numFmtId="0" xfId="0" applyAlignment="1" applyFont="1">
      <alignment shrinkToFit="0" wrapText="0"/>
    </xf>
    <xf borderId="0" fillId="0" fontId="1" numFmtId="0" xfId="0" applyAlignment="1" applyFont="1">
      <alignment readingOrder="0" shrinkToFit="0" wrapText="0"/>
    </xf>
    <xf borderId="0" fillId="0" fontId="1" numFmtId="4" xfId="0" applyAlignment="1" applyFont="1" applyNumberFormat="1">
      <alignment shrinkToFit="0" wrapText="0"/>
    </xf>
    <xf borderId="0" fillId="0" fontId="8" numFmtId="4" xfId="0" applyAlignment="1" applyFont="1" applyNumberFormat="1">
      <alignment shrinkToFit="0" vertical="bottom" wrapText="0"/>
    </xf>
    <xf borderId="0" fillId="0" fontId="8" numFmtId="49" xfId="0" applyAlignment="1" applyFont="1" applyNumberFormat="1">
      <alignment shrinkToFit="0" vertical="bottom" wrapText="0"/>
    </xf>
    <xf borderId="0" fillId="0" fontId="8" numFmtId="49" xfId="0" applyAlignment="1" applyFont="1" applyNumberFormat="1">
      <alignment readingOrder="0" shrinkToFit="0" vertical="bottom" wrapText="0"/>
    </xf>
    <xf quotePrefix="1" borderId="0" fillId="0" fontId="1" numFmtId="0" xfId="0" applyAlignment="1" applyFont="1">
      <alignment readingOrder="0"/>
    </xf>
    <xf borderId="0" fillId="0" fontId="1" numFmtId="0" xfId="0" applyAlignment="1" applyFont="1">
      <alignment readingOrder="0"/>
    </xf>
    <xf borderId="0" fillId="0" fontId="9" numFmtId="0" xfId="0" applyAlignment="1" applyFont="1">
      <alignment readingOrder="0" shrinkToFit="0" wrapText="0"/>
    </xf>
    <xf borderId="0" fillId="0" fontId="9" numFmtId="49" xfId="0" applyAlignment="1" applyFont="1" applyNumberFormat="1">
      <alignment readingOrder="0" shrinkToFit="0" wrapText="0"/>
    </xf>
    <xf borderId="0" fillId="0" fontId="10" numFmtId="49" xfId="0" applyAlignment="1" applyFont="1" applyNumberFormat="1">
      <alignment shrinkToFit="0" vertical="bottom" wrapText="0"/>
    </xf>
    <xf borderId="0" fillId="0" fontId="9" numFmtId="0" xfId="0" applyAlignment="1" applyFont="1">
      <alignment shrinkToFit="0" wrapText="0"/>
    </xf>
    <xf borderId="0" fillId="0" fontId="11" numFmtId="0" xfId="0" applyAlignment="1" applyFont="1">
      <alignment readingOrder="0" shrinkToFit="0" wrapText="0"/>
    </xf>
    <xf borderId="0" fillId="0" fontId="1" numFmtId="164" xfId="0" applyAlignment="1" applyFont="1" applyNumberFormat="1">
      <alignment readingOrder="0"/>
    </xf>
    <xf borderId="0" fillId="0" fontId="1" numFmtId="0" xfId="0" applyAlignment="1" applyFont="1">
      <alignment horizontal="left" readingOrder="0"/>
    </xf>
    <xf borderId="0" fillId="0" fontId="9" numFmtId="0" xfId="0" applyAlignment="1" applyFont="1">
      <alignment readingOrder="0"/>
    </xf>
    <xf borderId="0" fillId="0" fontId="9" numFmtId="0" xfId="0" applyFont="1"/>
  </cellXfs>
  <cellStyles count="1">
    <cellStyle xfId="0" name="Normal" builtinId="0"/>
  </cellStyles>
  <dxfs count="2">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mailto:jack.morton@kkminsurance.com" TargetMode="External"/><Relationship Id="rId22" Type="http://schemas.openxmlformats.org/officeDocument/2006/relationships/hyperlink" Target="mailto:rishab_bhatia248@berkeley.edu" TargetMode="External"/><Relationship Id="rId21" Type="http://schemas.openxmlformats.org/officeDocument/2006/relationships/hyperlink" Target="mailto:cgorey@usc.edu" TargetMode="External"/><Relationship Id="rId24" Type="http://schemas.openxmlformats.org/officeDocument/2006/relationships/hyperlink" Target="mailto:yousefahmed0066@gmail.com" TargetMode="External"/><Relationship Id="rId23" Type="http://schemas.openxmlformats.org/officeDocument/2006/relationships/hyperlink" Target="mailto:founders@tallyhq.com" TargetMode="External"/><Relationship Id="rId1" Type="http://schemas.openxmlformats.org/officeDocument/2006/relationships/hyperlink" Target="mailto:larrypea3@gmail.com" TargetMode="External"/><Relationship Id="rId2" Type="http://schemas.openxmlformats.org/officeDocument/2006/relationships/hyperlink" Target="mailto:boringbuildscompany@gmail.com" TargetMode="External"/><Relationship Id="rId3" Type="http://schemas.openxmlformats.org/officeDocument/2006/relationships/hyperlink" Target="mailto:rl3431@columbia.edu" TargetMode="External"/><Relationship Id="rId4" Type="http://schemas.openxmlformats.org/officeDocument/2006/relationships/hyperlink" Target="mailto:rhitsingh22@gmail.com" TargetMode="External"/><Relationship Id="rId9" Type="http://schemas.openxmlformats.org/officeDocument/2006/relationships/hyperlink" Target="mailto:areebkhan280@gmail.com" TargetMode="External"/><Relationship Id="rId26" Type="http://schemas.openxmlformats.org/officeDocument/2006/relationships/hyperlink" Target="mailto:bprithvi2003@gmail.com" TargetMode="External"/><Relationship Id="rId25" Type="http://schemas.openxmlformats.org/officeDocument/2006/relationships/hyperlink" Target="mailto:visualstudiosam7@gmail.com" TargetMode="External"/><Relationship Id="rId28" Type="http://schemas.openxmlformats.org/officeDocument/2006/relationships/hyperlink" Target="mailto:noah23olsen@gmail.com" TargetMode="External"/><Relationship Id="rId27" Type="http://schemas.openxmlformats.org/officeDocument/2006/relationships/hyperlink" Target="mailto:cierredeux@gmail.com" TargetMode="External"/><Relationship Id="rId5" Type="http://schemas.openxmlformats.org/officeDocument/2006/relationships/hyperlink" Target="mailto:rishi27@stanford.edu" TargetMode="External"/><Relationship Id="rId6" Type="http://schemas.openxmlformats.org/officeDocument/2006/relationships/hyperlink" Target="mailto:rohan@hirefly.ai" TargetMode="External"/><Relationship Id="rId29" Type="http://schemas.openxmlformats.org/officeDocument/2006/relationships/hyperlink" Target="mailto:anand.agrawal2005@gmail.com" TargetMode="External"/><Relationship Id="rId7" Type="http://schemas.openxmlformats.org/officeDocument/2006/relationships/hyperlink" Target="mailto:teddyoweh@gmail.com" TargetMode="External"/><Relationship Id="rId8" Type="http://schemas.openxmlformats.org/officeDocument/2006/relationships/hyperlink" Target="mailto:kyler.y.wang@gmail.com" TargetMode="External"/><Relationship Id="rId31" Type="http://schemas.openxmlformats.org/officeDocument/2006/relationships/hyperlink" Target="mailto:jmesser@ramp.com" TargetMode="External"/><Relationship Id="rId30" Type="http://schemas.openxmlformats.org/officeDocument/2006/relationships/hyperlink" Target="mailto:beckett.devoe@gmail.com" TargetMode="External"/><Relationship Id="rId11" Type="http://schemas.openxmlformats.org/officeDocument/2006/relationships/hyperlink" Target="mailto:raymond.cr.wang@gmail.com" TargetMode="External"/><Relationship Id="rId33" Type="http://schemas.openxmlformats.org/officeDocument/2006/relationships/hyperlink" Target="mailto:astauf2@gmail.com" TargetMode="External"/><Relationship Id="rId10" Type="http://schemas.openxmlformats.org/officeDocument/2006/relationships/hyperlink" Target="mailto:akennedy1929@gmail.com" TargetMode="External"/><Relationship Id="rId32" Type="http://schemas.openxmlformats.org/officeDocument/2006/relationships/hyperlink" Target="mailto:julius.thimm@slush.org" TargetMode="External"/><Relationship Id="rId13" Type="http://schemas.openxmlformats.org/officeDocument/2006/relationships/hyperlink" Target="mailto:shaunak1206@gmail.com" TargetMode="External"/><Relationship Id="rId35" Type="http://schemas.openxmlformats.org/officeDocument/2006/relationships/hyperlink" Target="mailto:bobsm979@gmail.com" TargetMode="External"/><Relationship Id="rId12" Type="http://schemas.openxmlformats.org/officeDocument/2006/relationships/hyperlink" Target="mailto:jbguo@umich.edu" TargetMode="External"/><Relationship Id="rId34" Type="http://schemas.openxmlformats.org/officeDocument/2006/relationships/hyperlink" Target="mailto:austin_f_liu@brown.edu" TargetMode="External"/><Relationship Id="rId15" Type="http://schemas.openxmlformats.org/officeDocument/2006/relationships/hyperlink" Target="mailto:vedantkhanna@gmail.com" TargetMode="External"/><Relationship Id="rId37" Type="http://schemas.openxmlformats.org/officeDocument/2006/relationships/hyperlink" Target="mailto:alphzben103010@gmail.com" TargetMode="External"/><Relationship Id="rId14" Type="http://schemas.openxmlformats.org/officeDocument/2006/relationships/hyperlink" Target="mailto:ananyakgarg25@gmail.com" TargetMode="External"/><Relationship Id="rId36" Type="http://schemas.openxmlformats.org/officeDocument/2006/relationships/hyperlink" Target="mailto:steffyfifahd@gmail.com" TargetMode="External"/><Relationship Id="rId17" Type="http://schemas.openxmlformats.org/officeDocument/2006/relationships/hyperlink" Target="mailto:aaron.ross1206@gmail.com" TargetMode="External"/><Relationship Id="rId16" Type="http://schemas.openxmlformats.org/officeDocument/2006/relationships/hyperlink" Target="mailto:clr461@nyu.edu" TargetMode="External"/><Relationship Id="rId38" Type="http://schemas.openxmlformats.org/officeDocument/2006/relationships/drawing" Target="../drawings/drawing1.xml"/><Relationship Id="rId19" Type="http://schemas.openxmlformats.org/officeDocument/2006/relationships/hyperlink" Target="mailto:vvictor.llin@gmail.com" TargetMode="External"/><Relationship Id="rId18" Type="http://schemas.openxmlformats.org/officeDocument/2006/relationships/hyperlink" Target="mailto:sdw4@rice.edu" TargetMode="External"/></Relationships>
</file>

<file path=xl/worksheets/_rels/sheet2.xml.rels><?xml version="1.0" encoding="UTF-8" standalone="yes"?><Relationships xmlns="http://schemas.openxmlformats.org/package/2006/relationships"><Relationship Id="rId392" Type="http://schemas.openxmlformats.org/officeDocument/2006/relationships/hyperlink" Target="http://convictional.com" TargetMode="External"/><Relationship Id="rId391" Type="http://schemas.openxmlformats.org/officeDocument/2006/relationships/hyperlink" Target="http://cratejoy.com" TargetMode="External"/><Relationship Id="rId390" Type="http://schemas.openxmlformats.org/officeDocument/2006/relationships/hyperlink" Target="http://controlhub.com" TargetMode="External"/><Relationship Id="rId2180" Type="http://schemas.openxmlformats.org/officeDocument/2006/relationships/hyperlink" Target="http://dfinity.org" TargetMode="External"/><Relationship Id="rId2181" Type="http://schemas.openxmlformats.org/officeDocument/2006/relationships/hyperlink" Target="http://decagon.ai" TargetMode="External"/><Relationship Id="rId2182" Type="http://schemas.openxmlformats.org/officeDocument/2006/relationships/hyperlink" Target="http://dialpad.com" TargetMode="External"/><Relationship Id="rId2183" Type="http://schemas.openxmlformats.org/officeDocument/2006/relationships/hyperlink" Target="http://deel.com" TargetMode="External"/><Relationship Id="rId385" Type="http://schemas.openxmlformats.org/officeDocument/2006/relationships/hyperlink" Target="http://cortex.io" TargetMode="External"/><Relationship Id="rId2184" Type="http://schemas.openxmlformats.org/officeDocument/2006/relationships/hyperlink" Target="http://dispatch.ai" TargetMode="External"/><Relationship Id="rId384" Type="http://schemas.openxmlformats.org/officeDocument/2006/relationships/hyperlink" Target="http://confidotech.com" TargetMode="External"/><Relationship Id="rId2185" Type="http://schemas.openxmlformats.org/officeDocument/2006/relationships/hyperlink" Target="http://deepcell.com" TargetMode="External"/><Relationship Id="rId383" Type="http://schemas.openxmlformats.org/officeDocument/2006/relationships/hyperlink" Target="http://copilot.com" TargetMode="External"/><Relationship Id="rId2186" Type="http://schemas.openxmlformats.org/officeDocument/2006/relationships/hyperlink" Target="http://distributional.com" TargetMode="External"/><Relationship Id="rId382" Type="http://schemas.openxmlformats.org/officeDocument/2006/relationships/hyperlink" Target="http://confidentlims.com" TargetMode="External"/><Relationship Id="rId2187" Type="http://schemas.openxmlformats.org/officeDocument/2006/relationships/hyperlink" Target="http://deeprmusic.com" TargetMode="External"/><Relationship Id="rId389" Type="http://schemas.openxmlformats.org/officeDocument/2006/relationships/hyperlink" Target="http://coursedog.com" TargetMode="External"/><Relationship Id="rId2188" Type="http://schemas.openxmlformats.org/officeDocument/2006/relationships/hyperlink" Target="http://divvyhomes.com" TargetMode="External"/><Relationship Id="rId388" Type="http://schemas.openxmlformats.org/officeDocument/2006/relationships/hyperlink" Target="http://contraforce.com" TargetMode="External"/><Relationship Id="rId2189" Type="http://schemas.openxmlformats.org/officeDocument/2006/relationships/hyperlink" Target="http://djv.ai" TargetMode="External"/><Relationship Id="rId387" Type="http://schemas.openxmlformats.org/officeDocument/2006/relationships/hyperlink" Target="http://courier.com" TargetMode="External"/><Relationship Id="rId386" Type="http://schemas.openxmlformats.org/officeDocument/2006/relationships/hyperlink" Target="http://contalink.com" TargetMode="External"/><Relationship Id="rId381" Type="http://schemas.openxmlformats.org/officeDocument/2006/relationships/hyperlink" Target="http://gocopia.com" TargetMode="External"/><Relationship Id="rId380" Type="http://schemas.openxmlformats.org/officeDocument/2006/relationships/hyperlink" Target="http://comprarapida.co" TargetMode="External"/><Relationship Id="rId379" Type="http://schemas.openxmlformats.org/officeDocument/2006/relationships/hyperlink" Target="http://convictional.com" TargetMode="External"/><Relationship Id="rId2170" Type="http://schemas.openxmlformats.org/officeDocument/2006/relationships/hyperlink" Target="http://djv.ai" TargetMode="External"/><Relationship Id="rId2171" Type="http://schemas.openxmlformats.org/officeDocument/2006/relationships/hyperlink" Target="http://daredrop.com" TargetMode="External"/><Relationship Id="rId2172" Type="http://schemas.openxmlformats.org/officeDocument/2006/relationships/hyperlink" Target="http://delphix.com" TargetMode="External"/><Relationship Id="rId374" Type="http://schemas.openxmlformats.org/officeDocument/2006/relationships/hyperlink" Target="http://compgun.com" TargetMode="External"/><Relationship Id="rId2173" Type="http://schemas.openxmlformats.org/officeDocument/2006/relationships/hyperlink" Target="http://databricks.com" TargetMode="External"/><Relationship Id="rId373" Type="http://schemas.openxmlformats.org/officeDocument/2006/relationships/hyperlink" Target="http://contalink.com" TargetMode="External"/><Relationship Id="rId2174" Type="http://schemas.openxmlformats.org/officeDocument/2006/relationships/hyperlink" Target="http://datanomik.com" TargetMode="External"/><Relationship Id="rId372" Type="http://schemas.openxmlformats.org/officeDocument/2006/relationships/hyperlink" Target="http://command.ai" TargetMode="External"/><Relationship Id="rId2175" Type="http://schemas.openxmlformats.org/officeDocument/2006/relationships/hyperlink" Target="http://descript.com" TargetMode="External"/><Relationship Id="rId371" Type="http://schemas.openxmlformats.org/officeDocument/2006/relationships/hyperlink" Target="http://confidotech.com" TargetMode="External"/><Relationship Id="rId2176" Type="http://schemas.openxmlformats.org/officeDocument/2006/relationships/hyperlink" Target="http://godaylight.com" TargetMode="External"/><Relationship Id="rId378" Type="http://schemas.openxmlformats.org/officeDocument/2006/relationships/hyperlink" Target="http://mongohq.com" TargetMode="External"/><Relationship Id="rId2177" Type="http://schemas.openxmlformats.org/officeDocument/2006/relationships/hyperlink" Target="http://deso.org" TargetMode="External"/><Relationship Id="rId377" Type="http://schemas.openxmlformats.org/officeDocument/2006/relationships/hyperlink" Target="http://controlhub.com" TargetMode="External"/><Relationship Id="rId2178" Type="http://schemas.openxmlformats.org/officeDocument/2006/relationships/hyperlink" Target="http://devoted.com" TargetMode="External"/><Relationship Id="rId376" Type="http://schemas.openxmlformats.org/officeDocument/2006/relationships/hyperlink" Target="http://complif.com" TargetMode="External"/><Relationship Id="rId2179" Type="http://schemas.openxmlformats.org/officeDocument/2006/relationships/hyperlink" Target="http://getdbt.com" TargetMode="External"/><Relationship Id="rId375" Type="http://schemas.openxmlformats.org/officeDocument/2006/relationships/hyperlink" Target="http://contraforce.com" TargetMode="External"/><Relationship Id="rId2190" Type="http://schemas.openxmlformats.org/officeDocument/2006/relationships/hyperlink" Target="http://donotpay.com" TargetMode="External"/><Relationship Id="rId2191" Type="http://schemas.openxmlformats.org/officeDocument/2006/relationships/hyperlink" Target="http://delphix.com" TargetMode="External"/><Relationship Id="rId2192" Type="http://schemas.openxmlformats.org/officeDocument/2006/relationships/hyperlink" Target="http://doppel.com" TargetMode="External"/><Relationship Id="rId2193" Type="http://schemas.openxmlformats.org/officeDocument/2006/relationships/hyperlink" Target="http://doxel.ai" TargetMode="External"/><Relationship Id="rId2194" Type="http://schemas.openxmlformats.org/officeDocument/2006/relationships/hyperlink" Target="http://descript.com" TargetMode="External"/><Relationship Id="rId396" Type="http://schemas.openxmlformats.org/officeDocument/2006/relationships/hyperlink" Target="http://copilot.com" TargetMode="External"/><Relationship Id="rId2195" Type="http://schemas.openxmlformats.org/officeDocument/2006/relationships/hyperlink" Target="http://deso.org" TargetMode="External"/><Relationship Id="rId395" Type="http://schemas.openxmlformats.org/officeDocument/2006/relationships/hyperlink" Target="http://credibook.com" TargetMode="External"/><Relationship Id="rId2196" Type="http://schemas.openxmlformats.org/officeDocument/2006/relationships/hyperlink" Target="http://dwolla.com" TargetMode="External"/><Relationship Id="rId394" Type="http://schemas.openxmlformats.org/officeDocument/2006/relationships/hyperlink" Target="http://gocopia.com" TargetMode="External"/><Relationship Id="rId2197" Type="http://schemas.openxmlformats.org/officeDocument/2006/relationships/hyperlink" Target="http://devoted.com" TargetMode="External"/><Relationship Id="rId393" Type="http://schemas.openxmlformats.org/officeDocument/2006/relationships/hyperlink" Target="http://creatoros.co" TargetMode="External"/><Relationship Id="rId2198" Type="http://schemas.openxmlformats.org/officeDocument/2006/relationships/hyperlink" Target="http://dfinity.org" TargetMode="External"/><Relationship Id="rId2199" Type="http://schemas.openxmlformats.org/officeDocument/2006/relationships/hyperlink" Target="http://dynamic.xyz" TargetMode="External"/><Relationship Id="rId399" Type="http://schemas.openxmlformats.org/officeDocument/2006/relationships/hyperlink" Target="http://cuboh.com" TargetMode="External"/><Relationship Id="rId398" Type="http://schemas.openxmlformats.org/officeDocument/2006/relationships/hyperlink" Target="http://cortex.io" TargetMode="External"/><Relationship Id="rId397" Type="http://schemas.openxmlformats.org/officeDocument/2006/relationships/hyperlink" Target="http://crowdai.com" TargetMode="External"/><Relationship Id="rId1730" Type="http://schemas.openxmlformats.org/officeDocument/2006/relationships/hyperlink" Target="http://buzzfeed.com" TargetMode="External"/><Relationship Id="rId1731" Type="http://schemas.openxmlformats.org/officeDocument/2006/relationships/hyperlink" Target="http://digitalocean.com" TargetMode="External"/><Relationship Id="rId1732" Type="http://schemas.openxmlformats.org/officeDocument/2006/relationships/hyperlink" Target="http://camp4tx.com" TargetMode="External"/><Relationship Id="rId1733" Type="http://schemas.openxmlformats.org/officeDocument/2006/relationships/hyperlink" Target="http://dishpatch.co.uk" TargetMode="External"/><Relationship Id="rId1734" Type="http://schemas.openxmlformats.org/officeDocument/2006/relationships/hyperlink" Target="http://capital.xyz" TargetMode="External"/><Relationship Id="rId1735" Type="http://schemas.openxmlformats.org/officeDocument/2006/relationships/hyperlink" Target="http://dollarshaveclub.com" TargetMode="External"/><Relationship Id="rId1736" Type="http://schemas.openxmlformats.org/officeDocument/2006/relationships/hyperlink" Target="http://cardiogram.com" TargetMode="External"/><Relationship Id="rId1737" Type="http://schemas.openxmlformats.org/officeDocument/2006/relationships/hyperlink" Target="http://earn.com" TargetMode="External"/><Relationship Id="rId1738" Type="http://schemas.openxmlformats.org/officeDocument/2006/relationships/hyperlink" Target="http://trycaviar.com" TargetMode="External"/><Relationship Id="rId1739" Type="http://schemas.openxmlformats.org/officeDocument/2006/relationships/hyperlink" Target="http://eqrx.com" TargetMode="External"/><Relationship Id="rId1720" Type="http://schemas.openxmlformats.org/officeDocument/2006/relationships/hyperlink" Target="http://bioagelabs.com" TargetMode="External"/><Relationship Id="rId1721" Type="http://schemas.openxmlformats.org/officeDocument/2006/relationships/hyperlink" Target="http://ciitizen.com" TargetMode="External"/><Relationship Id="rId1722" Type="http://schemas.openxmlformats.org/officeDocument/2006/relationships/hyperlink" Target="http://blockspring.com" TargetMode="External"/><Relationship Id="rId1723" Type="http://schemas.openxmlformats.org/officeDocument/2006/relationships/hyperlink" Target="http://clearstorydata.com" TargetMode="External"/><Relationship Id="rId1724" Type="http://schemas.openxmlformats.org/officeDocument/2006/relationships/hyperlink" Target="http://box.com" TargetMode="External"/><Relationship Id="rId1725" Type="http://schemas.openxmlformats.org/officeDocument/2006/relationships/hyperlink" Target="http://coinbase.com" TargetMode="External"/><Relationship Id="rId1726" Type="http://schemas.openxmlformats.org/officeDocument/2006/relationships/hyperlink" Target="http://brkt.com" TargetMode="External"/><Relationship Id="rId1727" Type="http://schemas.openxmlformats.org/officeDocument/2006/relationships/hyperlink" Target="http://cumulusnetworks.com" TargetMode="External"/><Relationship Id="rId1728" Type="http://schemas.openxmlformats.org/officeDocument/2006/relationships/hyperlink" Target="http://bu.mp" TargetMode="External"/><Relationship Id="rId1729" Type="http://schemas.openxmlformats.org/officeDocument/2006/relationships/hyperlink" Target="http://deepmap.ai" TargetMode="External"/><Relationship Id="rId1752" Type="http://schemas.openxmlformats.org/officeDocument/2006/relationships/hyperlink" Target="http://github.com" TargetMode="External"/><Relationship Id="rId1753" Type="http://schemas.openxmlformats.org/officeDocument/2006/relationships/hyperlink" Target="http://dishpatch.co.uk" TargetMode="External"/><Relationship Id="rId1754" Type="http://schemas.openxmlformats.org/officeDocument/2006/relationships/hyperlink" Target="http://gobble.com" TargetMode="External"/><Relationship Id="rId1755" Type="http://schemas.openxmlformats.org/officeDocument/2006/relationships/hyperlink" Target="http://dollarshaveclub.com" TargetMode="External"/><Relationship Id="rId1756" Type="http://schemas.openxmlformats.org/officeDocument/2006/relationships/hyperlink" Target="http://golden.com" TargetMode="External"/><Relationship Id="rId1757" Type="http://schemas.openxmlformats.org/officeDocument/2006/relationships/hyperlink" Target="http://earn.com" TargetMode="External"/><Relationship Id="rId1758" Type="http://schemas.openxmlformats.org/officeDocument/2006/relationships/hyperlink" Target="http://granular.ag" TargetMode="External"/><Relationship Id="rId1759" Type="http://schemas.openxmlformats.org/officeDocument/2006/relationships/hyperlink" Target="http://eqrx.com" TargetMode="External"/><Relationship Id="rId1750" Type="http://schemas.openxmlformats.org/officeDocument/2006/relationships/hyperlink" Target="http://genius.com" TargetMode="External"/><Relationship Id="rId1751" Type="http://schemas.openxmlformats.org/officeDocument/2006/relationships/hyperlink" Target="http://digitalocean.com" TargetMode="External"/><Relationship Id="rId1741" Type="http://schemas.openxmlformats.org/officeDocument/2006/relationships/hyperlink" Target="http://erasca.com" TargetMode="External"/><Relationship Id="rId1742" Type="http://schemas.openxmlformats.org/officeDocument/2006/relationships/hyperlink" Target="http://ciitizen.com" TargetMode="External"/><Relationship Id="rId1743" Type="http://schemas.openxmlformats.org/officeDocument/2006/relationships/hyperlink" Target="http://fiftythree.com" TargetMode="External"/><Relationship Id="rId1744" Type="http://schemas.openxmlformats.org/officeDocument/2006/relationships/hyperlink" Target="http://clearstorydata.com" TargetMode="External"/><Relationship Id="rId1745" Type="http://schemas.openxmlformats.org/officeDocument/2006/relationships/hyperlink" Target="http://coinbase.com" TargetMode="External"/><Relationship Id="rId1746" Type="http://schemas.openxmlformats.org/officeDocument/2006/relationships/hyperlink" Target="http://fusionio.com" TargetMode="External"/><Relationship Id="rId1747" Type="http://schemas.openxmlformats.org/officeDocument/2006/relationships/hyperlink" Target="http://cumulusnetworks.com" TargetMode="External"/><Relationship Id="rId1748" Type="http://schemas.openxmlformats.org/officeDocument/2006/relationships/hyperlink" Target="http://gainspeed.com" TargetMode="External"/><Relationship Id="rId1749" Type="http://schemas.openxmlformats.org/officeDocument/2006/relationships/hyperlink" Target="http://deepmap.ai" TargetMode="External"/><Relationship Id="rId1740" Type="http://schemas.openxmlformats.org/officeDocument/2006/relationships/hyperlink" Target="http://beta.character.ai" TargetMode="External"/><Relationship Id="rId1710" Type="http://schemas.openxmlformats.org/officeDocument/2006/relationships/hyperlink" Target="http://asana.com" TargetMode="External"/><Relationship Id="rId1711" Type="http://schemas.openxmlformats.org/officeDocument/2006/relationships/hyperlink" Target="http://camp4tx.com" TargetMode="External"/><Relationship Id="rId1712" Type="http://schemas.openxmlformats.org/officeDocument/2006/relationships/hyperlink" Target="http://asserts.ai" TargetMode="External"/><Relationship Id="rId1713" Type="http://schemas.openxmlformats.org/officeDocument/2006/relationships/hyperlink" Target="http://capital.xyz" TargetMode="External"/><Relationship Id="rId1714" Type="http://schemas.openxmlformats.org/officeDocument/2006/relationships/hyperlink" Target="http://authy.com" TargetMode="External"/><Relationship Id="rId1715" Type="http://schemas.openxmlformats.org/officeDocument/2006/relationships/hyperlink" Target="http://cardiogram.com" TargetMode="External"/><Relationship Id="rId1716" Type="http://schemas.openxmlformats.org/officeDocument/2006/relationships/hyperlink" Target="http://automatic.com" TargetMode="External"/><Relationship Id="rId1717" Type="http://schemas.openxmlformats.org/officeDocument/2006/relationships/hyperlink" Target="http://trycaviar.com" TargetMode="External"/><Relationship Id="rId1718" Type="http://schemas.openxmlformats.org/officeDocument/2006/relationships/hyperlink" Target="http://barefootnetworks.com" TargetMode="External"/><Relationship Id="rId1719" Type="http://schemas.openxmlformats.org/officeDocument/2006/relationships/hyperlink" Target="http://beta.character.ai" TargetMode="External"/><Relationship Id="rId1700" Type="http://schemas.openxmlformats.org/officeDocument/2006/relationships/hyperlink" Target="http://affirm.com" TargetMode="External"/><Relationship Id="rId1701" Type="http://schemas.openxmlformats.org/officeDocument/2006/relationships/hyperlink" Target="http://blockspring.com" TargetMode="External"/><Relationship Id="rId1702" Type="http://schemas.openxmlformats.org/officeDocument/2006/relationships/hyperlink" Target="http://airbnb.com" TargetMode="External"/><Relationship Id="rId1703" Type="http://schemas.openxmlformats.org/officeDocument/2006/relationships/hyperlink" Target="http://box.com" TargetMode="External"/><Relationship Id="rId1704" Type="http://schemas.openxmlformats.org/officeDocument/2006/relationships/hyperlink" Target="http://allsetnow.com" TargetMode="External"/><Relationship Id="rId1705" Type="http://schemas.openxmlformats.org/officeDocument/2006/relationships/hyperlink" Target="http://brkt.com" TargetMode="External"/><Relationship Id="rId1706" Type="http://schemas.openxmlformats.org/officeDocument/2006/relationships/hyperlink" Target="http://apptio.com" TargetMode="External"/><Relationship Id="rId1707" Type="http://schemas.openxmlformats.org/officeDocument/2006/relationships/hyperlink" Target="http://bu.mp" TargetMode="External"/><Relationship Id="rId1708" Type="http://schemas.openxmlformats.org/officeDocument/2006/relationships/hyperlink" Target="http://arimo.com" TargetMode="External"/><Relationship Id="rId1709" Type="http://schemas.openxmlformats.org/officeDocument/2006/relationships/hyperlink" Target="http://buzzfeed.com" TargetMode="External"/><Relationship Id="rId40" Type="http://schemas.openxmlformats.org/officeDocument/2006/relationships/hyperlink" Target="http://materee.id" TargetMode="External"/><Relationship Id="rId3513" Type="http://schemas.openxmlformats.org/officeDocument/2006/relationships/hyperlink" Target="https://www.lightdash.com/" TargetMode="External"/><Relationship Id="rId3512" Type="http://schemas.openxmlformats.org/officeDocument/2006/relationships/hyperlink" Target="https://www.lica.world/" TargetMode="External"/><Relationship Id="rId42" Type="http://schemas.openxmlformats.org/officeDocument/2006/relationships/hyperlink" Target="http://sytex.io" TargetMode="External"/><Relationship Id="rId3515" Type="http://schemas.openxmlformats.org/officeDocument/2006/relationships/hyperlink" Target="http://www.lightspeedhq.com/" TargetMode="External"/><Relationship Id="rId41" Type="http://schemas.openxmlformats.org/officeDocument/2006/relationships/hyperlink" Target="http://artisan.co" TargetMode="External"/><Relationship Id="rId3514" Type="http://schemas.openxmlformats.org/officeDocument/2006/relationships/hyperlink" Target="https://www.lighthouselabs.xyz/" TargetMode="External"/><Relationship Id="rId44" Type="http://schemas.openxmlformats.org/officeDocument/2006/relationships/hyperlink" Target="http://materee.id" TargetMode="External"/><Relationship Id="rId3517" Type="http://schemas.openxmlformats.org/officeDocument/2006/relationships/hyperlink" Target="https://www.locofy.ai/" TargetMode="External"/><Relationship Id="rId43" Type="http://schemas.openxmlformats.org/officeDocument/2006/relationships/hyperlink" Target="http://mailmodo.com" TargetMode="External"/><Relationship Id="rId3516" Type="http://schemas.openxmlformats.org/officeDocument/2006/relationships/hyperlink" Target="http://www.linear.app/" TargetMode="External"/><Relationship Id="rId46" Type="http://schemas.openxmlformats.org/officeDocument/2006/relationships/hyperlink" Target="http://usestable.com" TargetMode="External"/><Relationship Id="rId3519" Type="http://schemas.openxmlformats.org/officeDocument/2006/relationships/hyperlink" Target="http://www.lola.com/" TargetMode="External"/><Relationship Id="rId45" Type="http://schemas.openxmlformats.org/officeDocument/2006/relationships/hyperlink" Target="http://yuma.ai" TargetMode="External"/><Relationship Id="rId3518" Type="http://schemas.openxmlformats.org/officeDocument/2006/relationships/hyperlink" Target="https://www.logicloop.com/" TargetMode="External"/><Relationship Id="rId48" Type="http://schemas.openxmlformats.org/officeDocument/2006/relationships/hyperlink" Target="http://theneo.io" TargetMode="External"/><Relationship Id="rId47" Type="http://schemas.openxmlformats.org/officeDocument/2006/relationships/hyperlink" Target="http://mailmodo.com" TargetMode="External"/><Relationship Id="rId49" Type="http://schemas.openxmlformats.org/officeDocument/2006/relationships/hyperlink" Target="http://yuma.ai" TargetMode="External"/><Relationship Id="rId3511" Type="http://schemas.openxmlformats.org/officeDocument/2006/relationships/hyperlink" Target="http://www.letsventure.com/" TargetMode="External"/><Relationship Id="rId3510" Type="http://schemas.openxmlformats.org/officeDocument/2006/relationships/hyperlink" Target="http://www.legendary.com/" TargetMode="External"/><Relationship Id="rId3502" Type="http://schemas.openxmlformats.org/officeDocument/2006/relationships/hyperlink" Target="https://www.kooapp.com/" TargetMode="External"/><Relationship Id="rId3501" Type="http://schemas.openxmlformats.org/officeDocument/2006/relationships/hyperlink" Target="https://komodor.com/" TargetMode="External"/><Relationship Id="rId31" Type="http://schemas.openxmlformats.org/officeDocument/2006/relationships/hyperlink" Target="http://dover.com" TargetMode="External"/><Relationship Id="rId3504" Type="http://schemas.openxmlformats.org/officeDocument/2006/relationships/hyperlink" Target="http://www.kry.se/" TargetMode="External"/><Relationship Id="rId30" Type="http://schemas.openxmlformats.org/officeDocument/2006/relationships/hyperlink" Target="http://vahan.ai" TargetMode="External"/><Relationship Id="rId3503" Type="http://schemas.openxmlformats.org/officeDocument/2006/relationships/hyperlink" Target="https://www.salesforce.com/resources/articles/channel-sales-guide/" TargetMode="External"/><Relationship Id="rId33" Type="http://schemas.openxmlformats.org/officeDocument/2006/relationships/hyperlink" Target="http://surebright.com" TargetMode="External"/><Relationship Id="rId3506" Type="http://schemas.openxmlformats.org/officeDocument/2006/relationships/hyperlink" Target="https://laravel.com/" TargetMode="External"/><Relationship Id="rId32" Type="http://schemas.openxmlformats.org/officeDocument/2006/relationships/hyperlink" Target="http://langdock.com" TargetMode="External"/><Relationship Id="rId3505" Type="http://schemas.openxmlformats.org/officeDocument/2006/relationships/hyperlink" Target="http://www.kupivip.ru/" TargetMode="External"/><Relationship Id="rId35" Type="http://schemas.openxmlformats.org/officeDocument/2006/relationships/hyperlink" Target="http://vahan.ai" TargetMode="External"/><Relationship Id="rId3508" Type="http://schemas.openxmlformats.org/officeDocument/2006/relationships/hyperlink" Target="http://www.learnvest.com/" TargetMode="External"/><Relationship Id="rId34" Type="http://schemas.openxmlformats.org/officeDocument/2006/relationships/hyperlink" Target="http://truewind.ai" TargetMode="External"/><Relationship Id="rId3507" Type="http://schemas.openxmlformats.org/officeDocument/2006/relationships/hyperlink" Target="https://www.leapwallet.io/" TargetMode="External"/><Relationship Id="rId3509" Type="http://schemas.openxmlformats.org/officeDocument/2006/relationships/hyperlink" Target="https://www.ledgerinvesting.com/" TargetMode="External"/><Relationship Id="rId37" Type="http://schemas.openxmlformats.org/officeDocument/2006/relationships/hyperlink" Target="http://langdock.com" TargetMode="External"/><Relationship Id="rId36" Type="http://schemas.openxmlformats.org/officeDocument/2006/relationships/hyperlink" Target="http://artisan.co" TargetMode="External"/><Relationship Id="rId39" Type="http://schemas.openxmlformats.org/officeDocument/2006/relationships/hyperlink" Target="http://truewind.ai" TargetMode="External"/><Relationship Id="rId38" Type="http://schemas.openxmlformats.org/officeDocument/2006/relationships/hyperlink" Target="http://sytex.io" TargetMode="External"/><Relationship Id="rId3500" Type="http://schemas.openxmlformats.org/officeDocument/2006/relationships/hyperlink" Target="http://knoetic.com/" TargetMode="External"/><Relationship Id="rId2203" Type="http://schemas.openxmlformats.org/officeDocument/2006/relationships/hyperlink" Target="http://distributional.com" TargetMode="External"/><Relationship Id="rId3535" Type="http://schemas.openxmlformats.org/officeDocument/2006/relationships/hyperlink" Target="https://mensabrands.com/" TargetMode="External"/><Relationship Id="rId2204" Type="http://schemas.openxmlformats.org/officeDocument/2006/relationships/hyperlink" Target="http://earli.com" TargetMode="External"/><Relationship Id="rId3534" Type="http://schemas.openxmlformats.org/officeDocument/2006/relationships/hyperlink" Target="https://www.meliopayments.com/about-us" TargetMode="External"/><Relationship Id="rId20" Type="http://schemas.openxmlformats.org/officeDocument/2006/relationships/hyperlink" Target="http://joinpasito.com" TargetMode="External"/><Relationship Id="rId2205" Type="http://schemas.openxmlformats.org/officeDocument/2006/relationships/hyperlink" Target="http://divvyhomes.com" TargetMode="External"/><Relationship Id="rId3537" Type="http://schemas.openxmlformats.org/officeDocument/2006/relationships/hyperlink" Target="https://merge.dev/" TargetMode="External"/><Relationship Id="rId2206" Type="http://schemas.openxmlformats.org/officeDocument/2006/relationships/hyperlink" Target="http://earnbetter.com" TargetMode="External"/><Relationship Id="rId3536" Type="http://schemas.openxmlformats.org/officeDocument/2006/relationships/hyperlink" Target="https://www.meragi.com/" TargetMode="External"/><Relationship Id="rId22" Type="http://schemas.openxmlformats.org/officeDocument/2006/relationships/hyperlink" Target="http://joincarma.com" TargetMode="External"/><Relationship Id="rId2207" Type="http://schemas.openxmlformats.org/officeDocument/2006/relationships/hyperlink" Target="http://donotpay.com" TargetMode="External"/><Relationship Id="rId3539" Type="http://schemas.openxmlformats.org/officeDocument/2006/relationships/hyperlink" Target="http://www.middesk.com/" TargetMode="External"/><Relationship Id="rId21" Type="http://schemas.openxmlformats.org/officeDocument/2006/relationships/hyperlink" Target="http://joinpasito.com" TargetMode="External"/><Relationship Id="rId2208" Type="http://schemas.openxmlformats.org/officeDocument/2006/relationships/hyperlink" Target="http://earnin.com" TargetMode="External"/><Relationship Id="rId3538" Type="http://schemas.openxmlformats.org/officeDocument/2006/relationships/hyperlink" Target="https://merxu.com/en/about/" TargetMode="External"/><Relationship Id="rId24" Type="http://schemas.openxmlformats.org/officeDocument/2006/relationships/hyperlink" Target="http://joincarma.com" TargetMode="External"/><Relationship Id="rId2209" Type="http://schemas.openxmlformats.org/officeDocument/2006/relationships/hyperlink" Target="http://doppel.com" TargetMode="External"/><Relationship Id="rId23" Type="http://schemas.openxmlformats.org/officeDocument/2006/relationships/hyperlink" Target="http://vapi.ai" TargetMode="External"/><Relationship Id="rId26" Type="http://schemas.openxmlformats.org/officeDocument/2006/relationships/hyperlink" Target="http://joincarma.com" TargetMode="External"/><Relationship Id="rId25" Type="http://schemas.openxmlformats.org/officeDocument/2006/relationships/hyperlink" Target="http://socap.ai" TargetMode="External"/><Relationship Id="rId28" Type="http://schemas.openxmlformats.org/officeDocument/2006/relationships/hyperlink" Target="http://surebright.com" TargetMode="External"/><Relationship Id="rId27" Type="http://schemas.openxmlformats.org/officeDocument/2006/relationships/hyperlink" Target="http://dover.com" TargetMode="External"/><Relationship Id="rId3531" Type="http://schemas.openxmlformats.org/officeDocument/2006/relationships/hyperlink" Target="http://www.mayhem.gg/" TargetMode="External"/><Relationship Id="rId29" Type="http://schemas.openxmlformats.org/officeDocument/2006/relationships/hyperlink" Target="http://socap.ai" TargetMode="External"/><Relationship Id="rId2200" Type="http://schemas.openxmlformats.org/officeDocument/2006/relationships/hyperlink" Target="http://dialpad.com" TargetMode="External"/><Relationship Id="rId3530" Type="http://schemas.openxmlformats.org/officeDocument/2006/relationships/hyperlink" Target="https://maverix.in/" TargetMode="External"/><Relationship Id="rId2201" Type="http://schemas.openxmlformats.org/officeDocument/2006/relationships/hyperlink" Target="http://dynotx.com" TargetMode="External"/><Relationship Id="rId3533" Type="http://schemas.openxmlformats.org/officeDocument/2006/relationships/hyperlink" Target="http://www.medigo.com/" TargetMode="External"/><Relationship Id="rId2202" Type="http://schemas.openxmlformats.org/officeDocument/2006/relationships/hyperlink" Target="http://dispatch.ai" TargetMode="External"/><Relationship Id="rId3532" Type="http://schemas.openxmlformats.org/officeDocument/2006/relationships/hyperlink" Target="http://www.mechmocha.com/" TargetMode="External"/><Relationship Id="rId3524" Type="http://schemas.openxmlformats.org/officeDocument/2006/relationships/hyperlink" Target="http://www.luko.eu/" TargetMode="External"/><Relationship Id="rId3523" Type="http://schemas.openxmlformats.org/officeDocument/2006/relationships/hyperlink" Target="https://www.lucidlane.com/" TargetMode="External"/><Relationship Id="rId3526" Type="http://schemas.openxmlformats.org/officeDocument/2006/relationships/hyperlink" Target="http://www.lynda.com/" TargetMode="External"/><Relationship Id="rId3525" Type="http://schemas.openxmlformats.org/officeDocument/2006/relationships/hyperlink" Target="https://lydia-app.com/" TargetMode="External"/><Relationship Id="rId11" Type="http://schemas.openxmlformats.org/officeDocument/2006/relationships/hyperlink" Target="http://inbuild.ai" TargetMode="External"/><Relationship Id="rId3528" Type="http://schemas.openxmlformats.org/officeDocument/2006/relationships/hyperlink" Target="https://www.makelog.com/" TargetMode="External"/><Relationship Id="rId10" Type="http://schemas.openxmlformats.org/officeDocument/2006/relationships/hyperlink" Target="http://writesonic.com" TargetMode="External"/><Relationship Id="rId3527" Type="http://schemas.openxmlformats.org/officeDocument/2006/relationships/hyperlink" Target="http://www.lyst.com/" TargetMode="External"/><Relationship Id="rId13" Type="http://schemas.openxmlformats.org/officeDocument/2006/relationships/hyperlink" Target="http://every.io" TargetMode="External"/><Relationship Id="rId12" Type="http://schemas.openxmlformats.org/officeDocument/2006/relationships/hyperlink" Target="http://inbuild.ai" TargetMode="External"/><Relationship Id="rId3529" Type="http://schemas.openxmlformats.org/officeDocument/2006/relationships/hyperlink" Target="https://getmason.io/" TargetMode="External"/><Relationship Id="rId15" Type="http://schemas.openxmlformats.org/officeDocument/2006/relationships/hyperlink" Target="http://requestly.com" TargetMode="External"/><Relationship Id="rId14" Type="http://schemas.openxmlformats.org/officeDocument/2006/relationships/hyperlink" Target="http://every.io" TargetMode="External"/><Relationship Id="rId17" Type="http://schemas.openxmlformats.org/officeDocument/2006/relationships/hyperlink" Target="http://inaccord.com" TargetMode="External"/><Relationship Id="rId16" Type="http://schemas.openxmlformats.org/officeDocument/2006/relationships/hyperlink" Target="http://requestly.com" TargetMode="External"/><Relationship Id="rId19" Type="http://schemas.openxmlformats.org/officeDocument/2006/relationships/hyperlink" Target="http://joinpasito.com" TargetMode="External"/><Relationship Id="rId3520" Type="http://schemas.openxmlformats.org/officeDocument/2006/relationships/hyperlink" Target="http://www.lookout.com/" TargetMode="External"/><Relationship Id="rId18" Type="http://schemas.openxmlformats.org/officeDocument/2006/relationships/hyperlink" Target="http://inaccord.com" TargetMode="External"/><Relationship Id="rId3522" Type="http://schemas.openxmlformats.org/officeDocument/2006/relationships/hyperlink" Target="https://www.lower.com/" TargetMode="External"/><Relationship Id="rId3521" Type="http://schemas.openxmlformats.org/officeDocument/2006/relationships/hyperlink" Target="https://lottie.org/" TargetMode="External"/><Relationship Id="rId84" Type="http://schemas.openxmlformats.org/officeDocument/2006/relationships/hyperlink" Target="http://oneleet.com" TargetMode="External"/><Relationship Id="rId1774" Type="http://schemas.openxmlformats.org/officeDocument/2006/relationships/hyperlink" Target="http://gobble.com" TargetMode="External"/><Relationship Id="rId83" Type="http://schemas.openxmlformats.org/officeDocument/2006/relationships/hyperlink" Target="http://invofox.com" TargetMode="External"/><Relationship Id="rId1775" Type="http://schemas.openxmlformats.org/officeDocument/2006/relationships/hyperlink" Target="http://instacart.com" TargetMode="External"/><Relationship Id="rId86" Type="http://schemas.openxmlformats.org/officeDocument/2006/relationships/hyperlink" Target="http://omnistrate.com" TargetMode="External"/><Relationship Id="rId1776" Type="http://schemas.openxmlformats.org/officeDocument/2006/relationships/hyperlink" Target="http://golden.com" TargetMode="External"/><Relationship Id="rId85" Type="http://schemas.openxmlformats.org/officeDocument/2006/relationships/hyperlink" Target="http://hyperbound.ai" TargetMode="External"/><Relationship Id="rId1777" Type="http://schemas.openxmlformats.org/officeDocument/2006/relationships/hyperlink" Target="http://instagram.com" TargetMode="External"/><Relationship Id="rId88" Type="http://schemas.openxmlformats.org/officeDocument/2006/relationships/hyperlink" Target="http://odigos.io" TargetMode="External"/><Relationship Id="rId1778" Type="http://schemas.openxmlformats.org/officeDocument/2006/relationships/hyperlink" Target="http://granular.ag" TargetMode="External"/><Relationship Id="rId87" Type="http://schemas.openxmlformats.org/officeDocument/2006/relationships/hyperlink" Target="http://formance.com" TargetMode="External"/><Relationship Id="rId1779" Type="http://schemas.openxmlformats.org/officeDocument/2006/relationships/hyperlink" Target="http://intrinsic.com" TargetMode="External"/><Relationship Id="rId89" Type="http://schemas.openxmlformats.org/officeDocument/2006/relationships/hyperlink" Target="http://explo.co" TargetMode="External"/><Relationship Id="rId80" Type="http://schemas.openxmlformats.org/officeDocument/2006/relationships/hyperlink" Target="http://peeba.com" TargetMode="External"/><Relationship Id="rId82" Type="http://schemas.openxmlformats.org/officeDocument/2006/relationships/hyperlink" Target="http://oneschema.co" TargetMode="External"/><Relationship Id="rId81" Type="http://schemas.openxmlformats.org/officeDocument/2006/relationships/hyperlink" Target="http://jiga.io" TargetMode="External"/><Relationship Id="rId1770" Type="http://schemas.openxmlformats.org/officeDocument/2006/relationships/hyperlink" Target="http://genius.com" TargetMode="External"/><Relationship Id="rId1771" Type="http://schemas.openxmlformats.org/officeDocument/2006/relationships/hyperlink" Target="http://idrx.com" TargetMode="External"/><Relationship Id="rId1772" Type="http://schemas.openxmlformats.org/officeDocument/2006/relationships/hyperlink" Target="http://github.com" TargetMode="External"/><Relationship Id="rId1773" Type="http://schemas.openxmlformats.org/officeDocument/2006/relationships/hyperlink" Target="http://imgur.com" TargetMode="External"/><Relationship Id="rId73" Type="http://schemas.openxmlformats.org/officeDocument/2006/relationships/hyperlink" Target="http://peeba.com" TargetMode="External"/><Relationship Id="rId1763" Type="http://schemas.openxmlformats.org/officeDocument/2006/relationships/hyperlink" Target="http://fiftythree.com" TargetMode="External"/><Relationship Id="rId72" Type="http://schemas.openxmlformats.org/officeDocument/2006/relationships/hyperlink" Target="http://sigmamind.ai" TargetMode="External"/><Relationship Id="rId1764" Type="http://schemas.openxmlformats.org/officeDocument/2006/relationships/hyperlink" Target="http://stuzo.com" TargetMode="External"/><Relationship Id="rId75" Type="http://schemas.openxmlformats.org/officeDocument/2006/relationships/hyperlink" Target="http://oneschema.co" TargetMode="External"/><Relationship Id="rId1765" Type="http://schemas.openxmlformats.org/officeDocument/2006/relationships/hyperlink" Target="http://hopin.com" TargetMode="External"/><Relationship Id="rId74" Type="http://schemas.openxmlformats.org/officeDocument/2006/relationships/hyperlink" Target="http://revi.ai" TargetMode="External"/><Relationship Id="rId1766" Type="http://schemas.openxmlformats.org/officeDocument/2006/relationships/hyperlink" Target="http://fusionio.com" TargetMode="External"/><Relationship Id="rId77" Type="http://schemas.openxmlformats.org/officeDocument/2006/relationships/hyperlink" Target="http://omnistrate.com" TargetMode="External"/><Relationship Id="rId1767" Type="http://schemas.openxmlformats.org/officeDocument/2006/relationships/hyperlink" Target="http://humanapi.co" TargetMode="External"/><Relationship Id="rId76" Type="http://schemas.openxmlformats.org/officeDocument/2006/relationships/hyperlink" Target="http://oneleet.com" TargetMode="External"/><Relationship Id="rId1768" Type="http://schemas.openxmlformats.org/officeDocument/2006/relationships/hyperlink" Target="http://gainspeed.com" TargetMode="External"/><Relationship Id="rId79" Type="http://schemas.openxmlformats.org/officeDocument/2006/relationships/hyperlink" Target="http://odigos.io" TargetMode="External"/><Relationship Id="rId1769" Type="http://schemas.openxmlformats.org/officeDocument/2006/relationships/hyperlink" Target="http://icracked.com" TargetMode="External"/><Relationship Id="rId78" Type="http://schemas.openxmlformats.org/officeDocument/2006/relationships/hyperlink" Target="http://pipeshift.com" TargetMode="External"/><Relationship Id="rId71" Type="http://schemas.openxmlformats.org/officeDocument/2006/relationships/hyperlink" Target="http://pipeshift.com" TargetMode="External"/><Relationship Id="rId70" Type="http://schemas.openxmlformats.org/officeDocument/2006/relationships/hyperlink" Target="http://spadeworks.co" TargetMode="External"/><Relationship Id="rId1760" Type="http://schemas.openxmlformats.org/officeDocument/2006/relationships/hyperlink" Target="http://grep.ly" TargetMode="External"/><Relationship Id="rId1761" Type="http://schemas.openxmlformats.org/officeDocument/2006/relationships/hyperlink" Target="http://erasca.com" TargetMode="External"/><Relationship Id="rId1762" Type="http://schemas.openxmlformats.org/officeDocument/2006/relationships/hyperlink" Target="http://groupon.com" TargetMode="External"/><Relationship Id="rId62" Type="http://schemas.openxmlformats.org/officeDocument/2006/relationships/hyperlink" Target="http://tarsal.co" TargetMode="External"/><Relationship Id="rId1796" Type="http://schemas.openxmlformats.org/officeDocument/2006/relationships/hyperlink" Target="http://memorahealth.com" TargetMode="External"/><Relationship Id="rId61" Type="http://schemas.openxmlformats.org/officeDocument/2006/relationships/hyperlink" Target="http://zoko.io" TargetMode="External"/><Relationship Id="rId1797" Type="http://schemas.openxmlformats.org/officeDocument/2006/relationships/hyperlink" Target="http://instagram.com" TargetMode="External"/><Relationship Id="rId64" Type="http://schemas.openxmlformats.org/officeDocument/2006/relationships/hyperlink" Target="http://spadeworks.co" TargetMode="External"/><Relationship Id="rId1798" Type="http://schemas.openxmlformats.org/officeDocument/2006/relationships/hyperlink" Target="http://intrinsic.com" TargetMode="External"/><Relationship Id="rId63" Type="http://schemas.openxmlformats.org/officeDocument/2006/relationships/hyperlink" Target="http://ubicloud.com" TargetMode="External"/><Relationship Id="rId1799" Type="http://schemas.openxmlformats.org/officeDocument/2006/relationships/hyperlink" Target="http://vmware.com" TargetMode="External"/><Relationship Id="rId66" Type="http://schemas.openxmlformats.org/officeDocument/2006/relationships/hyperlink" Target="http://sigmamind.ai" TargetMode="External"/><Relationship Id="rId65" Type="http://schemas.openxmlformats.org/officeDocument/2006/relationships/hyperlink" Target="http://sendblue.com" TargetMode="External"/><Relationship Id="rId68" Type="http://schemas.openxmlformats.org/officeDocument/2006/relationships/hyperlink" Target="http://revi.ai" TargetMode="External"/><Relationship Id="rId67" Type="http://schemas.openxmlformats.org/officeDocument/2006/relationships/hyperlink" Target="http://business.triply.co" TargetMode="External"/><Relationship Id="rId60" Type="http://schemas.openxmlformats.org/officeDocument/2006/relationships/hyperlink" Target="http://business.triply.co" TargetMode="External"/><Relationship Id="rId69" Type="http://schemas.openxmlformats.org/officeDocument/2006/relationships/hyperlink" Target="http://tarsal.co" TargetMode="External"/><Relationship Id="rId1790" Type="http://schemas.openxmlformats.org/officeDocument/2006/relationships/hyperlink" Target="http://judgeholdings.com" TargetMode="External"/><Relationship Id="rId1791" Type="http://schemas.openxmlformats.org/officeDocument/2006/relationships/hyperlink" Target="http://idrx.com" TargetMode="External"/><Relationship Id="rId1792" Type="http://schemas.openxmlformats.org/officeDocument/2006/relationships/hyperlink" Target="http://lyft.com" TargetMode="External"/><Relationship Id="rId1793" Type="http://schemas.openxmlformats.org/officeDocument/2006/relationships/hyperlink" Target="http://imgur.com" TargetMode="External"/><Relationship Id="rId1794" Type="http://schemas.openxmlformats.org/officeDocument/2006/relationships/hyperlink" Target="http://lytro.com" TargetMode="External"/><Relationship Id="rId1795" Type="http://schemas.openxmlformats.org/officeDocument/2006/relationships/hyperlink" Target="http://instacart.com" TargetMode="External"/><Relationship Id="rId51" Type="http://schemas.openxmlformats.org/officeDocument/2006/relationships/hyperlink" Target="http://usestable.com" TargetMode="External"/><Relationship Id="rId1785" Type="http://schemas.openxmlformats.org/officeDocument/2006/relationships/hyperlink" Target="http://hopin.com" TargetMode="External"/><Relationship Id="rId50" Type="http://schemas.openxmlformats.org/officeDocument/2006/relationships/hyperlink" Target="http://rysemarket.com" TargetMode="External"/><Relationship Id="rId1786" Type="http://schemas.openxmlformats.org/officeDocument/2006/relationships/hyperlink" Target="http://loom.com" TargetMode="External"/><Relationship Id="rId53" Type="http://schemas.openxmlformats.org/officeDocument/2006/relationships/hyperlink" Target="http://theneo.io" TargetMode="External"/><Relationship Id="rId1787" Type="http://schemas.openxmlformats.org/officeDocument/2006/relationships/hyperlink" Target="http://humanapi.co" TargetMode="External"/><Relationship Id="rId52" Type="http://schemas.openxmlformats.org/officeDocument/2006/relationships/hyperlink" Target="http://wareiq.com" TargetMode="External"/><Relationship Id="rId1788" Type="http://schemas.openxmlformats.org/officeDocument/2006/relationships/hyperlink" Target="http://lowkey.gg" TargetMode="External"/><Relationship Id="rId55" Type="http://schemas.openxmlformats.org/officeDocument/2006/relationships/hyperlink" Target="http://rysemarket.com" TargetMode="External"/><Relationship Id="rId1789" Type="http://schemas.openxmlformats.org/officeDocument/2006/relationships/hyperlink" Target="http://icracked.com" TargetMode="External"/><Relationship Id="rId54" Type="http://schemas.openxmlformats.org/officeDocument/2006/relationships/hyperlink" Target="http://zoko.io" TargetMode="External"/><Relationship Id="rId57" Type="http://schemas.openxmlformats.org/officeDocument/2006/relationships/hyperlink" Target="http://wareiq.com" TargetMode="External"/><Relationship Id="rId56" Type="http://schemas.openxmlformats.org/officeDocument/2006/relationships/hyperlink" Target="http://ubicloud.com" TargetMode="External"/><Relationship Id="rId59" Type="http://schemas.openxmlformats.org/officeDocument/2006/relationships/hyperlink" Target="http://zoko.io" TargetMode="External"/><Relationship Id="rId58" Type="http://schemas.openxmlformats.org/officeDocument/2006/relationships/hyperlink" Target="http://sendblue.com" TargetMode="External"/><Relationship Id="rId1780" Type="http://schemas.openxmlformats.org/officeDocument/2006/relationships/hyperlink" Target="http://grep.ly" TargetMode="External"/><Relationship Id="rId1781" Type="http://schemas.openxmlformats.org/officeDocument/2006/relationships/hyperlink" Target="http://julep.com" TargetMode="External"/><Relationship Id="rId1782" Type="http://schemas.openxmlformats.org/officeDocument/2006/relationships/hyperlink" Target="http://groupon.com" TargetMode="External"/><Relationship Id="rId1783" Type="http://schemas.openxmlformats.org/officeDocument/2006/relationships/hyperlink" Target="http://keybase.io" TargetMode="External"/><Relationship Id="rId1784" Type="http://schemas.openxmlformats.org/officeDocument/2006/relationships/hyperlink" Target="http://stuzo.com" TargetMode="External"/><Relationship Id="rId2269" Type="http://schemas.openxmlformats.org/officeDocument/2006/relationships/hyperlink" Target="http://flyhomes.com" TargetMode="External"/><Relationship Id="rId349" Type="http://schemas.openxmlformats.org/officeDocument/2006/relationships/hyperlink" Target="http://codestream.com" TargetMode="External"/><Relationship Id="rId348" Type="http://schemas.openxmlformats.org/officeDocument/2006/relationships/hyperlink" Target="http://clickpass.com" TargetMode="External"/><Relationship Id="rId347" Type="http://schemas.openxmlformats.org/officeDocument/2006/relationships/hyperlink" Target="http://cococart.co" TargetMode="External"/><Relationship Id="rId346" Type="http://schemas.openxmlformats.org/officeDocument/2006/relationships/hyperlink" Target="http://clickfacts.com" TargetMode="External"/><Relationship Id="rId3591" Type="http://schemas.openxmlformats.org/officeDocument/2006/relationships/hyperlink" Target="https://www.orangehealth.in/" TargetMode="External"/><Relationship Id="rId2260" Type="http://schemas.openxmlformats.org/officeDocument/2006/relationships/hyperlink" Target="http://fashivly.com" TargetMode="External"/><Relationship Id="rId3590" Type="http://schemas.openxmlformats.org/officeDocument/2006/relationships/hyperlink" Target="http://www.opower.com/" TargetMode="External"/><Relationship Id="rId341" Type="http://schemas.openxmlformats.org/officeDocument/2006/relationships/hyperlink" Target="http://cloudkick.com" TargetMode="External"/><Relationship Id="rId2261" Type="http://schemas.openxmlformats.org/officeDocument/2006/relationships/hyperlink" Target="http://flexport.com" TargetMode="External"/><Relationship Id="rId3593" Type="http://schemas.openxmlformats.org/officeDocument/2006/relationships/hyperlink" Target="https://orum.io/" TargetMode="External"/><Relationship Id="rId340" Type="http://schemas.openxmlformats.org/officeDocument/2006/relationships/hyperlink" Target="http://claralabs.com" TargetMode="External"/><Relationship Id="rId2262" Type="http://schemas.openxmlformats.org/officeDocument/2006/relationships/hyperlink" Target="http://favorited.com" TargetMode="External"/><Relationship Id="rId3592" Type="http://schemas.openxmlformats.org/officeDocument/2006/relationships/hyperlink" Target="http://www.origamilogic.com/" TargetMode="External"/><Relationship Id="rId2263" Type="http://schemas.openxmlformats.org/officeDocument/2006/relationships/hyperlink" Target="http://flockhomes.com" TargetMode="External"/><Relationship Id="rId3595" Type="http://schemas.openxmlformats.org/officeDocument/2006/relationships/hyperlink" Target="http://www.playosmo.com/" TargetMode="External"/><Relationship Id="rId2264" Type="http://schemas.openxmlformats.org/officeDocument/2006/relationships/hyperlink" Target="http://feedplan.com" TargetMode="External"/><Relationship Id="rId3594" Type="http://schemas.openxmlformats.org/officeDocument/2006/relationships/hyperlink" Target="https://www.oslash.com/" TargetMode="External"/><Relationship Id="rId345" Type="http://schemas.openxmlformats.org/officeDocument/2006/relationships/hyperlink" Target="http://trycoast.com" TargetMode="External"/><Relationship Id="rId2265" Type="http://schemas.openxmlformats.org/officeDocument/2006/relationships/hyperlink" Target="http://flocksafety.com" TargetMode="External"/><Relationship Id="rId3597" Type="http://schemas.openxmlformats.org/officeDocument/2006/relationships/hyperlink" Target="http://www.ozforex.com.au/" TargetMode="External"/><Relationship Id="rId344" Type="http://schemas.openxmlformats.org/officeDocument/2006/relationships/hyperlink" Target="http://clerky.com" TargetMode="External"/><Relationship Id="rId2266" Type="http://schemas.openxmlformats.org/officeDocument/2006/relationships/hyperlink" Target="http://fidocure.com" TargetMode="External"/><Relationship Id="rId3596" Type="http://schemas.openxmlformats.org/officeDocument/2006/relationships/hyperlink" Target="https://ottertune.com/" TargetMode="External"/><Relationship Id="rId343" Type="http://schemas.openxmlformats.org/officeDocument/2006/relationships/hyperlink" Target="http://clustrix.com" TargetMode="External"/><Relationship Id="rId2267" Type="http://schemas.openxmlformats.org/officeDocument/2006/relationships/hyperlink" Target="http://flowcarbon.com" TargetMode="External"/><Relationship Id="rId3599" Type="http://schemas.openxmlformats.org/officeDocument/2006/relationships/hyperlink" Target="http://www.pagerduty.com/" TargetMode="External"/><Relationship Id="rId342" Type="http://schemas.openxmlformats.org/officeDocument/2006/relationships/hyperlink" Target="http://clearbrain.com" TargetMode="External"/><Relationship Id="rId2268" Type="http://schemas.openxmlformats.org/officeDocument/2006/relationships/hyperlink" Target="http://filmhub.com" TargetMode="External"/><Relationship Id="rId3598" Type="http://schemas.openxmlformats.org/officeDocument/2006/relationships/hyperlink" Target="http://www.packlink.com/" TargetMode="External"/><Relationship Id="rId2258" Type="http://schemas.openxmlformats.org/officeDocument/2006/relationships/hyperlink" Target="http://fanatics.com" TargetMode="External"/><Relationship Id="rId2259" Type="http://schemas.openxmlformats.org/officeDocument/2006/relationships/hyperlink" Target="http://flavrs.com" TargetMode="External"/><Relationship Id="rId3589" Type="http://schemas.openxmlformats.org/officeDocument/2006/relationships/hyperlink" Target="http://www.openhouse.study/" TargetMode="External"/><Relationship Id="rId338" Type="http://schemas.openxmlformats.org/officeDocument/2006/relationships/hyperlink" Target="http://citusdata.com" TargetMode="External"/><Relationship Id="rId337" Type="http://schemas.openxmlformats.org/officeDocument/2006/relationships/hyperlink" Target="http://close.com" TargetMode="External"/><Relationship Id="rId336" Type="http://schemas.openxmlformats.org/officeDocument/2006/relationships/hyperlink" Target="http://circa.co" TargetMode="External"/><Relationship Id="rId335" Type="http://schemas.openxmlformats.org/officeDocument/2006/relationships/hyperlink" Target="http://clickpass.com" TargetMode="External"/><Relationship Id="rId3580" Type="http://schemas.openxmlformats.org/officeDocument/2006/relationships/hyperlink" Target="https://www.eatwithnymble.com/" TargetMode="External"/><Relationship Id="rId339" Type="http://schemas.openxmlformats.org/officeDocument/2006/relationships/hyperlink" Target="http://cloudant.com" TargetMode="External"/><Relationship Id="rId330" Type="http://schemas.openxmlformats.org/officeDocument/2006/relationships/hyperlink" Target="http://getchute.com" TargetMode="External"/><Relationship Id="rId2250" Type="http://schemas.openxmlformats.org/officeDocument/2006/relationships/hyperlink" Target="http://fingerprintsdao.xyz" TargetMode="External"/><Relationship Id="rId3582" Type="http://schemas.openxmlformats.org/officeDocument/2006/relationships/hyperlink" Target="http://www.octarinesec.com/" TargetMode="External"/><Relationship Id="rId2251" Type="http://schemas.openxmlformats.org/officeDocument/2006/relationships/hyperlink" Target="http://everyrealm.com" TargetMode="External"/><Relationship Id="rId3581" Type="http://schemas.openxmlformats.org/officeDocument/2006/relationships/hyperlink" Target="https://www.oasis.security/" TargetMode="External"/><Relationship Id="rId2252" Type="http://schemas.openxmlformats.org/officeDocument/2006/relationships/hyperlink" Target="http://exh.ai" TargetMode="External"/><Relationship Id="rId3584" Type="http://schemas.openxmlformats.org/officeDocument/2006/relationships/hyperlink" Target="https://www.omnea.co/" TargetMode="External"/><Relationship Id="rId2253" Type="http://schemas.openxmlformats.org/officeDocument/2006/relationships/hyperlink" Target="http://firstbasehq.com" TargetMode="External"/><Relationship Id="rId3583" Type="http://schemas.openxmlformats.org/officeDocument/2006/relationships/hyperlink" Target="http://www.olacabs.com/" TargetMode="External"/><Relationship Id="rId334" Type="http://schemas.openxmlformats.org/officeDocument/2006/relationships/hyperlink" Target="http://cinder.co" TargetMode="External"/><Relationship Id="rId2254" Type="http://schemas.openxmlformats.org/officeDocument/2006/relationships/hyperlink" Target="http://factual.com" TargetMode="External"/><Relationship Id="rId3586" Type="http://schemas.openxmlformats.org/officeDocument/2006/relationships/hyperlink" Target="http://www.onsitego.com/" TargetMode="External"/><Relationship Id="rId333" Type="http://schemas.openxmlformats.org/officeDocument/2006/relationships/hyperlink" Target="http://clickfacts.com" TargetMode="External"/><Relationship Id="rId2255" Type="http://schemas.openxmlformats.org/officeDocument/2006/relationships/hyperlink" Target="http://fivetran.com" TargetMode="External"/><Relationship Id="rId3585" Type="http://schemas.openxmlformats.org/officeDocument/2006/relationships/hyperlink" Target="http://www.onco.com/" TargetMode="External"/><Relationship Id="rId332" Type="http://schemas.openxmlformats.org/officeDocument/2006/relationships/hyperlink" Target="http://cinapse.io" TargetMode="External"/><Relationship Id="rId2256" Type="http://schemas.openxmlformats.org/officeDocument/2006/relationships/hyperlink" Target="http://fal.ai/" TargetMode="External"/><Relationship Id="rId3588" Type="http://schemas.openxmlformats.org/officeDocument/2006/relationships/hyperlink" Target="http://www.opengamma.com/" TargetMode="External"/><Relationship Id="rId331" Type="http://schemas.openxmlformats.org/officeDocument/2006/relationships/hyperlink" Target="http://clerky.com" TargetMode="External"/><Relationship Id="rId2257" Type="http://schemas.openxmlformats.org/officeDocument/2006/relationships/hyperlink" Target="http://flashhoops.com" TargetMode="External"/><Relationship Id="rId3587" Type="http://schemas.openxmlformats.org/officeDocument/2006/relationships/hyperlink" Target="http://www.workwithopal.com/" TargetMode="External"/><Relationship Id="rId370" Type="http://schemas.openxmlformats.org/officeDocument/2006/relationships/hyperlink" Target="http://cogram.com" TargetMode="External"/><Relationship Id="rId369" Type="http://schemas.openxmlformats.org/officeDocument/2006/relationships/hyperlink" Target="http://confidentlims.com" TargetMode="External"/><Relationship Id="rId368" Type="http://schemas.openxmlformats.org/officeDocument/2006/relationships/hyperlink" Target="http://cognitohq.com" TargetMode="External"/><Relationship Id="rId2280" Type="http://schemas.openxmlformats.org/officeDocument/2006/relationships/hyperlink" Target="http://flockhomes.com" TargetMode="External"/><Relationship Id="rId2281" Type="http://schemas.openxmlformats.org/officeDocument/2006/relationships/hyperlink" Target="http://foursquare.com" TargetMode="External"/><Relationship Id="rId2282" Type="http://schemas.openxmlformats.org/officeDocument/2006/relationships/hyperlink" Target="http://flocksafety.com" TargetMode="External"/><Relationship Id="rId363" Type="http://schemas.openxmlformats.org/officeDocument/2006/relationships/hyperlink" Target="http://complif.com" TargetMode="External"/><Relationship Id="rId2283" Type="http://schemas.openxmlformats.org/officeDocument/2006/relationships/hyperlink" Target="http://freenome.com" TargetMode="External"/><Relationship Id="rId362" Type="http://schemas.openxmlformats.org/officeDocument/2006/relationships/hyperlink" Target="http://codestream.com" TargetMode="External"/><Relationship Id="rId2284" Type="http://schemas.openxmlformats.org/officeDocument/2006/relationships/hyperlink" Target="http://flowcarbon.com" TargetMode="External"/><Relationship Id="rId361" Type="http://schemas.openxmlformats.org/officeDocument/2006/relationships/hyperlink" Target="http://compgun.com" TargetMode="External"/><Relationship Id="rId2285" Type="http://schemas.openxmlformats.org/officeDocument/2006/relationships/hyperlink" Target="http://fu.do" TargetMode="External"/><Relationship Id="rId360" Type="http://schemas.openxmlformats.org/officeDocument/2006/relationships/hyperlink" Target="http://cococart.co" TargetMode="External"/><Relationship Id="rId2286" Type="http://schemas.openxmlformats.org/officeDocument/2006/relationships/hyperlink" Target="http://flyhomes.com" TargetMode="External"/><Relationship Id="rId367" Type="http://schemas.openxmlformats.org/officeDocument/2006/relationships/hyperlink" Target="http://comprarapida.co" TargetMode="External"/><Relationship Id="rId2287" Type="http://schemas.openxmlformats.org/officeDocument/2006/relationships/hyperlink" Target="http://functionhealth.com" TargetMode="External"/><Relationship Id="rId366" Type="http://schemas.openxmlformats.org/officeDocument/2006/relationships/hyperlink" Target="http://cognitionip.com" TargetMode="External"/><Relationship Id="rId2288" Type="http://schemas.openxmlformats.org/officeDocument/2006/relationships/hyperlink" Target="http://foodology.com.co" TargetMode="External"/><Relationship Id="rId365" Type="http://schemas.openxmlformats.org/officeDocument/2006/relationships/hyperlink" Target="http://mongohq.com" TargetMode="External"/><Relationship Id="rId2289" Type="http://schemas.openxmlformats.org/officeDocument/2006/relationships/hyperlink" Target="http://functiononcology.com" TargetMode="External"/><Relationship Id="rId364" Type="http://schemas.openxmlformats.org/officeDocument/2006/relationships/hyperlink" Target="http://cofactr.com" TargetMode="External"/><Relationship Id="rId95" Type="http://schemas.openxmlformats.org/officeDocument/2006/relationships/hyperlink" Target="http://devyce.com" TargetMode="External"/><Relationship Id="rId94" Type="http://schemas.openxmlformats.org/officeDocument/2006/relationships/hyperlink" Target="http://inbuild.ai" TargetMode="External"/><Relationship Id="rId97" Type="http://schemas.openxmlformats.org/officeDocument/2006/relationships/hyperlink" Target="http://deskimo.com" TargetMode="External"/><Relationship Id="rId96" Type="http://schemas.openxmlformats.org/officeDocument/2006/relationships/hyperlink" Target="http://hyperbound.ai" TargetMode="External"/><Relationship Id="rId99" Type="http://schemas.openxmlformats.org/officeDocument/2006/relationships/hyperlink" Target="http://demodesk.com" TargetMode="External"/><Relationship Id="rId98" Type="http://schemas.openxmlformats.org/officeDocument/2006/relationships/hyperlink" Target="http://formance.com" TargetMode="External"/><Relationship Id="rId91" Type="http://schemas.openxmlformats.org/officeDocument/2006/relationships/hyperlink" Target="http://ekhodealer.com" TargetMode="External"/><Relationship Id="rId90" Type="http://schemas.openxmlformats.org/officeDocument/2006/relationships/hyperlink" Target="http://jiga.io" TargetMode="External"/><Relationship Id="rId93" Type="http://schemas.openxmlformats.org/officeDocument/2006/relationships/hyperlink" Target="http://disclo.com" TargetMode="External"/><Relationship Id="rId92" Type="http://schemas.openxmlformats.org/officeDocument/2006/relationships/hyperlink" Target="http://invofox.com" TargetMode="External"/><Relationship Id="rId359" Type="http://schemas.openxmlformats.org/officeDocument/2006/relationships/hyperlink" Target="http://command.ai" TargetMode="External"/><Relationship Id="rId358" Type="http://schemas.openxmlformats.org/officeDocument/2006/relationships/hyperlink" Target="http://trycoast.com" TargetMode="External"/><Relationship Id="rId357" Type="http://schemas.openxmlformats.org/officeDocument/2006/relationships/hyperlink" Target="http://cogram.com" TargetMode="External"/><Relationship Id="rId2270" Type="http://schemas.openxmlformats.org/officeDocument/2006/relationships/hyperlink" Target="http://fingerprintsdao.xyz" TargetMode="External"/><Relationship Id="rId2271" Type="http://schemas.openxmlformats.org/officeDocument/2006/relationships/hyperlink" Target="http://foodology.com.co" TargetMode="External"/><Relationship Id="rId352" Type="http://schemas.openxmlformats.org/officeDocument/2006/relationships/hyperlink" Target="http://cloudant.com" TargetMode="External"/><Relationship Id="rId2272" Type="http://schemas.openxmlformats.org/officeDocument/2006/relationships/hyperlink" Target="http://firstbasehq.com" TargetMode="External"/><Relationship Id="rId351" Type="http://schemas.openxmlformats.org/officeDocument/2006/relationships/hyperlink" Target="http://cofactr.com" TargetMode="External"/><Relationship Id="rId2273" Type="http://schemas.openxmlformats.org/officeDocument/2006/relationships/hyperlink" Target="http://fivetran.com" TargetMode="External"/><Relationship Id="rId350" Type="http://schemas.openxmlformats.org/officeDocument/2006/relationships/hyperlink" Target="http://close.com" TargetMode="External"/><Relationship Id="rId2274" Type="http://schemas.openxmlformats.org/officeDocument/2006/relationships/hyperlink" Target="http://forta.org" TargetMode="External"/><Relationship Id="rId2275" Type="http://schemas.openxmlformats.org/officeDocument/2006/relationships/hyperlink" Target="http://flashhoops.com" TargetMode="External"/><Relationship Id="rId356" Type="http://schemas.openxmlformats.org/officeDocument/2006/relationships/hyperlink" Target="http://clustrix.com" TargetMode="External"/><Relationship Id="rId2276" Type="http://schemas.openxmlformats.org/officeDocument/2006/relationships/hyperlink" Target="http://fortunahealth.com" TargetMode="External"/><Relationship Id="rId355" Type="http://schemas.openxmlformats.org/officeDocument/2006/relationships/hyperlink" Target="http://cognitohq.com" TargetMode="External"/><Relationship Id="rId2277" Type="http://schemas.openxmlformats.org/officeDocument/2006/relationships/hyperlink" Target="http://flavrs.com" TargetMode="External"/><Relationship Id="rId354" Type="http://schemas.openxmlformats.org/officeDocument/2006/relationships/hyperlink" Target="http://cloudkick.com" TargetMode="External"/><Relationship Id="rId2278" Type="http://schemas.openxmlformats.org/officeDocument/2006/relationships/hyperlink" Target="http://forwardnetworks.com" TargetMode="External"/><Relationship Id="rId353" Type="http://schemas.openxmlformats.org/officeDocument/2006/relationships/hyperlink" Target="http://cognitionip.com" TargetMode="External"/><Relationship Id="rId2279" Type="http://schemas.openxmlformats.org/officeDocument/2006/relationships/hyperlink" Target="http://flexport.com" TargetMode="External"/><Relationship Id="rId2225" Type="http://schemas.openxmlformats.org/officeDocument/2006/relationships/hyperlink" Target="http://envoy.com" TargetMode="External"/><Relationship Id="rId3557" Type="http://schemas.openxmlformats.org/officeDocument/2006/relationships/hyperlink" Target="http://www.myntra.com/" TargetMode="External"/><Relationship Id="rId2226" Type="http://schemas.openxmlformats.org/officeDocument/2006/relationships/hyperlink" Target="http://eclypsium.com" TargetMode="External"/><Relationship Id="rId3556" Type="http://schemas.openxmlformats.org/officeDocument/2006/relationships/hyperlink" Target="https://www.myglamm.com/" TargetMode="External"/><Relationship Id="rId2227" Type="http://schemas.openxmlformats.org/officeDocument/2006/relationships/hyperlink" Target="http://epal.gg" TargetMode="External"/><Relationship Id="rId3559" Type="http://schemas.openxmlformats.org/officeDocument/2006/relationships/hyperlink" Target="http://www.mywearstore.com/" TargetMode="External"/><Relationship Id="rId2228" Type="http://schemas.openxmlformats.org/officeDocument/2006/relationships/hyperlink" Target="http://eco.com" TargetMode="External"/><Relationship Id="rId3558" Type="http://schemas.openxmlformats.org/officeDocument/2006/relationships/hyperlink" Target="https://www.accel.com/relationships/mynvax" TargetMode="External"/><Relationship Id="rId2229" Type="http://schemas.openxmlformats.org/officeDocument/2006/relationships/hyperlink" Target="http://eigenlayer.xyz" TargetMode="External"/><Relationship Id="rId305" Type="http://schemas.openxmlformats.org/officeDocument/2006/relationships/hyperlink" Target="http://trychamp.co" TargetMode="External"/><Relationship Id="rId304" Type="http://schemas.openxmlformats.org/officeDocument/2006/relationships/hyperlink" Target="http://caper.ai" TargetMode="External"/><Relationship Id="rId303" Type="http://schemas.openxmlformats.org/officeDocument/2006/relationships/hyperlink" Target="http://cero.ai" TargetMode="External"/><Relationship Id="rId302" Type="http://schemas.openxmlformats.org/officeDocument/2006/relationships/hyperlink" Target="http://canopylabs.com" TargetMode="External"/><Relationship Id="rId309" Type="http://schemas.openxmlformats.org/officeDocument/2006/relationships/hyperlink" Target="http://chargehound.com" TargetMode="External"/><Relationship Id="rId308" Type="http://schemas.openxmlformats.org/officeDocument/2006/relationships/hyperlink" Target="http://casetext.com" TargetMode="External"/><Relationship Id="rId307" Type="http://schemas.openxmlformats.org/officeDocument/2006/relationships/hyperlink" Target="http://chaosgenius.io" TargetMode="External"/><Relationship Id="rId306" Type="http://schemas.openxmlformats.org/officeDocument/2006/relationships/hyperlink" Target="http://cartpanda.com" TargetMode="External"/><Relationship Id="rId3551" Type="http://schemas.openxmlformats.org/officeDocument/2006/relationships/hyperlink" Target="https://www.montecarlodata.com/" TargetMode="External"/><Relationship Id="rId2220" Type="http://schemas.openxmlformats.org/officeDocument/2006/relationships/hyperlink" Target="http://earli.com" TargetMode="External"/><Relationship Id="rId3550" Type="http://schemas.openxmlformats.org/officeDocument/2006/relationships/hyperlink" Target="http://www.moneyview.in/" TargetMode="External"/><Relationship Id="rId301" Type="http://schemas.openxmlformats.org/officeDocument/2006/relationships/hyperlink" Target="http://centralhq.com" TargetMode="External"/><Relationship Id="rId2221" Type="http://schemas.openxmlformats.org/officeDocument/2006/relationships/hyperlink" Target="http://engflow.com" TargetMode="External"/><Relationship Id="rId3553" Type="http://schemas.openxmlformats.org/officeDocument/2006/relationships/hyperlink" Target="https://moonfish.com/" TargetMode="External"/><Relationship Id="rId300" Type="http://schemas.openxmlformats.org/officeDocument/2006/relationships/hyperlink" Target="http://canix.com" TargetMode="External"/><Relationship Id="rId2222" Type="http://schemas.openxmlformats.org/officeDocument/2006/relationships/hyperlink" Target="http://earnbetter.com" TargetMode="External"/><Relationship Id="rId3552" Type="http://schemas.openxmlformats.org/officeDocument/2006/relationships/hyperlink" Target="http://www.monzo.com/" TargetMode="External"/><Relationship Id="rId2223" Type="http://schemas.openxmlformats.org/officeDocument/2006/relationships/hyperlink" Target="http://entropy.xyz" TargetMode="External"/><Relationship Id="rId3555" Type="http://schemas.openxmlformats.org/officeDocument/2006/relationships/hyperlink" Target="http://www.myfitnesspal.com/" TargetMode="External"/><Relationship Id="rId2224" Type="http://schemas.openxmlformats.org/officeDocument/2006/relationships/hyperlink" Target="http://earnin.com" TargetMode="External"/><Relationship Id="rId3554" Type="http://schemas.openxmlformats.org/officeDocument/2006/relationships/hyperlink" Target="http://www.mopub.com/" TargetMode="External"/><Relationship Id="rId2214" Type="http://schemas.openxmlformats.org/officeDocument/2006/relationships/hyperlink" Target="http://dwolla.com" TargetMode="External"/><Relationship Id="rId3546" Type="http://schemas.openxmlformats.org/officeDocument/2006/relationships/hyperlink" Target="https://www.misfitsmarket.com/" TargetMode="External"/><Relationship Id="rId2215" Type="http://schemas.openxmlformats.org/officeDocument/2006/relationships/hyperlink" Target="http://elegenbio.com" TargetMode="External"/><Relationship Id="rId3545" Type="http://schemas.openxmlformats.org/officeDocument/2006/relationships/hyperlink" Target="http://www.miro.com/" TargetMode="External"/><Relationship Id="rId2216" Type="http://schemas.openxmlformats.org/officeDocument/2006/relationships/hyperlink" Target="http://elevenlabs.io" TargetMode="External"/><Relationship Id="rId3548" Type="http://schemas.openxmlformats.org/officeDocument/2006/relationships/hyperlink" Target="http://www.moglix.com/" TargetMode="External"/><Relationship Id="rId2217" Type="http://schemas.openxmlformats.org/officeDocument/2006/relationships/hyperlink" Target="http://dynamic.xyz" TargetMode="External"/><Relationship Id="rId3547" Type="http://schemas.openxmlformats.org/officeDocument/2006/relationships/hyperlink" Target="http://www.modernloop.io/" TargetMode="External"/><Relationship Id="rId2218" Type="http://schemas.openxmlformats.org/officeDocument/2006/relationships/hyperlink" Target="http://dynotx.com" TargetMode="External"/><Relationship Id="rId2219" Type="http://schemas.openxmlformats.org/officeDocument/2006/relationships/hyperlink" Target="http://end.gg" TargetMode="External"/><Relationship Id="rId3549" Type="http://schemas.openxmlformats.org/officeDocument/2006/relationships/hyperlink" Target="https://www.monarchmoney.com/" TargetMode="External"/><Relationship Id="rId3540" Type="http://schemas.openxmlformats.org/officeDocument/2006/relationships/hyperlink" Target="http://mihup.com/" TargetMode="External"/><Relationship Id="rId2210" Type="http://schemas.openxmlformats.org/officeDocument/2006/relationships/hyperlink" Target="http://eclypsium.com" TargetMode="External"/><Relationship Id="rId3542" Type="http://schemas.openxmlformats.org/officeDocument/2006/relationships/hyperlink" Target="http://www.mindtickle.com/" TargetMode="External"/><Relationship Id="rId2211" Type="http://schemas.openxmlformats.org/officeDocument/2006/relationships/hyperlink" Target="http://doxel.ai" TargetMode="External"/><Relationship Id="rId3541" Type="http://schemas.openxmlformats.org/officeDocument/2006/relationships/hyperlink" Target="https://www.moshikids.com/" TargetMode="External"/><Relationship Id="rId2212" Type="http://schemas.openxmlformats.org/officeDocument/2006/relationships/hyperlink" Target="http://eco.com" TargetMode="External"/><Relationship Id="rId3544" Type="http://schemas.openxmlformats.org/officeDocument/2006/relationships/hyperlink" Target="https://miranatoys.com/" TargetMode="External"/><Relationship Id="rId2213" Type="http://schemas.openxmlformats.org/officeDocument/2006/relationships/hyperlink" Target="http://eigenlayer.xyz" TargetMode="External"/><Relationship Id="rId3543" Type="http://schemas.openxmlformats.org/officeDocument/2006/relationships/hyperlink" Target="https://www.minoanexperience.com/" TargetMode="External"/><Relationship Id="rId2247" Type="http://schemas.openxmlformats.org/officeDocument/2006/relationships/hyperlink" Target="http://fidocure.com" TargetMode="External"/><Relationship Id="rId3579" Type="http://schemas.openxmlformats.org/officeDocument/2006/relationships/hyperlink" Target="https://www.nuvemshop.com.br/" TargetMode="External"/><Relationship Id="rId2248" Type="http://schemas.openxmlformats.org/officeDocument/2006/relationships/hyperlink" Target="http://filmhub.com" TargetMode="External"/><Relationship Id="rId3578" Type="http://schemas.openxmlformats.org/officeDocument/2006/relationships/hyperlink" Target="https://www.nuitee.com/" TargetMode="External"/><Relationship Id="rId2249" Type="http://schemas.openxmlformats.org/officeDocument/2006/relationships/hyperlink" Target="http://everlaw.com" TargetMode="External"/><Relationship Id="rId327" Type="http://schemas.openxmlformats.org/officeDocument/2006/relationships/hyperlink" Target="http://claralabs.com" TargetMode="External"/><Relationship Id="rId326" Type="http://schemas.openxmlformats.org/officeDocument/2006/relationships/hyperlink" Target="http://chatfuel.com" TargetMode="External"/><Relationship Id="rId325" Type="http://schemas.openxmlformats.org/officeDocument/2006/relationships/hyperlink" Target="http://citusdata.com" TargetMode="External"/><Relationship Id="rId324" Type="http://schemas.openxmlformats.org/officeDocument/2006/relationships/hyperlink" Target="http://chartio.com" TargetMode="External"/><Relationship Id="rId329" Type="http://schemas.openxmlformats.org/officeDocument/2006/relationships/hyperlink" Target="http://clearbrain.com" TargetMode="External"/><Relationship Id="rId328" Type="http://schemas.openxmlformats.org/officeDocument/2006/relationships/hyperlink" Target="http://chipax.com" TargetMode="External"/><Relationship Id="rId3571" Type="http://schemas.openxmlformats.org/officeDocument/2006/relationships/hyperlink" Target="http://www.nextgnetworks.net/" TargetMode="External"/><Relationship Id="rId2240" Type="http://schemas.openxmlformats.org/officeDocument/2006/relationships/hyperlink" Target="http://entropy.xyz" TargetMode="External"/><Relationship Id="rId3570" Type="http://schemas.openxmlformats.org/officeDocument/2006/relationships/hyperlink" Target="http://www.nextbit.com/" TargetMode="External"/><Relationship Id="rId2241" Type="http://schemas.openxmlformats.org/officeDocument/2006/relationships/hyperlink" Target="http://fashivly.com" TargetMode="External"/><Relationship Id="rId3573" Type="http://schemas.openxmlformats.org/officeDocument/2006/relationships/hyperlink" Target="http://www.nimblestorage.com/" TargetMode="External"/><Relationship Id="rId2242" Type="http://schemas.openxmlformats.org/officeDocument/2006/relationships/hyperlink" Target="http://envoy.com" TargetMode="External"/><Relationship Id="rId3572" Type="http://schemas.openxmlformats.org/officeDocument/2006/relationships/hyperlink" Target="https://nimble.ai/" TargetMode="External"/><Relationship Id="rId323" Type="http://schemas.openxmlformats.org/officeDocument/2006/relationships/hyperlink" Target="http://circa.co" TargetMode="External"/><Relationship Id="rId2243" Type="http://schemas.openxmlformats.org/officeDocument/2006/relationships/hyperlink" Target="http://favorited.com" TargetMode="External"/><Relationship Id="rId3575" Type="http://schemas.openxmlformats.org/officeDocument/2006/relationships/hyperlink" Target="https://ninjacart.com/" TargetMode="External"/><Relationship Id="rId322" Type="http://schemas.openxmlformats.org/officeDocument/2006/relationships/hyperlink" Target="http://chargehound.com" TargetMode="External"/><Relationship Id="rId2244" Type="http://schemas.openxmlformats.org/officeDocument/2006/relationships/hyperlink" Target="http://epal.gg" TargetMode="External"/><Relationship Id="rId3574" Type="http://schemas.openxmlformats.org/officeDocument/2006/relationships/hyperlink" Target="http://www.nines.com/" TargetMode="External"/><Relationship Id="rId321" Type="http://schemas.openxmlformats.org/officeDocument/2006/relationships/hyperlink" Target="http://cinder.co" TargetMode="External"/><Relationship Id="rId2245" Type="http://schemas.openxmlformats.org/officeDocument/2006/relationships/hyperlink" Target="http://feedplan.com" TargetMode="External"/><Relationship Id="rId3577" Type="http://schemas.openxmlformats.org/officeDocument/2006/relationships/hyperlink" Target="https://nory.ai/" TargetMode="External"/><Relationship Id="rId320" Type="http://schemas.openxmlformats.org/officeDocument/2006/relationships/hyperlink" Target="http://chaosgenius.io" TargetMode="External"/><Relationship Id="rId2246" Type="http://schemas.openxmlformats.org/officeDocument/2006/relationships/hyperlink" Target="http://espressosys.com" TargetMode="External"/><Relationship Id="rId3576" Type="http://schemas.openxmlformats.org/officeDocument/2006/relationships/hyperlink" Target="https://www.goniyo.com/" TargetMode="External"/><Relationship Id="rId2236" Type="http://schemas.openxmlformats.org/officeDocument/2006/relationships/hyperlink" Target="http://end.gg" TargetMode="External"/><Relationship Id="rId3568" Type="http://schemas.openxmlformats.org/officeDocument/2006/relationships/hyperlink" Target="http://www.newrelic.com/" TargetMode="External"/><Relationship Id="rId2237" Type="http://schemas.openxmlformats.org/officeDocument/2006/relationships/hyperlink" Target="http://fal.ai/" TargetMode="External"/><Relationship Id="rId3567" Type="http://schemas.openxmlformats.org/officeDocument/2006/relationships/hyperlink" Target="http://www.netskope.com/" TargetMode="External"/><Relationship Id="rId2238" Type="http://schemas.openxmlformats.org/officeDocument/2006/relationships/hyperlink" Target="http://engflow.com" TargetMode="External"/><Relationship Id="rId2239" Type="http://schemas.openxmlformats.org/officeDocument/2006/relationships/hyperlink" Target="http://fanatics.com" TargetMode="External"/><Relationship Id="rId3569" Type="http://schemas.openxmlformats.org/officeDocument/2006/relationships/hyperlink" Target="https://newme.asia/" TargetMode="External"/><Relationship Id="rId316" Type="http://schemas.openxmlformats.org/officeDocument/2006/relationships/hyperlink" Target="http://cero.ai" TargetMode="External"/><Relationship Id="rId315" Type="http://schemas.openxmlformats.org/officeDocument/2006/relationships/hyperlink" Target="http://chipax.com" TargetMode="External"/><Relationship Id="rId314" Type="http://schemas.openxmlformats.org/officeDocument/2006/relationships/hyperlink" Target="http://centralhq.com" TargetMode="External"/><Relationship Id="rId313" Type="http://schemas.openxmlformats.org/officeDocument/2006/relationships/hyperlink" Target="http://chatfuel.com" TargetMode="External"/><Relationship Id="rId319" Type="http://schemas.openxmlformats.org/officeDocument/2006/relationships/hyperlink" Target="http://cinapse.io" TargetMode="External"/><Relationship Id="rId318" Type="http://schemas.openxmlformats.org/officeDocument/2006/relationships/hyperlink" Target="http://trychamp.co" TargetMode="External"/><Relationship Id="rId317" Type="http://schemas.openxmlformats.org/officeDocument/2006/relationships/hyperlink" Target="http://getchute.com" TargetMode="External"/><Relationship Id="rId3560" Type="http://schemas.openxmlformats.org/officeDocument/2006/relationships/hyperlink" Target="https://myxt.com/" TargetMode="External"/><Relationship Id="rId2230" Type="http://schemas.openxmlformats.org/officeDocument/2006/relationships/hyperlink" Target="http://espressosys.com" TargetMode="External"/><Relationship Id="rId3562" Type="http://schemas.openxmlformats.org/officeDocument/2006/relationships/hyperlink" Target="https://nanonets.com/" TargetMode="External"/><Relationship Id="rId2231" Type="http://schemas.openxmlformats.org/officeDocument/2006/relationships/hyperlink" Target="http://elegenbio.com" TargetMode="External"/><Relationship Id="rId3561" Type="http://schemas.openxmlformats.org/officeDocument/2006/relationships/hyperlink" Target="https://www.nakad.co/" TargetMode="External"/><Relationship Id="rId312" Type="http://schemas.openxmlformats.org/officeDocument/2006/relationships/hyperlink" Target="http://trycelery.com" TargetMode="External"/><Relationship Id="rId2232" Type="http://schemas.openxmlformats.org/officeDocument/2006/relationships/hyperlink" Target="http://elevenlabs.io" TargetMode="External"/><Relationship Id="rId3564" Type="http://schemas.openxmlformats.org/officeDocument/2006/relationships/hyperlink" Target="https://www.napkin.ai/" TargetMode="External"/><Relationship Id="rId311" Type="http://schemas.openxmlformats.org/officeDocument/2006/relationships/hyperlink" Target="http://chartio.com" TargetMode="External"/><Relationship Id="rId2233" Type="http://schemas.openxmlformats.org/officeDocument/2006/relationships/hyperlink" Target="http://everlaw.com" TargetMode="External"/><Relationship Id="rId3563" Type="http://schemas.openxmlformats.org/officeDocument/2006/relationships/hyperlink" Target="https://www.nansen.ai/" TargetMode="External"/><Relationship Id="rId310" Type="http://schemas.openxmlformats.org/officeDocument/2006/relationships/hyperlink" Target="http://castle.io" TargetMode="External"/><Relationship Id="rId2234" Type="http://schemas.openxmlformats.org/officeDocument/2006/relationships/hyperlink" Target="http://everyrealm.com" TargetMode="External"/><Relationship Id="rId3566" Type="http://schemas.openxmlformats.org/officeDocument/2006/relationships/hyperlink" Target="https://nebius.com/" TargetMode="External"/><Relationship Id="rId2235" Type="http://schemas.openxmlformats.org/officeDocument/2006/relationships/hyperlink" Target="http://exh.ai" TargetMode="External"/><Relationship Id="rId3565" Type="http://schemas.openxmlformats.org/officeDocument/2006/relationships/hyperlink" Target="http://www.narvar.com/" TargetMode="External"/><Relationship Id="rId4040" Type="http://schemas.openxmlformats.org/officeDocument/2006/relationships/hyperlink" Target="https://cuein.ai/" TargetMode="External"/><Relationship Id="rId4042" Type="http://schemas.openxmlformats.org/officeDocument/2006/relationships/hyperlink" Target="https://cycognito.com/" TargetMode="External"/><Relationship Id="rId4041" Type="http://schemas.openxmlformats.org/officeDocument/2006/relationships/hyperlink" Target="https://curvehealth.com/" TargetMode="External"/><Relationship Id="rId4044" Type="http://schemas.openxmlformats.org/officeDocument/2006/relationships/hyperlink" Target="https://darwinbox.com/" TargetMode="External"/><Relationship Id="rId4043" Type="http://schemas.openxmlformats.org/officeDocument/2006/relationships/hyperlink" Target="https://d2g-oncology.com/" TargetMode="External"/><Relationship Id="rId4046" Type="http://schemas.openxmlformats.org/officeDocument/2006/relationships/hyperlink" Target="https://datafleets.com/" TargetMode="External"/><Relationship Id="rId4045" Type="http://schemas.openxmlformats.org/officeDocument/2006/relationships/hyperlink" Target="https://databricks.com/" TargetMode="External"/><Relationship Id="rId4048" Type="http://schemas.openxmlformats.org/officeDocument/2006/relationships/hyperlink" Target="https://datorama.com/" TargetMode="External"/><Relationship Id="rId4047" Type="http://schemas.openxmlformats.org/officeDocument/2006/relationships/hyperlink" Target="https://datastax.com/" TargetMode="External"/><Relationship Id="rId4049" Type="http://schemas.openxmlformats.org/officeDocument/2006/relationships/hyperlink" Target="https://datos.io/" TargetMode="External"/><Relationship Id="rId4031" Type="http://schemas.openxmlformats.org/officeDocument/2006/relationships/hyperlink" Target="https://clutch.security/" TargetMode="External"/><Relationship Id="rId4030" Type="http://schemas.openxmlformats.org/officeDocument/2006/relationships/hyperlink" Target="https://cloudbees.com/" TargetMode="External"/><Relationship Id="rId297" Type="http://schemas.openxmlformats.org/officeDocument/2006/relationships/hyperlink" Target="http://castle.io" TargetMode="External"/><Relationship Id="rId4033" Type="http://schemas.openxmlformats.org/officeDocument/2006/relationships/hyperlink" Target="https://commando.dev/" TargetMode="External"/><Relationship Id="rId296" Type="http://schemas.openxmlformats.org/officeDocument/2006/relationships/hyperlink" Target="http://businessonbot.com" TargetMode="External"/><Relationship Id="rId4032" Type="http://schemas.openxmlformats.org/officeDocument/2006/relationships/hyperlink" Target="https://cohere-technologies.com/" TargetMode="External"/><Relationship Id="rId295" Type="http://schemas.openxmlformats.org/officeDocument/2006/relationships/hyperlink" Target="http://casetext.com" TargetMode="External"/><Relationship Id="rId4035" Type="http://schemas.openxmlformats.org/officeDocument/2006/relationships/hyperlink" Target="https://comprehend.com/" TargetMode="External"/><Relationship Id="rId294" Type="http://schemas.openxmlformats.org/officeDocument/2006/relationships/hyperlink" Target="http://bus.com" TargetMode="External"/><Relationship Id="rId4034" Type="http://schemas.openxmlformats.org/officeDocument/2006/relationships/hyperlink" Target="https://communitylabs.com/" TargetMode="External"/><Relationship Id="rId4037" Type="http://schemas.openxmlformats.org/officeDocument/2006/relationships/hyperlink" Target="https://cosmart.id/" TargetMode="External"/><Relationship Id="rId4036" Type="http://schemas.openxmlformats.org/officeDocument/2006/relationships/hyperlink" Target="https://www.confluera.com/" TargetMode="External"/><Relationship Id="rId299" Type="http://schemas.openxmlformats.org/officeDocument/2006/relationships/hyperlink" Target="http://trycelery.com" TargetMode="External"/><Relationship Id="rId4039" Type="http://schemas.openxmlformats.org/officeDocument/2006/relationships/hyperlink" Target="https://superfanapp.com/" TargetMode="External"/><Relationship Id="rId298" Type="http://schemas.openxmlformats.org/officeDocument/2006/relationships/hyperlink" Target="http://cutr.ai" TargetMode="External"/><Relationship Id="rId4038" Type="http://schemas.openxmlformats.org/officeDocument/2006/relationships/hyperlink" Target="https://craftsvilla.com/" TargetMode="External"/><Relationship Id="rId4060" Type="http://schemas.openxmlformats.org/officeDocument/2006/relationships/hyperlink" Target="https://edgespring.com/" TargetMode="External"/><Relationship Id="rId4062" Type="http://schemas.openxmlformats.org/officeDocument/2006/relationships/hyperlink" Target="https://elastifile.com/" TargetMode="External"/><Relationship Id="rId4061" Type="http://schemas.openxmlformats.org/officeDocument/2006/relationships/hyperlink" Target="https://ehealthinsurance.com/" TargetMode="External"/><Relationship Id="rId4064" Type="http://schemas.openxmlformats.org/officeDocument/2006/relationships/hyperlink" Target="https://elementum.com/" TargetMode="External"/><Relationship Id="rId4063" Type="http://schemas.openxmlformats.org/officeDocument/2006/relationships/hyperlink" Target="https://elementor.com/" TargetMode="External"/><Relationship Id="rId4066" Type="http://schemas.openxmlformats.org/officeDocument/2006/relationships/hyperlink" Target="https://endowus.com/" TargetMode="External"/><Relationship Id="rId4065" Type="http://schemas.openxmlformats.org/officeDocument/2006/relationships/hyperlink" Target="https://enable.com/" TargetMode="External"/><Relationship Id="rId4068" Type="http://schemas.openxmlformats.org/officeDocument/2006/relationships/hyperlink" Target="https://ensilo.com/" TargetMode="External"/><Relationship Id="rId4067" Type="http://schemas.openxmlformats.org/officeDocument/2006/relationships/hyperlink" Target="https://enlazatx.com/" TargetMode="External"/><Relationship Id="rId4069" Type="http://schemas.openxmlformats.org/officeDocument/2006/relationships/hyperlink" Target="https://eon.io/" TargetMode="External"/><Relationship Id="rId4051" Type="http://schemas.openxmlformats.org/officeDocument/2006/relationships/hyperlink" Target="https://daybreakhealth.com/" TargetMode="External"/><Relationship Id="rId4050" Type="http://schemas.openxmlformats.org/officeDocument/2006/relationships/hyperlink" Target="https://www.datrium.com/" TargetMode="External"/><Relationship Id="rId4053" Type="http://schemas.openxmlformats.org/officeDocument/2006/relationships/hyperlink" Target="https://descope.com/" TargetMode="External"/><Relationship Id="rId4052" Type="http://schemas.openxmlformats.org/officeDocument/2006/relationships/hyperlink" Target="https://delphix.com/" TargetMode="External"/><Relationship Id="rId4055" Type="http://schemas.openxmlformats.org/officeDocument/2006/relationships/hyperlink" Target="https://docker.com/" TargetMode="External"/><Relationship Id="rId4054" Type="http://schemas.openxmlformats.org/officeDocument/2006/relationships/hyperlink" Target="https://distyl.ai/" TargetMode="External"/><Relationship Id="rId4057" Type="http://schemas.openxmlformats.org/officeDocument/2006/relationships/hyperlink" Target="https://www.dpanda.in/" TargetMode="External"/><Relationship Id="rId4056" Type="http://schemas.openxmlformats.org/officeDocument/2006/relationships/hyperlink" Target="https://doubleclick.com/" TargetMode="External"/><Relationship Id="rId4059" Type="http://schemas.openxmlformats.org/officeDocument/2006/relationships/hyperlink" Target="https://eco.com/" TargetMode="External"/><Relationship Id="rId4058" Type="http://schemas.openxmlformats.org/officeDocument/2006/relationships/hyperlink" Target="https://dremio.com/" TargetMode="External"/><Relationship Id="rId4008" Type="http://schemas.openxmlformats.org/officeDocument/2006/relationships/hyperlink" Target="https://brocade.com/" TargetMode="External"/><Relationship Id="rId4007" Type="http://schemas.openxmlformats.org/officeDocument/2006/relationships/hyperlink" Target="https://brigit.com/" TargetMode="External"/><Relationship Id="rId4009" Type="http://schemas.openxmlformats.org/officeDocument/2006/relationships/hyperlink" Target="https://bromium.com/" TargetMode="External"/><Relationship Id="rId271" Type="http://schemas.openxmlformats.org/officeDocument/2006/relationships/hyperlink" Target="http://booktrope.com" TargetMode="External"/><Relationship Id="rId270" Type="http://schemas.openxmlformats.org/officeDocument/2006/relationships/hyperlink" Target="http://breadcrumbs.io" TargetMode="External"/><Relationship Id="rId269" Type="http://schemas.openxmlformats.org/officeDocument/2006/relationships/hyperlink" Target="http://hellobonsai.com" TargetMode="External"/><Relationship Id="rId264" Type="http://schemas.openxmlformats.org/officeDocument/2006/relationships/hyperlink" Target="http://blueonionlabs.com" TargetMode="External"/><Relationship Id="rId4000" Type="http://schemas.openxmlformats.org/officeDocument/2006/relationships/hyperlink" Target="https://bluenile.com/" TargetMode="External"/><Relationship Id="rId263" Type="http://schemas.openxmlformats.org/officeDocument/2006/relationships/hyperlink" Target="http://boostly.com" TargetMode="External"/><Relationship Id="rId262" Type="http://schemas.openxmlformats.org/officeDocument/2006/relationships/hyperlink" Target="http://bluecargo.io" TargetMode="External"/><Relationship Id="rId4002" Type="http://schemas.openxmlformats.org/officeDocument/2006/relationships/hyperlink" Target="https://bluepha.com/" TargetMode="External"/><Relationship Id="rId261" Type="http://schemas.openxmlformats.org/officeDocument/2006/relationships/hyperlink" Target="http://boostable.com" TargetMode="External"/><Relationship Id="rId4001" Type="http://schemas.openxmlformats.org/officeDocument/2006/relationships/hyperlink" Target="https://bluebirds.com/" TargetMode="External"/><Relationship Id="rId268" Type="http://schemas.openxmlformats.org/officeDocument/2006/relationships/hyperlink" Target="http://branch8.com" TargetMode="External"/><Relationship Id="rId4004" Type="http://schemas.openxmlformats.org/officeDocument/2006/relationships/hyperlink" Target="https://bmser.com/" TargetMode="External"/><Relationship Id="rId267" Type="http://schemas.openxmlformats.org/officeDocument/2006/relationships/hyperlink" Target="http://gobonfire.com" TargetMode="External"/><Relationship Id="rId4003" Type="http://schemas.openxmlformats.org/officeDocument/2006/relationships/hyperlink" Target="https://bluevine.com/" TargetMode="External"/><Relationship Id="rId266" Type="http://schemas.openxmlformats.org/officeDocument/2006/relationships/hyperlink" Target="http://brainboard.co" TargetMode="External"/><Relationship Id="rId4006" Type="http://schemas.openxmlformats.org/officeDocument/2006/relationships/hyperlink" Target="https://bonobos.com/" TargetMode="External"/><Relationship Id="rId265" Type="http://schemas.openxmlformats.org/officeDocument/2006/relationships/hyperlink" Target="http://bluecrewjobs.com" TargetMode="External"/><Relationship Id="rId4005" Type="http://schemas.openxmlformats.org/officeDocument/2006/relationships/hyperlink" Target="https://joinbonnet.com/" TargetMode="External"/><Relationship Id="rId260" Type="http://schemas.openxmlformats.org/officeDocument/2006/relationships/hyperlink" Target="http://booktrope.com" TargetMode="External"/><Relationship Id="rId259" Type="http://schemas.openxmlformats.org/officeDocument/2006/relationships/hyperlink" Target="http://bland.com" TargetMode="External"/><Relationship Id="rId258" Type="http://schemas.openxmlformats.org/officeDocument/2006/relationships/hyperlink" Target="http://hellobonsai.com" TargetMode="External"/><Relationship Id="rId2290" Type="http://schemas.openxmlformats.org/officeDocument/2006/relationships/hyperlink" Target="http://gamebeast.gg" TargetMode="External"/><Relationship Id="rId2291" Type="http://schemas.openxmlformats.org/officeDocument/2006/relationships/hyperlink" Target="http://forta.org" TargetMode="External"/><Relationship Id="rId2292" Type="http://schemas.openxmlformats.org/officeDocument/2006/relationships/hyperlink" Target="http://gamerxsociety.com" TargetMode="External"/><Relationship Id="rId2293" Type="http://schemas.openxmlformats.org/officeDocument/2006/relationships/hyperlink" Target="http://fortunahealth.com" TargetMode="External"/><Relationship Id="rId253" Type="http://schemas.openxmlformats.org/officeDocument/2006/relationships/hyperlink" Target="http://bikry.com" TargetMode="External"/><Relationship Id="rId2294" Type="http://schemas.openxmlformats.org/officeDocument/2006/relationships/hyperlink" Target="http://gatebio.com" TargetMode="External"/><Relationship Id="rId252" Type="http://schemas.openxmlformats.org/officeDocument/2006/relationships/hyperlink" Target="http://blueonionlabs.com" TargetMode="External"/><Relationship Id="rId2295" Type="http://schemas.openxmlformats.org/officeDocument/2006/relationships/hyperlink" Target="http://forwardnetworks.com" TargetMode="External"/><Relationship Id="rId251" Type="http://schemas.openxmlformats.org/officeDocument/2006/relationships/hyperlink" Target="http://bicycleai.com" TargetMode="External"/><Relationship Id="rId2296" Type="http://schemas.openxmlformats.org/officeDocument/2006/relationships/hyperlink" Target="http://gc-tx.com" TargetMode="External"/><Relationship Id="rId250" Type="http://schemas.openxmlformats.org/officeDocument/2006/relationships/hyperlink" Target="http://bluecargo.io" TargetMode="External"/><Relationship Id="rId2297" Type="http://schemas.openxmlformats.org/officeDocument/2006/relationships/hyperlink" Target="http://genesistherapeutics.ai" TargetMode="External"/><Relationship Id="rId257" Type="http://schemas.openxmlformats.org/officeDocument/2006/relationships/hyperlink" Target="http://bitnami.com" TargetMode="External"/><Relationship Id="rId2298" Type="http://schemas.openxmlformats.org/officeDocument/2006/relationships/hyperlink" Target="http://foursquare.com" TargetMode="External"/><Relationship Id="rId256" Type="http://schemas.openxmlformats.org/officeDocument/2006/relationships/hyperlink" Target="http://gobonfire.com" TargetMode="External"/><Relationship Id="rId2299" Type="http://schemas.openxmlformats.org/officeDocument/2006/relationships/hyperlink" Target="http://gensyn.ai" TargetMode="External"/><Relationship Id="rId255" Type="http://schemas.openxmlformats.org/officeDocument/2006/relationships/hyperlink" Target="http://biteninja.com" TargetMode="External"/><Relationship Id="rId254" Type="http://schemas.openxmlformats.org/officeDocument/2006/relationships/hyperlink" Target="http://bluecrewjobs.com" TargetMode="External"/><Relationship Id="rId4029" Type="http://schemas.openxmlformats.org/officeDocument/2006/relationships/hyperlink" Target="https://clickhouse.com/" TargetMode="External"/><Relationship Id="rId293" Type="http://schemas.openxmlformats.org/officeDocument/2006/relationships/hyperlink" Target="http://cartpanda.com" TargetMode="External"/><Relationship Id="rId292" Type="http://schemas.openxmlformats.org/officeDocument/2006/relationships/hyperlink" Target="http://bulletin.co" TargetMode="External"/><Relationship Id="rId291" Type="http://schemas.openxmlformats.org/officeDocument/2006/relationships/hyperlink" Target="http://caper.ai" TargetMode="External"/><Relationship Id="rId290" Type="http://schemas.openxmlformats.org/officeDocument/2006/relationships/hyperlink" Target="http://bujeti.com" TargetMode="External"/><Relationship Id="rId4020" Type="http://schemas.openxmlformats.org/officeDocument/2006/relationships/hyperlink" Target="https://celona.io/" TargetMode="External"/><Relationship Id="rId286" Type="http://schemas.openxmlformats.org/officeDocument/2006/relationships/hyperlink" Target="http://britebenefits.com" TargetMode="External"/><Relationship Id="rId4022" Type="http://schemas.openxmlformats.org/officeDocument/2006/relationships/hyperlink" Target="https://certik.com/" TargetMode="External"/><Relationship Id="rId285" Type="http://schemas.openxmlformats.org/officeDocument/2006/relationships/hyperlink" Target="http://cutr.ai" TargetMode="External"/><Relationship Id="rId4021" Type="http://schemas.openxmlformats.org/officeDocument/2006/relationships/hyperlink" Target="https://centricity.co.in/" TargetMode="External"/><Relationship Id="rId284" Type="http://schemas.openxmlformats.org/officeDocument/2006/relationships/hyperlink" Target="http://briohr.com" TargetMode="External"/><Relationship Id="rId4024" Type="http://schemas.openxmlformats.org/officeDocument/2006/relationships/hyperlink" Target="https://chaoslabs.xyz/" TargetMode="External"/><Relationship Id="rId283" Type="http://schemas.openxmlformats.org/officeDocument/2006/relationships/hyperlink" Target="http://businessonbot.com" TargetMode="External"/><Relationship Id="rId4023" Type="http://schemas.openxmlformats.org/officeDocument/2006/relationships/hyperlink" Target="https://chainguard.dev/" TargetMode="External"/><Relationship Id="rId4026" Type="http://schemas.openxmlformats.org/officeDocument/2006/relationships/hyperlink" Target="https://dronecitadel.com/" TargetMode="External"/><Relationship Id="rId289" Type="http://schemas.openxmlformats.org/officeDocument/2006/relationships/hyperlink" Target="http://canopylabs.com" TargetMode="External"/><Relationship Id="rId4025" Type="http://schemas.openxmlformats.org/officeDocument/2006/relationships/hyperlink" Target="https://ciena.com/" TargetMode="External"/><Relationship Id="rId288" Type="http://schemas.openxmlformats.org/officeDocument/2006/relationships/hyperlink" Target="http://buildbuddy.io" TargetMode="External"/><Relationship Id="rId4028" Type="http://schemas.openxmlformats.org/officeDocument/2006/relationships/hyperlink" Target="https://www.cleanliquor.com/" TargetMode="External"/><Relationship Id="rId287" Type="http://schemas.openxmlformats.org/officeDocument/2006/relationships/hyperlink" Target="http://canix.com" TargetMode="External"/><Relationship Id="rId4027" Type="http://schemas.openxmlformats.org/officeDocument/2006/relationships/hyperlink" Target="https://pota.hiclark.com/" TargetMode="External"/><Relationship Id="rId4019" Type="http://schemas.openxmlformats.org/officeDocument/2006/relationships/hyperlink" Target="https://celequest.com/" TargetMode="External"/><Relationship Id="rId4018" Type="http://schemas.openxmlformats.org/officeDocument/2006/relationships/hyperlink" Target="https://cartesia.ai/" TargetMode="External"/><Relationship Id="rId282" Type="http://schemas.openxmlformats.org/officeDocument/2006/relationships/hyperlink" Target="http://breadcrumbs.io" TargetMode="External"/><Relationship Id="rId281" Type="http://schemas.openxmlformats.org/officeDocument/2006/relationships/hyperlink" Target="http://bus.com" TargetMode="External"/><Relationship Id="rId280" Type="http://schemas.openxmlformats.org/officeDocument/2006/relationships/hyperlink" Target="http://branch8.com" TargetMode="External"/><Relationship Id="rId275" Type="http://schemas.openxmlformats.org/officeDocument/2006/relationships/hyperlink" Target="http://boostly.com" TargetMode="External"/><Relationship Id="rId4011" Type="http://schemas.openxmlformats.org/officeDocument/2006/relationships/hyperlink" Target="https://buildingconnected.com/" TargetMode="External"/><Relationship Id="rId274" Type="http://schemas.openxmlformats.org/officeDocument/2006/relationships/hyperlink" Target="http://britebenefits.com" TargetMode="External"/><Relationship Id="rId4010" Type="http://schemas.openxmlformats.org/officeDocument/2006/relationships/hyperlink" Target="https://btcchina.com/" TargetMode="External"/><Relationship Id="rId273" Type="http://schemas.openxmlformats.org/officeDocument/2006/relationships/hyperlink" Target="http://boostable.com" TargetMode="External"/><Relationship Id="rId4013" Type="http://schemas.openxmlformats.org/officeDocument/2006/relationships/hyperlink" Target="https://byjus.com/" TargetMode="External"/><Relationship Id="rId272" Type="http://schemas.openxmlformats.org/officeDocument/2006/relationships/hyperlink" Target="http://briohr.com" TargetMode="External"/><Relationship Id="rId4012" Type="http://schemas.openxmlformats.org/officeDocument/2006/relationships/hyperlink" Target="https://buildots.com/" TargetMode="External"/><Relationship Id="rId279" Type="http://schemas.openxmlformats.org/officeDocument/2006/relationships/hyperlink" Target="http://bulletin.co" TargetMode="External"/><Relationship Id="rId4015" Type="http://schemas.openxmlformats.org/officeDocument/2006/relationships/hyperlink" Target="https://calm.com/" TargetMode="External"/><Relationship Id="rId278" Type="http://schemas.openxmlformats.org/officeDocument/2006/relationships/hyperlink" Target="http://brainboard.co" TargetMode="External"/><Relationship Id="rId4014" Type="http://schemas.openxmlformats.org/officeDocument/2006/relationships/hyperlink" Target="https://calistatechnologies.com/" TargetMode="External"/><Relationship Id="rId277" Type="http://schemas.openxmlformats.org/officeDocument/2006/relationships/hyperlink" Target="http://bujeti.com" TargetMode="External"/><Relationship Id="rId4017" Type="http://schemas.openxmlformats.org/officeDocument/2006/relationships/hyperlink" Target="https://candis.io/" TargetMode="External"/><Relationship Id="rId276" Type="http://schemas.openxmlformats.org/officeDocument/2006/relationships/hyperlink" Target="http://buildbuddy.io" TargetMode="External"/><Relationship Id="rId4016" Type="http://schemas.openxmlformats.org/officeDocument/2006/relationships/hyperlink" Target="https://cameo.com/" TargetMode="External"/><Relationship Id="rId1851" Type="http://schemas.openxmlformats.org/officeDocument/2006/relationships/hyperlink" Target="http://sigopt.com" TargetMode="External"/><Relationship Id="rId1852" Type="http://schemas.openxmlformats.org/officeDocument/2006/relationships/hyperlink" Target="http://reflektive.com" TargetMode="External"/><Relationship Id="rId1853" Type="http://schemas.openxmlformats.org/officeDocument/2006/relationships/hyperlink" Target="http://rsa.com" TargetMode="External"/><Relationship Id="rId1854" Type="http://schemas.openxmlformats.org/officeDocument/2006/relationships/hyperlink" Target="http://ribbonhealth.com" TargetMode="External"/><Relationship Id="rId1855" Type="http://schemas.openxmlformats.org/officeDocument/2006/relationships/hyperlink" Target="http://skout.com" TargetMode="External"/><Relationship Id="rId1856" Type="http://schemas.openxmlformats.org/officeDocument/2006/relationships/hyperlink" Target="http://rigetti.com" TargetMode="External"/><Relationship Id="rId1857" Type="http://schemas.openxmlformats.org/officeDocument/2006/relationships/hyperlink" Target="http://soylent.com" TargetMode="External"/><Relationship Id="rId1858" Type="http://schemas.openxmlformats.org/officeDocument/2006/relationships/hyperlink" Target="http://rival.co" TargetMode="External"/><Relationship Id="rId1859" Type="http://schemas.openxmlformats.org/officeDocument/2006/relationships/hyperlink" Target="http://stackoverflowbusiness.com" TargetMode="External"/><Relationship Id="rId1850" Type="http://schemas.openxmlformats.org/officeDocument/2006/relationships/hyperlink" Target="http://redditinc.com" TargetMode="External"/><Relationship Id="rId1840" Type="http://schemas.openxmlformats.org/officeDocument/2006/relationships/hyperlink" Target="http://pixate.com" TargetMode="External"/><Relationship Id="rId1841" Type="http://schemas.openxmlformats.org/officeDocument/2006/relationships/hyperlink" Target="http://rtfkt.com" TargetMode="External"/><Relationship Id="rId1842" Type="http://schemas.openxmlformats.org/officeDocument/2006/relationships/hyperlink" Target="http://platfora.com" TargetMode="External"/><Relationship Id="rId1843" Type="http://schemas.openxmlformats.org/officeDocument/2006/relationships/hyperlink" Target="http://samsara.com" TargetMode="External"/><Relationship Id="rId1844" Type="http://schemas.openxmlformats.org/officeDocument/2006/relationships/hyperlink" Target="http://producthunt.com" TargetMode="External"/><Relationship Id="rId1845" Type="http://schemas.openxmlformats.org/officeDocument/2006/relationships/hyperlink" Target="http://seedfi.com" TargetMode="External"/><Relationship Id="rId1846" Type="http://schemas.openxmlformats.org/officeDocument/2006/relationships/hyperlink" Target="http://quantopian.com" TargetMode="External"/><Relationship Id="rId1847" Type="http://schemas.openxmlformats.org/officeDocument/2006/relationships/hyperlink" Target="http://shoedazzle.com" TargetMode="External"/><Relationship Id="rId1848" Type="http://schemas.openxmlformats.org/officeDocument/2006/relationships/hyperlink" Target="http://redhotlabs.com" TargetMode="External"/><Relationship Id="rId1849" Type="http://schemas.openxmlformats.org/officeDocument/2006/relationships/hyperlink" Target="http://signalfx.com" TargetMode="External"/><Relationship Id="rId1873" Type="http://schemas.openxmlformats.org/officeDocument/2006/relationships/hyperlink" Target="http://rsa.com" TargetMode="External"/><Relationship Id="rId1874" Type="http://schemas.openxmlformats.org/officeDocument/2006/relationships/hyperlink" Target="http://tinyco.com" TargetMode="External"/><Relationship Id="rId1875" Type="http://schemas.openxmlformats.org/officeDocument/2006/relationships/hyperlink" Target="http://skout.com" TargetMode="External"/><Relationship Id="rId1876" Type="http://schemas.openxmlformats.org/officeDocument/2006/relationships/hyperlink" Target="http://tmunity.com" TargetMode="External"/><Relationship Id="rId1877" Type="http://schemas.openxmlformats.org/officeDocument/2006/relationships/hyperlink" Target="http://soylent.com" TargetMode="External"/><Relationship Id="rId1878" Type="http://schemas.openxmlformats.org/officeDocument/2006/relationships/hyperlink" Target="http://tomfoolery.com" TargetMode="External"/><Relationship Id="rId1879" Type="http://schemas.openxmlformats.org/officeDocument/2006/relationships/hyperlink" Target="http://stackoverflowbusiness.com" TargetMode="External"/><Relationship Id="rId1870" Type="http://schemas.openxmlformats.org/officeDocument/2006/relationships/hyperlink" Target="http://insightsoftware.com" TargetMode="External"/><Relationship Id="rId1871" Type="http://schemas.openxmlformats.org/officeDocument/2006/relationships/hyperlink" Target="http://sigopt.com" TargetMode="External"/><Relationship Id="rId1872" Type="http://schemas.openxmlformats.org/officeDocument/2006/relationships/hyperlink" Target="http://tilt.com" TargetMode="External"/><Relationship Id="rId1862" Type="http://schemas.openxmlformats.org/officeDocument/2006/relationships/hyperlink" Target="http://swiftype.com" TargetMode="External"/><Relationship Id="rId1863" Type="http://schemas.openxmlformats.org/officeDocument/2006/relationships/hyperlink" Target="http://samsara.com" TargetMode="External"/><Relationship Id="rId1864" Type="http://schemas.openxmlformats.org/officeDocument/2006/relationships/hyperlink" Target="http://tabular.io" TargetMode="External"/><Relationship Id="rId1865" Type="http://schemas.openxmlformats.org/officeDocument/2006/relationships/hyperlink" Target="http://seedfi.com" TargetMode="External"/><Relationship Id="rId1866" Type="http://schemas.openxmlformats.org/officeDocument/2006/relationships/hyperlink" Target="http://teleport.org" TargetMode="External"/><Relationship Id="rId1867" Type="http://schemas.openxmlformats.org/officeDocument/2006/relationships/hyperlink" Target="http://shoedazzle.com" TargetMode="External"/><Relationship Id="rId1868" Type="http://schemas.openxmlformats.org/officeDocument/2006/relationships/hyperlink" Target="http://tenfold.com" TargetMode="External"/><Relationship Id="rId1869" Type="http://schemas.openxmlformats.org/officeDocument/2006/relationships/hyperlink" Target="http://signalfx.com" TargetMode="External"/><Relationship Id="rId1860" Type="http://schemas.openxmlformats.org/officeDocument/2006/relationships/hyperlink" Target="http://corp.roblox.com" TargetMode="External"/><Relationship Id="rId1861" Type="http://schemas.openxmlformats.org/officeDocument/2006/relationships/hyperlink" Target="http://rtfkt.com" TargetMode="External"/><Relationship Id="rId1810" Type="http://schemas.openxmlformats.org/officeDocument/2006/relationships/hyperlink" Target="http://optimizely.com" TargetMode="External"/><Relationship Id="rId1811" Type="http://schemas.openxmlformats.org/officeDocument/2006/relationships/hyperlink" Target="http://lyft.com" TargetMode="External"/><Relationship Id="rId1812" Type="http://schemas.openxmlformats.org/officeDocument/2006/relationships/hyperlink" Target="http://lytro.com" TargetMode="External"/><Relationship Id="rId1813" Type="http://schemas.openxmlformats.org/officeDocument/2006/relationships/hyperlink" Target="http://pagerduty.com" TargetMode="External"/><Relationship Id="rId1814" Type="http://schemas.openxmlformats.org/officeDocument/2006/relationships/hyperlink" Target="http://memorahealth.com" TargetMode="External"/><Relationship Id="rId1815" Type="http://schemas.openxmlformats.org/officeDocument/2006/relationships/hyperlink" Target="http://parsecgaming.com" TargetMode="External"/><Relationship Id="rId1816" Type="http://schemas.openxmlformats.org/officeDocument/2006/relationships/hyperlink" Target="http://vmware.com" TargetMode="External"/><Relationship Id="rId1817" Type="http://schemas.openxmlformats.org/officeDocument/2006/relationships/hyperlink" Target="http://patientping.com" TargetMode="External"/><Relationship Id="rId1818" Type="http://schemas.openxmlformats.org/officeDocument/2006/relationships/hyperlink" Target="http://store.facebook.com" TargetMode="External"/><Relationship Id="rId1819" Type="http://schemas.openxmlformats.org/officeDocument/2006/relationships/hyperlink" Target="http://pinterest.com" TargetMode="External"/><Relationship Id="rId4080" Type="http://schemas.openxmlformats.org/officeDocument/2006/relationships/hyperlink" Target="https://eyeviewdigital.com/" TargetMode="External"/><Relationship Id="rId4082" Type="http://schemas.openxmlformats.org/officeDocument/2006/relationships/hyperlink" Target="https://faceu.net/" TargetMode="External"/><Relationship Id="rId4081" Type="http://schemas.openxmlformats.org/officeDocument/2006/relationships/hyperlink" Target="https://ezcater.com/" TargetMode="External"/><Relationship Id="rId4084" Type="http://schemas.openxmlformats.org/officeDocument/2006/relationships/hyperlink" Target="https://fcf.io/home" TargetMode="External"/><Relationship Id="rId4083" Type="http://schemas.openxmlformats.org/officeDocument/2006/relationships/hyperlink" Target="https://falconx.io/" TargetMode="External"/><Relationship Id="rId4086" Type="http://schemas.openxmlformats.org/officeDocument/2006/relationships/hyperlink" Target="https://farther.com/" TargetMode="External"/><Relationship Id="rId4085" Type="http://schemas.openxmlformats.org/officeDocument/2006/relationships/hyperlink" Target="https://faraway.gg/" TargetMode="External"/><Relationship Id="rId4088" Type="http://schemas.openxmlformats.org/officeDocument/2006/relationships/hyperlink" Target="https://fathomhealth.com/" TargetMode="External"/><Relationship Id="rId4087" Type="http://schemas.openxmlformats.org/officeDocument/2006/relationships/hyperlink" Target="https://fashionara.com/" TargetMode="External"/><Relationship Id="rId4089" Type="http://schemas.openxmlformats.org/officeDocument/2006/relationships/hyperlink" Target="https://fiddler.ai/" TargetMode="External"/><Relationship Id="rId1800" Type="http://schemas.openxmlformats.org/officeDocument/2006/relationships/hyperlink" Target="http://julep.com" TargetMode="External"/><Relationship Id="rId1801" Type="http://schemas.openxmlformats.org/officeDocument/2006/relationships/hyperlink" Target="http://store.facebook.com" TargetMode="External"/><Relationship Id="rId1802" Type="http://schemas.openxmlformats.org/officeDocument/2006/relationships/hyperlink" Target="http://keybase.io" TargetMode="External"/><Relationship Id="rId1803" Type="http://schemas.openxmlformats.org/officeDocument/2006/relationships/hyperlink" Target="http://okta.com" TargetMode="External"/><Relationship Id="rId1804" Type="http://schemas.openxmlformats.org/officeDocument/2006/relationships/hyperlink" Target="http://onshape.com" TargetMode="External"/><Relationship Id="rId1805" Type="http://schemas.openxmlformats.org/officeDocument/2006/relationships/hyperlink" Target="http://loom.com" TargetMode="External"/><Relationship Id="rId1806" Type="http://schemas.openxmlformats.org/officeDocument/2006/relationships/hyperlink" Target="http://opendoor.com" TargetMode="External"/><Relationship Id="rId1807" Type="http://schemas.openxmlformats.org/officeDocument/2006/relationships/hyperlink" Target="http://lowkey.gg" TargetMode="External"/><Relationship Id="rId1808" Type="http://schemas.openxmlformats.org/officeDocument/2006/relationships/hyperlink" Target="http://openinvest.com" TargetMode="External"/><Relationship Id="rId1809" Type="http://schemas.openxmlformats.org/officeDocument/2006/relationships/hyperlink" Target="http://judgeholdings.com" TargetMode="External"/><Relationship Id="rId4071" Type="http://schemas.openxmlformats.org/officeDocument/2006/relationships/hyperlink" Target="https://epsagon.com/" TargetMode="External"/><Relationship Id="rId4070" Type="http://schemas.openxmlformats.org/officeDocument/2006/relationships/hyperlink" Target="https://epropulsion.cn/" TargetMode="External"/><Relationship Id="rId4073" Type="http://schemas.openxmlformats.org/officeDocument/2006/relationships/hyperlink" Target="https://eve.com/" TargetMode="External"/><Relationship Id="rId4072" Type="http://schemas.openxmlformats.org/officeDocument/2006/relationships/hyperlink" Target="https://eve.legal/" TargetMode="External"/><Relationship Id="rId4075" Type="http://schemas.openxmlformats.org/officeDocument/2006/relationships/hyperlink" Target="https://everstring.com/" TargetMode="External"/><Relationship Id="rId4074" Type="http://schemas.openxmlformats.org/officeDocument/2006/relationships/hyperlink" Target="https://evenuplaw.com/" TargetMode="External"/><Relationship Id="rId4077" Type="http://schemas.openxmlformats.org/officeDocument/2006/relationships/hyperlink" Target="https://exa.ai/" TargetMode="External"/><Relationship Id="rId4076" Type="http://schemas.openxmlformats.org/officeDocument/2006/relationships/hyperlink" Target="https://everyrealm.com/" TargetMode="External"/><Relationship Id="rId4079" Type="http://schemas.openxmlformats.org/officeDocument/2006/relationships/hyperlink" Target="https://exponent.energy/" TargetMode="External"/><Relationship Id="rId4078" Type="http://schemas.openxmlformats.org/officeDocument/2006/relationships/hyperlink" Target="https://exabeam.com/" TargetMode="External"/><Relationship Id="rId1830" Type="http://schemas.openxmlformats.org/officeDocument/2006/relationships/hyperlink" Target="http://redditinc.com" TargetMode="External"/><Relationship Id="rId1831" Type="http://schemas.openxmlformats.org/officeDocument/2006/relationships/hyperlink" Target="http://pagerduty.com" TargetMode="External"/><Relationship Id="rId1832" Type="http://schemas.openxmlformats.org/officeDocument/2006/relationships/hyperlink" Target="http://reflektive.com" TargetMode="External"/><Relationship Id="rId1833" Type="http://schemas.openxmlformats.org/officeDocument/2006/relationships/hyperlink" Target="http://parsecgaming.com" TargetMode="External"/><Relationship Id="rId1834" Type="http://schemas.openxmlformats.org/officeDocument/2006/relationships/hyperlink" Target="http://ribbonhealth.com" TargetMode="External"/><Relationship Id="rId1835" Type="http://schemas.openxmlformats.org/officeDocument/2006/relationships/hyperlink" Target="http://rigetti.com" TargetMode="External"/><Relationship Id="rId1836" Type="http://schemas.openxmlformats.org/officeDocument/2006/relationships/hyperlink" Target="http://patientping.com" TargetMode="External"/><Relationship Id="rId1837" Type="http://schemas.openxmlformats.org/officeDocument/2006/relationships/hyperlink" Target="http://rival.co" TargetMode="External"/><Relationship Id="rId1838" Type="http://schemas.openxmlformats.org/officeDocument/2006/relationships/hyperlink" Target="http://pinterest.com" TargetMode="External"/><Relationship Id="rId1839" Type="http://schemas.openxmlformats.org/officeDocument/2006/relationships/hyperlink" Target="http://corp.roblox.com" TargetMode="External"/><Relationship Id="rId1820" Type="http://schemas.openxmlformats.org/officeDocument/2006/relationships/hyperlink" Target="http://okta.com" TargetMode="External"/><Relationship Id="rId1821" Type="http://schemas.openxmlformats.org/officeDocument/2006/relationships/hyperlink" Target="http://pixate.com" TargetMode="External"/><Relationship Id="rId1822" Type="http://schemas.openxmlformats.org/officeDocument/2006/relationships/hyperlink" Target="http://onshape.com" TargetMode="External"/><Relationship Id="rId1823" Type="http://schemas.openxmlformats.org/officeDocument/2006/relationships/hyperlink" Target="http://platfora.com" TargetMode="External"/><Relationship Id="rId1824" Type="http://schemas.openxmlformats.org/officeDocument/2006/relationships/hyperlink" Target="http://opendoor.com" TargetMode="External"/><Relationship Id="rId1825" Type="http://schemas.openxmlformats.org/officeDocument/2006/relationships/hyperlink" Target="http://producthunt.com" TargetMode="External"/><Relationship Id="rId1826" Type="http://schemas.openxmlformats.org/officeDocument/2006/relationships/hyperlink" Target="http://openinvest.com" TargetMode="External"/><Relationship Id="rId1827" Type="http://schemas.openxmlformats.org/officeDocument/2006/relationships/hyperlink" Target="http://quantopian.com" TargetMode="External"/><Relationship Id="rId1828" Type="http://schemas.openxmlformats.org/officeDocument/2006/relationships/hyperlink" Target="http://optimizely.com" TargetMode="External"/><Relationship Id="rId1829" Type="http://schemas.openxmlformats.org/officeDocument/2006/relationships/hyperlink" Target="http://redhotlabs.com" TargetMode="External"/><Relationship Id="rId4091" Type="http://schemas.openxmlformats.org/officeDocument/2006/relationships/hyperlink" Target="https://finaloop.com/" TargetMode="External"/><Relationship Id="rId4090" Type="http://schemas.openxmlformats.org/officeDocument/2006/relationships/hyperlink" Target="https://fidu.la/" TargetMode="External"/><Relationship Id="rId4093" Type="http://schemas.openxmlformats.org/officeDocument/2006/relationships/hyperlink" Target="https://finvgroup.com/" TargetMode="External"/><Relationship Id="rId4092" Type="http://schemas.openxmlformats.org/officeDocument/2006/relationships/hyperlink" Target="https://finixpayments.com/" TargetMode="External"/><Relationship Id="rId4095" Type="http://schemas.openxmlformats.org/officeDocument/2006/relationships/hyperlink" Target="https://fivestars.com/" TargetMode="External"/><Relationship Id="rId4094" Type="http://schemas.openxmlformats.org/officeDocument/2006/relationships/hyperlink" Target="https://fire.glass/" TargetMode="External"/><Relationship Id="rId4097" Type="http://schemas.openxmlformats.org/officeDocument/2006/relationships/hyperlink" Target="https://flickplay.co/" TargetMode="External"/><Relationship Id="rId4096" Type="http://schemas.openxmlformats.org/officeDocument/2006/relationships/hyperlink" Target="https://fizzsocial.app/" TargetMode="External"/><Relationship Id="rId4099" Type="http://schemas.openxmlformats.org/officeDocument/2006/relationships/hyperlink" Target="https://justflip.com/" TargetMode="External"/><Relationship Id="rId4098" Type="http://schemas.openxmlformats.org/officeDocument/2006/relationships/hyperlink" Target="https://miflink.com/" TargetMode="External"/><Relationship Id="rId2302" Type="http://schemas.openxmlformats.org/officeDocument/2006/relationships/hyperlink" Target="http://glorify-app.com" TargetMode="External"/><Relationship Id="rId3634" Type="http://schemas.openxmlformats.org/officeDocument/2006/relationships/hyperlink" Target="http://www.quiph.com/" TargetMode="External"/><Relationship Id="rId2303" Type="http://schemas.openxmlformats.org/officeDocument/2006/relationships/hyperlink" Target="http://fu.do" TargetMode="External"/><Relationship Id="rId3633" Type="http://schemas.openxmlformats.org/officeDocument/2006/relationships/hyperlink" Target="http://www.brandwatch.com/" TargetMode="External"/><Relationship Id="rId2304" Type="http://schemas.openxmlformats.org/officeDocument/2006/relationships/hyperlink" Target="http://glossbird.com" TargetMode="External"/><Relationship Id="rId3636" Type="http://schemas.openxmlformats.org/officeDocument/2006/relationships/hyperlink" Target="http://www.qubit.com/" TargetMode="External"/><Relationship Id="rId2305" Type="http://schemas.openxmlformats.org/officeDocument/2006/relationships/hyperlink" Target="http://functionhealth.com" TargetMode="External"/><Relationship Id="rId3635" Type="http://schemas.openxmlformats.org/officeDocument/2006/relationships/hyperlink" Target="http://www.qualtrics.com/" TargetMode="External"/><Relationship Id="rId2306" Type="http://schemas.openxmlformats.org/officeDocument/2006/relationships/hyperlink" Target="http://glowing.com" TargetMode="External"/><Relationship Id="rId3638" Type="http://schemas.openxmlformats.org/officeDocument/2006/relationships/hyperlink" Target="http://www.qwikcilver.com/" TargetMode="External"/><Relationship Id="rId2307" Type="http://schemas.openxmlformats.org/officeDocument/2006/relationships/hyperlink" Target="http://functiononcology.com" TargetMode="External"/><Relationship Id="rId3637" Type="http://schemas.openxmlformats.org/officeDocument/2006/relationships/hyperlink" Target="http://www.quokkadev.com/" TargetMode="External"/><Relationship Id="rId2308" Type="http://schemas.openxmlformats.org/officeDocument/2006/relationships/hyperlink" Target="http://gooddata.com" TargetMode="External"/><Relationship Id="rId2309" Type="http://schemas.openxmlformats.org/officeDocument/2006/relationships/hyperlink" Target="http://gamebeast.gg" TargetMode="External"/><Relationship Id="rId3639" Type="http://schemas.openxmlformats.org/officeDocument/2006/relationships/hyperlink" Target="http://www.qwilt.com/" TargetMode="External"/><Relationship Id="rId3630" Type="http://schemas.openxmlformats.org/officeDocument/2006/relationships/hyperlink" Target="http://www.qikpod.com/" TargetMode="External"/><Relationship Id="rId2300" Type="http://schemas.openxmlformats.org/officeDocument/2006/relationships/hyperlink" Target="http://puzzlewizards.net" TargetMode="External"/><Relationship Id="rId3632" Type="http://schemas.openxmlformats.org/officeDocument/2006/relationships/hyperlink" Target="https://www.qogita.com/" TargetMode="External"/><Relationship Id="rId2301" Type="http://schemas.openxmlformats.org/officeDocument/2006/relationships/hyperlink" Target="http://freenome.com" TargetMode="External"/><Relationship Id="rId3631" Type="http://schemas.openxmlformats.org/officeDocument/2006/relationships/hyperlink" Target="http://www.qmctelecom.com.br/" TargetMode="External"/><Relationship Id="rId3623" Type="http://schemas.openxmlformats.org/officeDocument/2006/relationships/hyperlink" Target="https://www.prodigaltech.com/" TargetMode="External"/><Relationship Id="rId3622" Type="http://schemas.openxmlformats.org/officeDocument/2006/relationships/hyperlink" Target="http://www.process.st/" TargetMode="External"/><Relationship Id="rId3625" Type="http://schemas.openxmlformats.org/officeDocument/2006/relationships/hyperlink" Target="https://produze.com/" TargetMode="External"/><Relationship Id="rId3624" Type="http://schemas.openxmlformats.org/officeDocument/2006/relationships/hyperlink" Target="http://www.productiv.com/" TargetMode="External"/><Relationship Id="rId3627" Type="http://schemas.openxmlformats.org/officeDocument/2006/relationships/hyperlink" Target="http://www.propelleraero.com/" TargetMode="External"/><Relationship Id="rId3626" Type="http://schemas.openxmlformats.org/officeDocument/2006/relationships/hyperlink" Target="https://protect-eu.mimecast.com/s/z880CpYolS9jQgjHPbKvp?domain=projectdiscovery.io" TargetMode="External"/><Relationship Id="rId3629" Type="http://schemas.openxmlformats.org/officeDocument/2006/relationships/hyperlink" Target="https://www.pynhq.com/" TargetMode="External"/><Relationship Id="rId3628" Type="http://schemas.openxmlformats.org/officeDocument/2006/relationships/hyperlink" Target="http://www.proptiger.com/" TargetMode="External"/><Relationship Id="rId3621" Type="http://schemas.openxmlformats.org/officeDocument/2006/relationships/hyperlink" Target="http://www.probeinformation.com/" TargetMode="External"/><Relationship Id="rId3620" Type="http://schemas.openxmlformats.org/officeDocument/2006/relationships/hyperlink" Target="http://www.privitar.com/" TargetMode="External"/><Relationship Id="rId2324" Type="http://schemas.openxmlformats.org/officeDocument/2006/relationships/hyperlink" Target="http://glossbird.com" TargetMode="External"/><Relationship Id="rId3656" Type="http://schemas.openxmlformats.org/officeDocument/2006/relationships/hyperlink" Target="http://www.riskrecon.com/" TargetMode="External"/><Relationship Id="rId2325" Type="http://schemas.openxmlformats.org/officeDocument/2006/relationships/hyperlink" Target="http://harbor.com" TargetMode="External"/><Relationship Id="rId3655" Type="http://schemas.openxmlformats.org/officeDocument/2006/relationships/hyperlink" Target="https://app.rigi.club/" TargetMode="External"/><Relationship Id="rId2326" Type="http://schemas.openxmlformats.org/officeDocument/2006/relationships/hyperlink" Target="http://glowing.com" TargetMode="External"/><Relationship Id="rId3658" Type="http://schemas.openxmlformats.org/officeDocument/2006/relationships/hyperlink" Target="http://www.rows.com/" TargetMode="External"/><Relationship Id="rId2327" Type="http://schemas.openxmlformats.org/officeDocument/2006/relationships/hyperlink" Target="http://headway.co" TargetMode="External"/><Relationship Id="rId3657" Type="http://schemas.openxmlformats.org/officeDocument/2006/relationships/hyperlink" Target="http://www.rovio.com/" TargetMode="External"/><Relationship Id="rId2328" Type="http://schemas.openxmlformats.org/officeDocument/2006/relationships/hyperlink" Target="http://gooddata.com" TargetMode="External"/><Relationship Id="rId2329" Type="http://schemas.openxmlformats.org/officeDocument/2006/relationships/hyperlink" Target="http://hebbia.ai" TargetMode="External"/><Relationship Id="rId3659" Type="http://schemas.openxmlformats.org/officeDocument/2006/relationships/hyperlink" Target="http://www.rupeek.com/" TargetMode="External"/><Relationship Id="rId3650" Type="http://schemas.openxmlformats.org/officeDocument/2006/relationships/hyperlink" Target="https://remote.com/" TargetMode="External"/><Relationship Id="rId2320" Type="http://schemas.openxmlformats.org/officeDocument/2006/relationships/hyperlink" Target="http://puzzlewizards.net" TargetMode="External"/><Relationship Id="rId3652" Type="http://schemas.openxmlformats.org/officeDocument/2006/relationships/hyperlink" Target="https://retainiq.io/?" TargetMode="External"/><Relationship Id="rId2321" Type="http://schemas.openxmlformats.org/officeDocument/2006/relationships/hyperlink" Target="http://hadrian.co" TargetMode="External"/><Relationship Id="rId3651" Type="http://schemas.openxmlformats.org/officeDocument/2006/relationships/hyperlink" Target="http://www.rentomojo.com/" TargetMode="External"/><Relationship Id="rId2322" Type="http://schemas.openxmlformats.org/officeDocument/2006/relationships/hyperlink" Target="http://glorify-app.com" TargetMode="External"/><Relationship Id="rId3654" Type="http://schemas.openxmlformats.org/officeDocument/2006/relationships/hyperlink" Target="https://www.getrhythms.ai/" TargetMode="External"/><Relationship Id="rId2323" Type="http://schemas.openxmlformats.org/officeDocument/2006/relationships/hyperlink" Target="http://halliday.xyz" TargetMode="External"/><Relationship Id="rId3653" Type="http://schemas.openxmlformats.org/officeDocument/2006/relationships/hyperlink" Target="https://getrex.app/" TargetMode="External"/><Relationship Id="rId2313" Type="http://schemas.openxmlformats.org/officeDocument/2006/relationships/hyperlink" Target="http://greether.com" TargetMode="External"/><Relationship Id="rId3645" Type="http://schemas.openxmlformats.org/officeDocument/2006/relationships/hyperlink" Target="http://rasa.com/" TargetMode="External"/><Relationship Id="rId2314" Type="http://schemas.openxmlformats.org/officeDocument/2006/relationships/hyperlink" Target="http://gc-tx.com" TargetMode="External"/><Relationship Id="rId3644" Type="http://schemas.openxmlformats.org/officeDocument/2006/relationships/hyperlink" Target="https://www.rapidcanvas.ai/" TargetMode="External"/><Relationship Id="rId2315" Type="http://schemas.openxmlformats.org/officeDocument/2006/relationships/hyperlink" Target="http://grepr.ai" TargetMode="External"/><Relationship Id="rId3647" Type="http://schemas.openxmlformats.org/officeDocument/2006/relationships/hyperlink" Target="http://www.readme.io/" TargetMode="External"/><Relationship Id="rId2316" Type="http://schemas.openxmlformats.org/officeDocument/2006/relationships/hyperlink" Target="http://genesistherapeutics.ai" TargetMode="External"/><Relationship Id="rId3646" Type="http://schemas.openxmlformats.org/officeDocument/2006/relationships/hyperlink" Target="https://raycast.com/" TargetMode="External"/><Relationship Id="rId2317" Type="http://schemas.openxmlformats.org/officeDocument/2006/relationships/hyperlink" Target="http://gridsnap.com" TargetMode="External"/><Relationship Id="rId3649" Type="http://schemas.openxmlformats.org/officeDocument/2006/relationships/hyperlink" Target="http://www.relateiq.com/" TargetMode="External"/><Relationship Id="rId2318" Type="http://schemas.openxmlformats.org/officeDocument/2006/relationships/hyperlink" Target="http://gensyn.ai" TargetMode="External"/><Relationship Id="rId3648" Type="http://schemas.openxmlformats.org/officeDocument/2006/relationships/hyperlink" Target="https://recommercex.com/" TargetMode="External"/><Relationship Id="rId2319" Type="http://schemas.openxmlformats.org/officeDocument/2006/relationships/hyperlink" Target="http://gymclassvr.com" TargetMode="External"/><Relationship Id="rId3641" Type="http://schemas.openxmlformats.org/officeDocument/2006/relationships/hyperlink" Target="https://www.rainforestpay.com/" TargetMode="External"/><Relationship Id="rId2310" Type="http://schemas.openxmlformats.org/officeDocument/2006/relationships/hyperlink" Target="http://gamerxsociety.com" TargetMode="External"/><Relationship Id="rId3640" Type="http://schemas.openxmlformats.org/officeDocument/2006/relationships/hyperlink" Target="http://www.radar.io/" TargetMode="External"/><Relationship Id="rId2311" Type="http://schemas.openxmlformats.org/officeDocument/2006/relationships/hyperlink" Target="http://greenlight.com" TargetMode="External"/><Relationship Id="rId3643" Type="http://schemas.openxmlformats.org/officeDocument/2006/relationships/hyperlink" Target="https://rallyrd.com/" TargetMode="External"/><Relationship Id="rId2312" Type="http://schemas.openxmlformats.org/officeDocument/2006/relationships/hyperlink" Target="http://gatebio.com" TargetMode="External"/><Relationship Id="rId3642" Type="http://schemas.openxmlformats.org/officeDocument/2006/relationships/hyperlink" Target="http://www.raise.com/" TargetMode="External"/><Relationship Id="rId1895" Type="http://schemas.openxmlformats.org/officeDocument/2006/relationships/hyperlink" Target="http://11x.ai" TargetMode="External"/><Relationship Id="rId1896" Type="http://schemas.openxmlformats.org/officeDocument/2006/relationships/hyperlink" Target="http://tmunity.com" TargetMode="External"/><Relationship Id="rId1897" Type="http://schemas.openxmlformats.org/officeDocument/2006/relationships/hyperlink" Target="http://tomfoolery.com" TargetMode="External"/><Relationship Id="rId1898" Type="http://schemas.openxmlformats.org/officeDocument/2006/relationships/hyperlink" Target="http://actioniq.com" TargetMode="External"/><Relationship Id="rId1899" Type="http://schemas.openxmlformats.org/officeDocument/2006/relationships/hyperlink" Target="http://txn.com" TargetMode="External"/><Relationship Id="rId1890" Type="http://schemas.openxmlformats.org/officeDocument/2006/relationships/hyperlink" Target="http://insightsoftware.com" TargetMode="External"/><Relationship Id="rId1891" Type="http://schemas.openxmlformats.org/officeDocument/2006/relationships/hyperlink" Target="http://getsupernatural.com" TargetMode="External"/><Relationship Id="rId1892" Type="http://schemas.openxmlformats.org/officeDocument/2006/relationships/hyperlink" Target="http://tilt.com" TargetMode="External"/><Relationship Id="rId1893" Type="http://schemas.openxmlformats.org/officeDocument/2006/relationships/hyperlink" Target="http://zynga.com" TargetMode="External"/><Relationship Id="rId1894" Type="http://schemas.openxmlformats.org/officeDocument/2006/relationships/hyperlink" Target="http://tinyco.com" TargetMode="External"/><Relationship Id="rId1884" Type="http://schemas.openxmlformats.org/officeDocument/2006/relationships/hyperlink" Target="http://tabular.io" TargetMode="External"/><Relationship Id="rId1885" Type="http://schemas.openxmlformats.org/officeDocument/2006/relationships/hyperlink" Target="http://viki.com" TargetMode="External"/><Relationship Id="rId1886" Type="http://schemas.openxmlformats.org/officeDocument/2006/relationships/hyperlink" Target="http://teleport.org" TargetMode="External"/><Relationship Id="rId1887" Type="http://schemas.openxmlformats.org/officeDocument/2006/relationships/hyperlink" Target="http://walkerandcompany.com" TargetMode="External"/><Relationship Id="rId1888" Type="http://schemas.openxmlformats.org/officeDocument/2006/relationships/hyperlink" Target="http://tenfold.com" TargetMode="External"/><Relationship Id="rId1889" Type="http://schemas.openxmlformats.org/officeDocument/2006/relationships/hyperlink" Target="http://wit.ai" TargetMode="External"/><Relationship Id="rId1880" Type="http://schemas.openxmlformats.org/officeDocument/2006/relationships/hyperlink" Target="http://txn.com" TargetMode="External"/><Relationship Id="rId1881" Type="http://schemas.openxmlformats.org/officeDocument/2006/relationships/hyperlink" Target="http://udacity.com" TargetMode="External"/><Relationship Id="rId1882" Type="http://schemas.openxmlformats.org/officeDocument/2006/relationships/hyperlink" Target="http://swiftype.com" TargetMode="External"/><Relationship Id="rId1883" Type="http://schemas.openxmlformats.org/officeDocument/2006/relationships/hyperlink" Target="http://usermind.com" TargetMode="External"/><Relationship Id="rId3612" Type="http://schemas.openxmlformats.org/officeDocument/2006/relationships/hyperlink" Target="https://www.getport.io/" TargetMode="External"/><Relationship Id="rId3611" Type="http://schemas.openxmlformats.org/officeDocument/2006/relationships/hyperlink" Target="http://www.pond5.com/" TargetMode="External"/><Relationship Id="rId3614" Type="http://schemas.openxmlformats.org/officeDocument/2006/relationships/hyperlink" Target="http://www.power2sme.com/" TargetMode="External"/><Relationship Id="rId3613" Type="http://schemas.openxmlformats.org/officeDocument/2006/relationships/hyperlink" Target="http://www.portea.com/" TargetMode="External"/><Relationship Id="rId3616" Type="http://schemas.openxmlformats.org/officeDocument/2006/relationships/hyperlink" Target="http://www.prezi.com/" TargetMode="External"/><Relationship Id="rId3615" Type="http://schemas.openxmlformats.org/officeDocument/2006/relationships/hyperlink" Target="https://www.getpowerplay.in/" TargetMode="External"/><Relationship Id="rId3618" Type="http://schemas.openxmlformats.org/officeDocument/2006/relationships/hyperlink" Target="https://primer.io/" TargetMode="External"/><Relationship Id="rId3617" Type="http://schemas.openxmlformats.org/officeDocument/2006/relationships/hyperlink" Target="http://www.primaryio.com/" TargetMode="External"/><Relationship Id="rId3619" Type="http://schemas.openxmlformats.org/officeDocument/2006/relationships/hyperlink" Target="http://www.privacera.com/" TargetMode="External"/><Relationship Id="rId3610" Type="http://schemas.openxmlformats.org/officeDocument/2006/relationships/hyperlink" Target="https://poggiolabs.com/" TargetMode="External"/><Relationship Id="rId3601" Type="http://schemas.openxmlformats.org/officeDocument/2006/relationships/hyperlink" Target="https://payfit.com/" TargetMode="External"/><Relationship Id="rId3600" Type="http://schemas.openxmlformats.org/officeDocument/2006/relationships/hyperlink" Target="http://www.parature.com/" TargetMode="External"/><Relationship Id="rId3603" Type="http://schemas.openxmlformats.org/officeDocument/2006/relationships/hyperlink" Target="http://www.personio.com/" TargetMode="External"/><Relationship Id="rId3602" Type="http://schemas.openxmlformats.org/officeDocument/2006/relationships/hyperlink" Target="http://www.people-doc.com/" TargetMode="External"/><Relationship Id="rId3605" Type="http://schemas.openxmlformats.org/officeDocument/2006/relationships/hyperlink" Target="http://www.pillpack.com/" TargetMode="External"/><Relationship Id="rId3604" Type="http://schemas.openxmlformats.org/officeDocument/2006/relationships/hyperlink" Target="http://www.pharmaccx.com/" TargetMode="External"/><Relationship Id="rId3607" Type="http://schemas.openxmlformats.org/officeDocument/2006/relationships/hyperlink" Target="http://www.plex.com/" TargetMode="External"/><Relationship Id="rId3606" Type="http://schemas.openxmlformats.org/officeDocument/2006/relationships/hyperlink" Target="https://pismo.io/" TargetMode="External"/><Relationship Id="rId3609" Type="http://schemas.openxmlformats.org/officeDocument/2006/relationships/hyperlink" Target="http://www.podium.com/" TargetMode="External"/><Relationship Id="rId3608" Type="http://schemas.openxmlformats.org/officeDocument/2006/relationships/hyperlink" Target="https://pluang.com/" TargetMode="External"/><Relationship Id="rId1059" Type="http://schemas.openxmlformats.org/officeDocument/2006/relationships/hyperlink" Target="http://xaira.com" TargetMode="External"/><Relationship Id="rId228" Type="http://schemas.openxmlformats.org/officeDocument/2006/relationships/hyperlink" Target="http://axross.co" TargetMode="External"/><Relationship Id="rId227" Type="http://schemas.openxmlformats.org/officeDocument/2006/relationships/hyperlink" Target="http://atomicvest.com" TargetMode="External"/><Relationship Id="rId226" Type="http://schemas.openxmlformats.org/officeDocument/2006/relationships/hyperlink" Target="http://axis.xyz" TargetMode="External"/><Relationship Id="rId225" Type="http://schemas.openxmlformats.org/officeDocument/2006/relationships/hyperlink" Target="http://atlas.so" TargetMode="External"/><Relationship Id="rId2380" Type="http://schemas.openxmlformats.org/officeDocument/2006/relationships/hyperlink" Target="http://insitro.com" TargetMode="External"/><Relationship Id="rId229" Type="http://schemas.openxmlformats.org/officeDocument/2006/relationships/hyperlink" Target="http://auravision.ai" TargetMode="External"/><Relationship Id="rId1050" Type="http://schemas.openxmlformats.org/officeDocument/2006/relationships/hyperlink" Target="http://claim.co" TargetMode="External"/><Relationship Id="rId2381" Type="http://schemas.openxmlformats.org/officeDocument/2006/relationships/hyperlink" Target="http://kadabrainc.com" TargetMode="External"/><Relationship Id="rId220" Type="http://schemas.openxmlformats.org/officeDocument/2006/relationships/hyperlink" Target="http://asm.co" TargetMode="External"/><Relationship Id="rId1051" Type="http://schemas.openxmlformats.org/officeDocument/2006/relationships/hyperlink" Target="http://decart.ai" TargetMode="External"/><Relationship Id="rId2382" Type="http://schemas.openxmlformats.org/officeDocument/2006/relationships/hyperlink" Target="http://instart.com" TargetMode="External"/><Relationship Id="rId1052" Type="http://schemas.openxmlformats.org/officeDocument/2006/relationships/hyperlink" Target="http://elevateapp.com" TargetMode="External"/><Relationship Id="rId2383" Type="http://schemas.openxmlformats.org/officeDocument/2006/relationships/hyperlink" Target="http://kaedim3d.com" TargetMode="External"/><Relationship Id="rId1053" Type="http://schemas.openxmlformats.org/officeDocument/2006/relationships/hyperlink" Target="http://protege.com" TargetMode="External"/><Relationship Id="rId2384" Type="http://schemas.openxmlformats.org/officeDocument/2006/relationships/hyperlink" Target="http://intro.co" TargetMode="External"/><Relationship Id="rId1054" Type="http://schemas.openxmlformats.org/officeDocument/2006/relationships/hyperlink" Target="http://elyn.io" TargetMode="External"/><Relationship Id="rId2385" Type="http://schemas.openxmlformats.org/officeDocument/2006/relationships/hyperlink" Target="http://kaizenlabs.co" TargetMode="External"/><Relationship Id="rId224" Type="http://schemas.openxmlformats.org/officeDocument/2006/relationships/hyperlink" Target="http://awtomic.com" TargetMode="External"/><Relationship Id="rId1055" Type="http://schemas.openxmlformats.org/officeDocument/2006/relationships/hyperlink" Target="http://reflectorbital.com" TargetMode="External"/><Relationship Id="rId2386" Type="http://schemas.openxmlformats.org/officeDocument/2006/relationships/hyperlink" Target="http://karyostudios.com" TargetMode="External"/><Relationship Id="rId223" Type="http://schemas.openxmlformats.org/officeDocument/2006/relationships/hyperlink" Target="http://atla-ai.com" TargetMode="External"/><Relationship Id="rId1056" Type="http://schemas.openxmlformats.org/officeDocument/2006/relationships/hyperlink" Target="http://handshake.org" TargetMode="External"/><Relationship Id="rId2387" Type="http://schemas.openxmlformats.org/officeDocument/2006/relationships/hyperlink" Target="http://irreverentlabs.com" TargetMode="External"/><Relationship Id="rId222" Type="http://schemas.openxmlformats.org/officeDocument/2006/relationships/hyperlink" Target="http://assemblyai.com" TargetMode="External"/><Relationship Id="rId1057" Type="http://schemas.openxmlformats.org/officeDocument/2006/relationships/hyperlink" Target="http://skild.ai" TargetMode="External"/><Relationship Id="rId2388" Type="http://schemas.openxmlformats.org/officeDocument/2006/relationships/hyperlink" Target="http://keepfinancial.com" TargetMode="External"/><Relationship Id="rId221" Type="http://schemas.openxmlformats.org/officeDocument/2006/relationships/hyperlink" Target="http://avametric.com" TargetMode="External"/><Relationship Id="rId1058" Type="http://schemas.openxmlformats.org/officeDocument/2006/relationships/hyperlink" Target="http://machindustries.com" TargetMode="External"/><Relationship Id="rId2389" Type="http://schemas.openxmlformats.org/officeDocument/2006/relationships/hyperlink" Target="http://isovalent.com" TargetMode="External"/><Relationship Id="rId1048" Type="http://schemas.openxmlformats.org/officeDocument/2006/relationships/hyperlink" Target="http://brewbird.com" TargetMode="External"/><Relationship Id="rId2379" Type="http://schemas.openxmlformats.org/officeDocument/2006/relationships/hyperlink" Target="http://k12crypto.com" TargetMode="External"/><Relationship Id="rId1049" Type="http://schemas.openxmlformats.org/officeDocument/2006/relationships/hyperlink" Target="http://meeno.com" TargetMode="External"/><Relationship Id="rId217" Type="http://schemas.openxmlformats.org/officeDocument/2006/relationships/hyperlink" Target="http://auravision.ai" TargetMode="External"/><Relationship Id="rId216" Type="http://schemas.openxmlformats.org/officeDocument/2006/relationships/hyperlink" Target="http://ascen.com" TargetMode="External"/><Relationship Id="rId215" Type="http://schemas.openxmlformats.org/officeDocument/2006/relationships/hyperlink" Target="http://atomicvest.com" TargetMode="External"/><Relationship Id="rId214" Type="http://schemas.openxmlformats.org/officeDocument/2006/relationships/hyperlink" Target="http://armory.io" TargetMode="External"/><Relationship Id="rId219" Type="http://schemas.openxmlformats.org/officeDocument/2006/relationships/hyperlink" Target="http://authologic.com" TargetMode="External"/><Relationship Id="rId218" Type="http://schemas.openxmlformats.org/officeDocument/2006/relationships/hyperlink" Target="http://askdata.com" TargetMode="External"/><Relationship Id="rId2370" Type="http://schemas.openxmlformats.org/officeDocument/2006/relationships/hyperlink" Target="http://incrediblehealth.com" TargetMode="External"/><Relationship Id="rId1040" Type="http://schemas.openxmlformats.org/officeDocument/2006/relationships/hyperlink" Target="http://decart.ai" TargetMode="External"/><Relationship Id="rId2371" Type="http://schemas.openxmlformats.org/officeDocument/2006/relationships/hyperlink" Target="http://tryjeeves.com" TargetMode="External"/><Relationship Id="rId1041" Type="http://schemas.openxmlformats.org/officeDocument/2006/relationships/hyperlink" Target="http://tanda.io" TargetMode="External"/><Relationship Id="rId2372" Type="http://schemas.openxmlformats.org/officeDocument/2006/relationships/hyperlink" Target="http://infiniteathlete.ai" TargetMode="External"/><Relationship Id="rId1042" Type="http://schemas.openxmlformats.org/officeDocument/2006/relationships/hyperlink" Target="http://elevateapp.com" TargetMode="External"/><Relationship Id="rId2373" Type="http://schemas.openxmlformats.org/officeDocument/2006/relationships/hyperlink" Target="http://journera.com" TargetMode="External"/><Relationship Id="rId1043" Type="http://schemas.openxmlformats.org/officeDocument/2006/relationships/hyperlink" Target="http://elyn.io" TargetMode="External"/><Relationship Id="rId2374" Type="http://schemas.openxmlformats.org/officeDocument/2006/relationships/hyperlink" Target="http://infinitemachine.com" TargetMode="External"/><Relationship Id="rId213" Type="http://schemas.openxmlformats.org/officeDocument/2006/relationships/hyperlink" Target="http://atlas.so" TargetMode="External"/><Relationship Id="rId1044" Type="http://schemas.openxmlformats.org/officeDocument/2006/relationships/hyperlink" Target="http://wirescreen.ai" TargetMode="External"/><Relationship Id="rId2375" Type="http://schemas.openxmlformats.org/officeDocument/2006/relationships/hyperlink" Target="http://juniperplatform.com" TargetMode="External"/><Relationship Id="rId212" Type="http://schemas.openxmlformats.org/officeDocument/2006/relationships/hyperlink" Target="http://armilla.ai" TargetMode="External"/><Relationship Id="rId1045" Type="http://schemas.openxmlformats.org/officeDocument/2006/relationships/hyperlink" Target="http://handshake.org" TargetMode="External"/><Relationship Id="rId2376" Type="http://schemas.openxmlformats.org/officeDocument/2006/relationships/hyperlink" Target="http://infinitus.ai" TargetMode="External"/><Relationship Id="rId211" Type="http://schemas.openxmlformats.org/officeDocument/2006/relationships/hyperlink" Target="http://atla-ai.com" TargetMode="External"/><Relationship Id="rId1046" Type="http://schemas.openxmlformats.org/officeDocument/2006/relationships/hyperlink" Target="http://anterior.com" TargetMode="External"/><Relationship Id="rId2377" Type="http://schemas.openxmlformats.org/officeDocument/2006/relationships/hyperlink" Target="http://k-id.com" TargetMode="External"/><Relationship Id="rId210" Type="http://schemas.openxmlformats.org/officeDocument/2006/relationships/hyperlink" Target="http://arketa.com" TargetMode="External"/><Relationship Id="rId1047" Type="http://schemas.openxmlformats.org/officeDocument/2006/relationships/hyperlink" Target="http://machindustries.com" TargetMode="External"/><Relationship Id="rId2378" Type="http://schemas.openxmlformats.org/officeDocument/2006/relationships/hyperlink" Target="http://inngest.com" TargetMode="External"/><Relationship Id="rId4107" Type="http://schemas.openxmlformats.org/officeDocument/2006/relationships/hyperlink" Target="https://freespira.com/" TargetMode="External"/><Relationship Id="rId4106" Type="http://schemas.openxmlformats.org/officeDocument/2006/relationships/hyperlink" Target="https://foxy.in/" TargetMode="External"/><Relationship Id="rId4109" Type="http://schemas.openxmlformats.org/officeDocument/2006/relationships/hyperlink" Target="https://freshmenu.com/" TargetMode="External"/><Relationship Id="rId4108" Type="http://schemas.openxmlformats.org/officeDocument/2006/relationships/hyperlink" Target="https://freighttiger.com/" TargetMode="External"/><Relationship Id="rId249" Type="http://schemas.openxmlformats.org/officeDocument/2006/relationships/hyperlink" Target="http://berbix.com" TargetMode="External"/><Relationship Id="rId248" Type="http://schemas.openxmlformats.org/officeDocument/2006/relationships/hyperlink" Target="http://getbenepass.com" TargetMode="External"/><Relationship Id="rId247" Type="http://schemas.openxmlformats.org/officeDocument/2006/relationships/hyperlink" Target="http://bland.com" TargetMode="External"/><Relationship Id="rId1070" Type="http://schemas.openxmlformats.org/officeDocument/2006/relationships/hyperlink" Target="http://augmentcode.com" TargetMode="External"/><Relationship Id="rId1071" Type="http://schemas.openxmlformats.org/officeDocument/2006/relationships/hyperlink" Target="http://usetola.com" TargetMode="External"/><Relationship Id="rId1072" Type="http://schemas.openxmlformats.org/officeDocument/2006/relationships/hyperlink" Target="http://otterize.com" TargetMode="External"/><Relationship Id="rId242" Type="http://schemas.openxmlformats.org/officeDocument/2006/relationships/hyperlink" Target="http://bik.ai" TargetMode="External"/><Relationship Id="rId1073" Type="http://schemas.openxmlformats.org/officeDocument/2006/relationships/hyperlink" Target="http://withotter.com" TargetMode="External"/><Relationship Id="rId241" Type="http://schemas.openxmlformats.org/officeDocument/2006/relationships/hyperlink" Target="http://bikry.com" TargetMode="External"/><Relationship Id="rId1074" Type="http://schemas.openxmlformats.org/officeDocument/2006/relationships/hyperlink" Target="http://vooma.ai" TargetMode="External"/><Relationship Id="rId240" Type="http://schemas.openxmlformats.org/officeDocument/2006/relationships/hyperlink" Target="http://axross.co" TargetMode="External"/><Relationship Id="rId1075" Type="http://schemas.openxmlformats.org/officeDocument/2006/relationships/hyperlink" Target="http://commonroom.io" TargetMode="External"/><Relationship Id="rId4101" Type="http://schemas.openxmlformats.org/officeDocument/2006/relationships/hyperlink" Target="https://flockjay.com/" TargetMode="External"/><Relationship Id="rId1076" Type="http://schemas.openxmlformats.org/officeDocument/2006/relationships/hyperlink" Target="http://albertinvent.com" TargetMode="External"/><Relationship Id="rId4100" Type="http://schemas.openxmlformats.org/officeDocument/2006/relationships/hyperlink" Target="https://flixster.com/" TargetMode="External"/><Relationship Id="rId246" Type="http://schemas.openxmlformats.org/officeDocument/2006/relationships/hyperlink" Target="http://bego.ai" TargetMode="External"/><Relationship Id="rId1077" Type="http://schemas.openxmlformats.org/officeDocument/2006/relationships/hyperlink" Target="http://wiz.io" TargetMode="External"/><Relationship Id="rId4103" Type="http://schemas.openxmlformats.org/officeDocument/2006/relationships/hyperlink" Target="https://theforage.com/" TargetMode="External"/><Relationship Id="rId245" Type="http://schemas.openxmlformats.org/officeDocument/2006/relationships/hyperlink" Target="http://bitnami.com" TargetMode="External"/><Relationship Id="rId1078" Type="http://schemas.openxmlformats.org/officeDocument/2006/relationships/hyperlink" Target="http://atlar.com" TargetMode="External"/><Relationship Id="rId4102" Type="http://schemas.openxmlformats.org/officeDocument/2006/relationships/hyperlink" Target="https://flowspecialty.com/" TargetMode="External"/><Relationship Id="rId244" Type="http://schemas.openxmlformats.org/officeDocument/2006/relationships/hyperlink" Target="http://backerkit.com" TargetMode="External"/><Relationship Id="rId1079" Type="http://schemas.openxmlformats.org/officeDocument/2006/relationships/hyperlink" Target="http://tofuhq.com" TargetMode="External"/><Relationship Id="rId4105" Type="http://schemas.openxmlformats.org/officeDocument/2006/relationships/hyperlink" Target="https://mlfoundry.com/" TargetMode="External"/><Relationship Id="rId243" Type="http://schemas.openxmlformats.org/officeDocument/2006/relationships/hyperlink" Target="http://biteninja.com" TargetMode="External"/><Relationship Id="rId4104" Type="http://schemas.openxmlformats.org/officeDocument/2006/relationships/hyperlink" Target="https://fordefi.com/" TargetMode="External"/><Relationship Id="rId239" Type="http://schemas.openxmlformats.org/officeDocument/2006/relationships/hyperlink" Target="http://bicycleai.com" TargetMode="External"/><Relationship Id="rId238" Type="http://schemas.openxmlformats.org/officeDocument/2006/relationships/hyperlink" Target="http://axis.xyz" TargetMode="External"/><Relationship Id="rId237" Type="http://schemas.openxmlformats.org/officeDocument/2006/relationships/hyperlink" Target="http://berbix.com" TargetMode="External"/><Relationship Id="rId236" Type="http://schemas.openxmlformats.org/officeDocument/2006/relationships/hyperlink" Target="http://awtomic.com" TargetMode="External"/><Relationship Id="rId2390" Type="http://schemas.openxmlformats.org/officeDocument/2006/relationships/hyperlink" Target="http://kikiworld.io" TargetMode="External"/><Relationship Id="rId1060" Type="http://schemas.openxmlformats.org/officeDocument/2006/relationships/hyperlink" Target="http://meeno.com" TargetMode="External"/><Relationship Id="rId2391" Type="http://schemas.openxmlformats.org/officeDocument/2006/relationships/hyperlink" Target="http://tryjeeves.com" TargetMode="External"/><Relationship Id="rId1061" Type="http://schemas.openxmlformats.org/officeDocument/2006/relationships/hyperlink" Target="http://usetola.com" TargetMode="External"/><Relationship Id="rId2392" Type="http://schemas.openxmlformats.org/officeDocument/2006/relationships/hyperlink" Target="http://livekindred.com" TargetMode="External"/><Relationship Id="rId231" Type="http://schemas.openxmlformats.org/officeDocument/2006/relationships/hyperlink" Target="http://authologic.com" TargetMode="External"/><Relationship Id="rId1062" Type="http://schemas.openxmlformats.org/officeDocument/2006/relationships/hyperlink" Target="http://protege.com" TargetMode="External"/><Relationship Id="rId2393" Type="http://schemas.openxmlformats.org/officeDocument/2006/relationships/hyperlink" Target="http://journera.com" TargetMode="External"/><Relationship Id="rId230" Type="http://schemas.openxmlformats.org/officeDocument/2006/relationships/hyperlink" Target="http://bik.ai" TargetMode="External"/><Relationship Id="rId1063" Type="http://schemas.openxmlformats.org/officeDocument/2006/relationships/hyperlink" Target="http://withotter.com" TargetMode="External"/><Relationship Id="rId2394" Type="http://schemas.openxmlformats.org/officeDocument/2006/relationships/hyperlink" Target="http://knownwell.co" TargetMode="External"/><Relationship Id="rId1064" Type="http://schemas.openxmlformats.org/officeDocument/2006/relationships/hyperlink" Target="http://reflectorbital.com" TargetMode="External"/><Relationship Id="rId2395" Type="http://schemas.openxmlformats.org/officeDocument/2006/relationships/hyperlink" Target="http://juniperplatform.com" TargetMode="External"/><Relationship Id="rId1065" Type="http://schemas.openxmlformats.org/officeDocument/2006/relationships/hyperlink" Target="http://commonroom.io" TargetMode="External"/><Relationship Id="rId2396" Type="http://schemas.openxmlformats.org/officeDocument/2006/relationships/hyperlink" Target="http://koboldmetals.com" TargetMode="External"/><Relationship Id="rId235" Type="http://schemas.openxmlformats.org/officeDocument/2006/relationships/hyperlink" Target="http://getbenepass.com" TargetMode="External"/><Relationship Id="rId1066" Type="http://schemas.openxmlformats.org/officeDocument/2006/relationships/hyperlink" Target="http://skild.ai" TargetMode="External"/><Relationship Id="rId2397" Type="http://schemas.openxmlformats.org/officeDocument/2006/relationships/hyperlink" Target="http://k-id.com" TargetMode="External"/><Relationship Id="rId234" Type="http://schemas.openxmlformats.org/officeDocument/2006/relationships/hyperlink" Target="http://bego.ai" TargetMode="External"/><Relationship Id="rId1067" Type="http://schemas.openxmlformats.org/officeDocument/2006/relationships/hyperlink" Target="http://wiz.io" TargetMode="External"/><Relationship Id="rId2398" Type="http://schemas.openxmlformats.org/officeDocument/2006/relationships/hyperlink" Target="http://komodohealth.com" TargetMode="External"/><Relationship Id="rId233" Type="http://schemas.openxmlformats.org/officeDocument/2006/relationships/hyperlink" Target="http://avametric.com" TargetMode="External"/><Relationship Id="rId1068" Type="http://schemas.openxmlformats.org/officeDocument/2006/relationships/hyperlink" Target="http://xaira.com" TargetMode="External"/><Relationship Id="rId2399" Type="http://schemas.openxmlformats.org/officeDocument/2006/relationships/hyperlink" Target="http://k12crypto.com" TargetMode="External"/><Relationship Id="rId232" Type="http://schemas.openxmlformats.org/officeDocument/2006/relationships/hyperlink" Target="http://backerkit.com" TargetMode="External"/><Relationship Id="rId1069" Type="http://schemas.openxmlformats.org/officeDocument/2006/relationships/hyperlink" Target="http://tofuhq.com" TargetMode="External"/><Relationship Id="rId1015" Type="http://schemas.openxmlformats.org/officeDocument/2006/relationships/hyperlink" Target="http://zafran.io" TargetMode="External"/><Relationship Id="rId2346" Type="http://schemas.openxmlformats.org/officeDocument/2006/relationships/hyperlink" Target="http://headway.co" TargetMode="External"/><Relationship Id="rId3678" Type="http://schemas.openxmlformats.org/officeDocument/2006/relationships/hyperlink" Target="http://www.sentry.io/" TargetMode="External"/><Relationship Id="rId1016" Type="http://schemas.openxmlformats.org/officeDocument/2006/relationships/hyperlink" Target="http://genedit.com" TargetMode="External"/><Relationship Id="rId2347" Type="http://schemas.openxmlformats.org/officeDocument/2006/relationships/hyperlink" Target="http://imply.io" TargetMode="External"/><Relationship Id="rId3677" Type="http://schemas.openxmlformats.org/officeDocument/2006/relationships/hyperlink" Target="http://www.sensehq.com/" TargetMode="External"/><Relationship Id="rId1017" Type="http://schemas.openxmlformats.org/officeDocument/2006/relationships/hyperlink" Target="http://summerhealth.com" TargetMode="External"/><Relationship Id="rId2348" Type="http://schemas.openxmlformats.org/officeDocument/2006/relationships/hyperlink" Target="http://improbable.io" TargetMode="External"/><Relationship Id="rId1018" Type="http://schemas.openxmlformats.org/officeDocument/2006/relationships/hyperlink" Target="http://gridware.io" TargetMode="External"/><Relationship Id="rId2349" Type="http://schemas.openxmlformats.org/officeDocument/2006/relationships/hyperlink" Target="http://hebbia.ai" TargetMode="External"/><Relationship Id="rId3679" Type="http://schemas.openxmlformats.org/officeDocument/2006/relationships/hyperlink" Target="http://www.servicechannel.com/" TargetMode="External"/><Relationship Id="rId1019" Type="http://schemas.openxmlformats.org/officeDocument/2006/relationships/hyperlink" Target="http://iambic.ai" TargetMode="External"/><Relationship Id="rId3670" Type="http://schemas.openxmlformats.org/officeDocument/2006/relationships/hyperlink" Target="http://www.searchlight.ai/" TargetMode="External"/><Relationship Id="rId2340" Type="http://schemas.openxmlformats.org/officeDocument/2006/relationships/hyperlink" Target="http://hadrian.co" TargetMode="External"/><Relationship Id="rId3672" Type="http://schemas.openxmlformats.org/officeDocument/2006/relationships/hyperlink" Target="https://www.securden.com/" TargetMode="External"/><Relationship Id="rId1010" Type="http://schemas.openxmlformats.org/officeDocument/2006/relationships/hyperlink" Target="http://kalshi.com" TargetMode="External"/><Relationship Id="rId2341" Type="http://schemas.openxmlformats.org/officeDocument/2006/relationships/hyperlink" Target="http://hyperexponential.com" TargetMode="External"/><Relationship Id="rId3671" Type="http://schemas.openxmlformats.org/officeDocument/2006/relationships/hyperlink" Target="http://www.seatgeek.com/" TargetMode="External"/><Relationship Id="rId1011" Type="http://schemas.openxmlformats.org/officeDocument/2006/relationships/hyperlink" Target="http://akeero.com" TargetMode="External"/><Relationship Id="rId2342" Type="http://schemas.openxmlformats.org/officeDocument/2006/relationships/hyperlink" Target="http://halliday.xyz" TargetMode="External"/><Relationship Id="rId3674" Type="http://schemas.openxmlformats.org/officeDocument/2006/relationships/hyperlink" Target="http://www.selency.fr/" TargetMode="External"/><Relationship Id="rId1012" Type="http://schemas.openxmlformats.org/officeDocument/2006/relationships/hyperlink" Target="http://upway.co" TargetMode="External"/><Relationship Id="rId2343" Type="http://schemas.openxmlformats.org/officeDocument/2006/relationships/hyperlink" Target="http://ifttt.com" TargetMode="External"/><Relationship Id="rId3673" Type="http://schemas.openxmlformats.org/officeDocument/2006/relationships/hyperlink" Target="http://www.segment.com/" TargetMode="External"/><Relationship Id="rId1013" Type="http://schemas.openxmlformats.org/officeDocument/2006/relationships/hyperlink" Target="http://visualelectric.com" TargetMode="External"/><Relationship Id="rId2344" Type="http://schemas.openxmlformats.org/officeDocument/2006/relationships/hyperlink" Target="http://harbor.com" TargetMode="External"/><Relationship Id="rId3676" Type="http://schemas.openxmlformats.org/officeDocument/2006/relationships/hyperlink" Target="https://www.sennder.com/" TargetMode="External"/><Relationship Id="rId1014" Type="http://schemas.openxmlformats.org/officeDocument/2006/relationships/hyperlink" Target="http://wearecurie.ai" TargetMode="External"/><Relationship Id="rId2345" Type="http://schemas.openxmlformats.org/officeDocument/2006/relationships/hyperlink" Target="http://illumio.com" TargetMode="External"/><Relationship Id="rId3675" Type="http://schemas.openxmlformats.org/officeDocument/2006/relationships/hyperlink" Target="http://www.semmle.com/" TargetMode="External"/><Relationship Id="rId1004" Type="http://schemas.openxmlformats.org/officeDocument/2006/relationships/hyperlink" Target="http://genedit.com" TargetMode="External"/><Relationship Id="rId2335" Type="http://schemas.openxmlformats.org/officeDocument/2006/relationships/hyperlink" Target="http://hipcamp.com" TargetMode="External"/><Relationship Id="rId3667" Type="http://schemas.openxmlformats.org/officeDocument/2006/relationships/hyperlink" Target="http://www.scale.com/" TargetMode="External"/><Relationship Id="rId1005" Type="http://schemas.openxmlformats.org/officeDocument/2006/relationships/hyperlink" Target="http://xbow.com" TargetMode="External"/><Relationship Id="rId2336" Type="http://schemas.openxmlformats.org/officeDocument/2006/relationships/hyperlink" Target="http://gridsnap.com" TargetMode="External"/><Relationship Id="rId3666" Type="http://schemas.openxmlformats.org/officeDocument/2006/relationships/hyperlink" Target="http://www.sayretherapeutics.com/" TargetMode="External"/><Relationship Id="rId1006" Type="http://schemas.openxmlformats.org/officeDocument/2006/relationships/hyperlink" Target="http://gridware.io" TargetMode="External"/><Relationship Id="rId2337" Type="http://schemas.openxmlformats.org/officeDocument/2006/relationships/hyperlink" Target="http://hippocraticai.com" TargetMode="External"/><Relationship Id="rId3669" Type="http://schemas.openxmlformats.org/officeDocument/2006/relationships/hyperlink" Target="http://www.scripbox.com/" TargetMode="External"/><Relationship Id="rId1007" Type="http://schemas.openxmlformats.org/officeDocument/2006/relationships/hyperlink" Target="http://airtop.ai" TargetMode="External"/><Relationship Id="rId2338" Type="http://schemas.openxmlformats.org/officeDocument/2006/relationships/hyperlink" Target="http://gymclassvr.com" TargetMode="External"/><Relationship Id="rId3668" Type="http://schemas.openxmlformats.org/officeDocument/2006/relationships/hyperlink" Target="http://scratchpad.com/" TargetMode="External"/><Relationship Id="rId1008" Type="http://schemas.openxmlformats.org/officeDocument/2006/relationships/hyperlink" Target="http://iambic.ai" TargetMode="External"/><Relationship Id="rId2339" Type="http://schemas.openxmlformats.org/officeDocument/2006/relationships/hyperlink" Target="http://joinhonor.com" TargetMode="External"/><Relationship Id="rId1009" Type="http://schemas.openxmlformats.org/officeDocument/2006/relationships/hyperlink" Target="http://tiplink.io" TargetMode="External"/><Relationship Id="rId3661" Type="http://schemas.openxmlformats.org/officeDocument/2006/relationships/hyperlink" Target="https://s4stechnologies.com/" TargetMode="External"/><Relationship Id="rId2330" Type="http://schemas.openxmlformats.org/officeDocument/2006/relationships/hyperlink" Target="http://hedra.com" TargetMode="External"/><Relationship Id="rId3660" Type="http://schemas.openxmlformats.org/officeDocument/2006/relationships/hyperlink" Target="http://www.rylo.com/" TargetMode="External"/><Relationship Id="rId1000" Type="http://schemas.openxmlformats.org/officeDocument/2006/relationships/hyperlink" Target="http://surein.de" TargetMode="External"/><Relationship Id="rId2331" Type="http://schemas.openxmlformats.org/officeDocument/2006/relationships/hyperlink" Target="http://greenlight.com" TargetMode="External"/><Relationship Id="rId3663" Type="http://schemas.openxmlformats.org/officeDocument/2006/relationships/hyperlink" Target="https://www.salto.io/" TargetMode="External"/><Relationship Id="rId1001" Type="http://schemas.openxmlformats.org/officeDocument/2006/relationships/hyperlink" Target="http://synativ.com" TargetMode="External"/><Relationship Id="rId2332" Type="http://schemas.openxmlformats.org/officeDocument/2006/relationships/hyperlink" Target="http://hntlabs.com" TargetMode="External"/><Relationship Id="rId3662" Type="http://schemas.openxmlformats.org/officeDocument/2006/relationships/hyperlink" Target="https://sahi.com/" TargetMode="External"/><Relationship Id="rId1002" Type="http://schemas.openxmlformats.org/officeDocument/2006/relationships/hyperlink" Target="http://wearecurie.ai" TargetMode="External"/><Relationship Id="rId2333" Type="http://schemas.openxmlformats.org/officeDocument/2006/relationships/hyperlink" Target="http://greether.com" TargetMode="External"/><Relationship Id="rId3665" Type="http://schemas.openxmlformats.org/officeDocument/2006/relationships/hyperlink" Target="https://www.sarla-aviation.com/" TargetMode="External"/><Relationship Id="rId1003" Type="http://schemas.openxmlformats.org/officeDocument/2006/relationships/hyperlink" Target="http://tavus.io" TargetMode="External"/><Relationship Id="rId2334" Type="http://schemas.openxmlformats.org/officeDocument/2006/relationships/hyperlink" Target="http://grepr.ai" TargetMode="External"/><Relationship Id="rId3664" Type="http://schemas.openxmlformats.org/officeDocument/2006/relationships/hyperlink" Target="http://www.samunnati.com/" TargetMode="External"/><Relationship Id="rId1037" Type="http://schemas.openxmlformats.org/officeDocument/2006/relationships/hyperlink" Target="http://brewbird.com" TargetMode="External"/><Relationship Id="rId2368" Type="http://schemas.openxmlformats.org/officeDocument/2006/relationships/hyperlink" Target="http://irreverentlabs.com" TargetMode="External"/><Relationship Id="rId1038" Type="http://schemas.openxmlformats.org/officeDocument/2006/relationships/hyperlink" Target="http://claim.co" TargetMode="External"/><Relationship Id="rId2369" Type="http://schemas.openxmlformats.org/officeDocument/2006/relationships/hyperlink" Target="http://isovalent.com" TargetMode="External"/><Relationship Id="rId3699" Type="http://schemas.openxmlformats.org/officeDocument/2006/relationships/hyperlink" Target="https://spacerunners.com/" TargetMode="External"/><Relationship Id="rId1039" Type="http://schemas.openxmlformats.org/officeDocument/2006/relationships/hyperlink" Target="http://tacto.ai" TargetMode="External"/><Relationship Id="rId206" Type="http://schemas.openxmlformats.org/officeDocument/2006/relationships/hyperlink" Target="http://arengu.com" TargetMode="External"/><Relationship Id="rId205" Type="http://schemas.openxmlformats.org/officeDocument/2006/relationships/hyperlink" Target="http://askdata.com" TargetMode="External"/><Relationship Id="rId204" Type="http://schemas.openxmlformats.org/officeDocument/2006/relationships/hyperlink" Target="http://archbee.com" TargetMode="External"/><Relationship Id="rId203" Type="http://schemas.openxmlformats.org/officeDocument/2006/relationships/hyperlink" Target="http://ascen.com" TargetMode="External"/><Relationship Id="rId209" Type="http://schemas.openxmlformats.org/officeDocument/2006/relationships/hyperlink" Target="http://assemblyai.com" TargetMode="External"/><Relationship Id="rId208" Type="http://schemas.openxmlformats.org/officeDocument/2006/relationships/hyperlink" Target="http://arist.co" TargetMode="External"/><Relationship Id="rId3690" Type="http://schemas.openxmlformats.org/officeDocument/2006/relationships/hyperlink" Target="http://www.skydio.com/" TargetMode="External"/><Relationship Id="rId207" Type="http://schemas.openxmlformats.org/officeDocument/2006/relationships/hyperlink" Target="http://asm.co" TargetMode="External"/><Relationship Id="rId2360" Type="http://schemas.openxmlformats.org/officeDocument/2006/relationships/hyperlink" Target="http://inngest.com" TargetMode="External"/><Relationship Id="rId3692" Type="http://schemas.openxmlformats.org/officeDocument/2006/relationships/hyperlink" Target="https://www.slay.cool/" TargetMode="External"/><Relationship Id="rId1030" Type="http://schemas.openxmlformats.org/officeDocument/2006/relationships/hyperlink" Target="http://joinhallway.com" TargetMode="External"/><Relationship Id="rId2361" Type="http://schemas.openxmlformats.org/officeDocument/2006/relationships/hyperlink" Target="http://ifttt.com" TargetMode="External"/><Relationship Id="rId3691" Type="http://schemas.openxmlformats.org/officeDocument/2006/relationships/hyperlink" Target="http://www.slack.com/" TargetMode="External"/><Relationship Id="rId1031" Type="http://schemas.openxmlformats.org/officeDocument/2006/relationships/hyperlink" Target="http://tanda.io" TargetMode="External"/><Relationship Id="rId2362" Type="http://schemas.openxmlformats.org/officeDocument/2006/relationships/hyperlink" Target="http://insitro.com" TargetMode="External"/><Relationship Id="rId3694" Type="http://schemas.openxmlformats.org/officeDocument/2006/relationships/hyperlink" Target="https://www.snaptrude.com/" TargetMode="External"/><Relationship Id="rId1032" Type="http://schemas.openxmlformats.org/officeDocument/2006/relationships/hyperlink" Target="http://rift.com" TargetMode="External"/><Relationship Id="rId2363" Type="http://schemas.openxmlformats.org/officeDocument/2006/relationships/hyperlink" Target="http://illumio.com" TargetMode="External"/><Relationship Id="rId3693" Type="http://schemas.openxmlformats.org/officeDocument/2006/relationships/hyperlink" Target="http://www.smallstep.com/" TargetMode="External"/><Relationship Id="rId202" Type="http://schemas.openxmlformats.org/officeDocument/2006/relationships/hyperlink" Target="http://aquariumlearning.com" TargetMode="External"/><Relationship Id="rId1033" Type="http://schemas.openxmlformats.org/officeDocument/2006/relationships/hyperlink" Target="http://wirescreen.ai" TargetMode="External"/><Relationship Id="rId2364" Type="http://schemas.openxmlformats.org/officeDocument/2006/relationships/hyperlink" Target="http://instart.com" TargetMode="External"/><Relationship Id="rId3696" Type="http://schemas.openxmlformats.org/officeDocument/2006/relationships/hyperlink" Target="http://www.soldo.com/" TargetMode="External"/><Relationship Id="rId201" Type="http://schemas.openxmlformats.org/officeDocument/2006/relationships/hyperlink" Target="http://armory.io" TargetMode="External"/><Relationship Id="rId1034" Type="http://schemas.openxmlformats.org/officeDocument/2006/relationships/hyperlink" Target="http://safara.com" TargetMode="External"/><Relationship Id="rId2365" Type="http://schemas.openxmlformats.org/officeDocument/2006/relationships/hyperlink" Target="http://imply.io" TargetMode="External"/><Relationship Id="rId3695" Type="http://schemas.openxmlformats.org/officeDocument/2006/relationships/hyperlink" Target="http://www.snyk.io/" TargetMode="External"/><Relationship Id="rId200" Type="http://schemas.openxmlformats.org/officeDocument/2006/relationships/hyperlink" Target="http://aptible.com" TargetMode="External"/><Relationship Id="rId1035" Type="http://schemas.openxmlformats.org/officeDocument/2006/relationships/hyperlink" Target="http://anterior.com" TargetMode="External"/><Relationship Id="rId2366" Type="http://schemas.openxmlformats.org/officeDocument/2006/relationships/hyperlink" Target="http://intro.co" TargetMode="External"/><Relationship Id="rId3698" Type="http://schemas.openxmlformats.org/officeDocument/2006/relationships/hyperlink" Target="http://www.spaceapegames.com/" TargetMode="External"/><Relationship Id="rId1036" Type="http://schemas.openxmlformats.org/officeDocument/2006/relationships/hyperlink" Target="http://zefir.fr" TargetMode="External"/><Relationship Id="rId2367" Type="http://schemas.openxmlformats.org/officeDocument/2006/relationships/hyperlink" Target="http://improbable.io" TargetMode="External"/><Relationship Id="rId3697" Type="http://schemas.openxmlformats.org/officeDocument/2006/relationships/hyperlink" Target="http://www.sonatype.com/" TargetMode="External"/><Relationship Id="rId1026" Type="http://schemas.openxmlformats.org/officeDocument/2006/relationships/hyperlink" Target="http://zafran.io" TargetMode="External"/><Relationship Id="rId2357" Type="http://schemas.openxmlformats.org/officeDocument/2006/relationships/hyperlink" Target="http://joinhonor.com" TargetMode="External"/><Relationship Id="rId3689" Type="http://schemas.openxmlformats.org/officeDocument/2006/relationships/hyperlink" Target="https://skymavis.com/" TargetMode="External"/><Relationship Id="rId1027" Type="http://schemas.openxmlformats.org/officeDocument/2006/relationships/hyperlink" Target="http://zefir.fr" TargetMode="External"/><Relationship Id="rId2358" Type="http://schemas.openxmlformats.org/officeDocument/2006/relationships/hyperlink" Target="http://infinitus.ai" TargetMode="External"/><Relationship Id="rId3688" Type="http://schemas.openxmlformats.org/officeDocument/2006/relationships/hyperlink" Target="http://www.skyscanner.com/" TargetMode="External"/><Relationship Id="rId1028" Type="http://schemas.openxmlformats.org/officeDocument/2006/relationships/hyperlink" Target="http://summerhealth.com" TargetMode="External"/><Relationship Id="rId2359" Type="http://schemas.openxmlformats.org/officeDocument/2006/relationships/hyperlink" Target="http://hyperexponential.com" TargetMode="External"/><Relationship Id="rId1029" Type="http://schemas.openxmlformats.org/officeDocument/2006/relationships/hyperlink" Target="http://tacto.ai" TargetMode="External"/><Relationship Id="rId3681" Type="http://schemas.openxmlformats.org/officeDocument/2006/relationships/hyperlink" Target="https://shivalikbank.com/" TargetMode="External"/><Relationship Id="rId2350" Type="http://schemas.openxmlformats.org/officeDocument/2006/relationships/hyperlink" Target="http://hedra.com" TargetMode="External"/><Relationship Id="rId3680" Type="http://schemas.openxmlformats.org/officeDocument/2006/relationships/hyperlink" Target="http://www.shift-technology.com/" TargetMode="External"/><Relationship Id="rId1020" Type="http://schemas.openxmlformats.org/officeDocument/2006/relationships/hyperlink" Target="http://joinhallway.com" TargetMode="External"/><Relationship Id="rId2351" Type="http://schemas.openxmlformats.org/officeDocument/2006/relationships/hyperlink" Target="http://hntlabs.com" TargetMode="External"/><Relationship Id="rId3683" Type="http://schemas.openxmlformats.org/officeDocument/2006/relationships/hyperlink" Target="http://www.sigtuple.com/" TargetMode="External"/><Relationship Id="rId1021" Type="http://schemas.openxmlformats.org/officeDocument/2006/relationships/hyperlink" Target="http://kalshi.com" TargetMode="External"/><Relationship Id="rId2352" Type="http://schemas.openxmlformats.org/officeDocument/2006/relationships/hyperlink" Target="http://incrediblehealth.com" TargetMode="External"/><Relationship Id="rId3682" Type="http://schemas.openxmlformats.org/officeDocument/2006/relationships/hyperlink" Target="http://www.showroomprive.com/" TargetMode="External"/><Relationship Id="rId1022" Type="http://schemas.openxmlformats.org/officeDocument/2006/relationships/hyperlink" Target="http://upway.co" TargetMode="External"/><Relationship Id="rId2353" Type="http://schemas.openxmlformats.org/officeDocument/2006/relationships/hyperlink" Target="http://hipcamp.com" TargetMode="External"/><Relationship Id="rId3685" Type="http://schemas.openxmlformats.org/officeDocument/2006/relationships/hyperlink" Target="https://www.simplismart.ai/" TargetMode="External"/><Relationship Id="rId1023" Type="http://schemas.openxmlformats.org/officeDocument/2006/relationships/hyperlink" Target="http://rift.com" TargetMode="External"/><Relationship Id="rId2354" Type="http://schemas.openxmlformats.org/officeDocument/2006/relationships/hyperlink" Target="http://infiniteathlete.ai" TargetMode="External"/><Relationship Id="rId3684" Type="http://schemas.openxmlformats.org/officeDocument/2006/relationships/hyperlink" Target="http://www.silverrailtech.com/" TargetMode="External"/><Relationship Id="rId1024" Type="http://schemas.openxmlformats.org/officeDocument/2006/relationships/hyperlink" Target="http://visualelectric.com" TargetMode="External"/><Relationship Id="rId2355" Type="http://schemas.openxmlformats.org/officeDocument/2006/relationships/hyperlink" Target="http://hippocraticai.com" TargetMode="External"/><Relationship Id="rId3687" Type="http://schemas.openxmlformats.org/officeDocument/2006/relationships/hyperlink" Target="https://www.skeps.com/" TargetMode="External"/><Relationship Id="rId1025" Type="http://schemas.openxmlformats.org/officeDocument/2006/relationships/hyperlink" Target="http://safara.com" TargetMode="External"/><Relationship Id="rId2356" Type="http://schemas.openxmlformats.org/officeDocument/2006/relationships/hyperlink" Target="http://infinitemachine.com" TargetMode="External"/><Relationship Id="rId3686" Type="http://schemas.openxmlformats.org/officeDocument/2006/relationships/hyperlink" Target="https://simsim.in/" TargetMode="External"/><Relationship Id="rId4161" Type="http://schemas.openxmlformats.org/officeDocument/2006/relationships/hyperlink" Target="https://k2space.com/" TargetMode="External"/><Relationship Id="rId4160" Type="http://schemas.openxmlformats.org/officeDocument/2006/relationships/hyperlink" Target="https://k-id.com/" TargetMode="External"/><Relationship Id="rId4163" Type="http://schemas.openxmlformats.org/officeDocument/2006/relationships/hyperlink" Target="https://kariusdx.com/" TargetMode="External"/><Relationship Id="rId4162" Type="http://schemas.openxmlformats.org/officeDocument/2006/relationships/hyperlink" Target="https://kalamlabs.in/" TargetMode="External"/><Relationship Id="rId4165" Type="http://schemas.openxmlformats.org/officeDocument/2006/relationships/hyperlink" Target="https://keychain.com/" TargetMode="External"/><Relationship Id="rId4164" Type="http://schemas.openxmlformats.org/officeDocument/2006/relationships/hyperlink" Target="https://kespry.com/" TargetMode="External"/><Relationship Id="rId4167" Type="http://schemas.openxmlformats.org/officeDocument/2006/relationships/hyperlink" Target="https://kirilys.com/" TargetMode="External"/><Relationship Id="rId4166" Type="http://schemas.openxmlformats.org/officeDocument/2006/relationships/hyperlink" Target="https://kikoff.com/" TargetMode="External"/><Relationship Id="rId4169" Type="http://schemas.openxmlformats.org/officeDocument/2006/relationships/hyperlink" Target="https://kongregate.com/" TargetMode="External"/><Relationship Id="rId4168" Type="http://schemas.openxmlformats.org/officeDocument/2006/relationships/hyperlink" Target="https://kodiak.ai/" TargetMode="External"/><Relationship Id="rId4150" Type="http://schemas.openxmlformats.org/officeDocument/2006/relationships/hyperlink" Target="https://iexindia.com/" TargetMode="External"/><Relationship Id="rId4152" Type="http://schemas.openxmlformats.org/officeDocument/2006/relationships/hyperlink" Target="https://influitive.com/" TargetMode="External"/><Relationship Id="rId4151" Type="http://schemas.openxmlformats.org/officeDocument/2006/relationships/hyperlink" Target="https://infiot.com/" TargetMode="External"/><Relationship Id="rId4154" Type="http://schemas.openxmlformats.org/officeDocument/2006/relationships/hyperlink" Target="https://innovaccer.com/" TargetMode="External"/><Relationship Id="rId4153" Type="http://schemas.openxmlformats.org/officeDocument/2006/relationships/hyperlink" Target="https://informatica.com/" TargetMode="External"/><Relationship Id="rId4156" Type="http://schemas.openxmlformats.org/officeDocument/2006/relationships/hyperlink" Target="https://ioturbine.com/" TargetMode="External"/><Relationship Id="rId4155" Type="http://schemas.openxmlformats.org/officeDocument/2006/relationships/hyperlink" Target="https://intenseye.com/" TargetMode="External"/><Relationship Id="rId4158" Type="http://schemas.openxmlformats.org/officeDocument/2006/relationships/hyperlink" Target="https://joopiter.com/" TargetMode="External"/><Relationship Id="rId4157" Type="http://schemas.openxmlformats.org/officeDocument/2006/relationships/hyperlink" Target="https://itsgood.life/" TargetMode="External"/><Relationship Id="rId4159" Type="http://schemas.openxmlformats.org/officeDocument/2006/relationships/hyperlink" Target="https://jumprope.com/" TargetMode="External"/><Relationship Id="rId1910" Type="http://schemas.openxmlformats.org/officeDocument/2006/relationships/hyperlink" Target="http://getsupernatural.com" TargetMode="External"/><Relationship Id="rId1911" Type="http://schemas.openxmlformats.org/officeDocument/2006/relationships/hyperlink" Target="http://airgarage.com" TargetMode="External"/><Relationship Id="rId1912" Type="http://schemas.openxmlformats.org/officeDocument/2006/relationships/hyperlink" Target="http://zynga.com" TargetMode="External"/><Relationship Id="rId1913" Type="http://schemas.openxmlformats.org/officeDocument/2006/relationships/hyperlink" Target="http://akasa.com" TargetMode="External"/><Relationship Id="rId1914" Type="http://schemas.openxmlformats.org/officeDocument/2006/relationships/hyperlink" Target="http://11x.ai" TargetMode="External"/><Relationship Id="rId1915" Type="http://schemas.openxmlformats.org/officeDocument/2006/relationships/hyperlink" Target="http://akitasoftware.com" TargetMode="External"/><Relationship Id="rId1916" Type="http://schemas.openxmlformats.org/officeDocument/2006/relationships/hyperlink" Target="http://alchemy.com" TargetMode="External"/><Relationship Id="rId1917" Type="http://schemas.openxmlformats.org/officeDocument/2006/relationships/hyperlink" Target="http://actioniq.com" TargetMode="External"/><Relationship Id="rId1918" Type="http://schemas.openxmlformats.org/officeDocument/2006/relationships/hyperlink" Target="http://alchemyhealth.com" TargetMode="External"/><Relationship Id="rId1919" Type="http://schemas.openxmlformats.org/officeDocument/2006/relationships/hyperlink" Target="http://provable.com" TargetMode="External"/><Relationship Id="rId4181" Type="http://schemas.openxmlformats.org/officeDocument/2006/relationships/hyperlink" Target="https://lio.io/" TargetMode="External"/><Relationship Id="rId4180" Type="http://schemas.openxmlformats.org/officeDocument/2006/relationships/hyperlink" Target="https://linkedcare.cn/" TargetMode="External"/><Relationship Id="rId4183" Type="http://schemas.openxmlformats.org/officeDocument/2006/relationships/hyperlink" Target="https://liveu.tv/" TargetMode="External"/><Relationship Id="rId4182" Type="http://schemas.openxmlformats.org/officeDocument/2006/relationships/hyperlink" Target="https://litatom.com/" TargetMode="External"/><Relationship Id="rId4185" Type="http://schemas.openxmlformats.org/officeDocument/2006/relationships/hyperlink" Target="https://lunchclub.ai/" TargetMode="External"/><Relationship Id="rId4184" Type="http://schemas.openxmlformats.org/officeDocument/2006/relationships/hyperlink" Target="https://51lepai.com/" TargetMode="External"/><Relationship Id="rId4187" Type="http://schemas.openxmlformats.org/officeDocument/2006/relationships/hyperlink" Target="https://magicpin.in/" TargetMode="External"/><Relationship Id="rId4186" Type="http://schemas.openxmlformats.org/officeDocument/2006/relationships/hyperlink" Target="https://magicspoon.com/" TargetMode="External"/><Relationship Id="rId4189" Type="http://schemas.openxmlformats.org/officeDocument/2006/relationships/hyperlink" Target="https://www.markato.com/" TargetMode="External"/><Relationship Id="rId4188" Type="http://schemas.openxmlformats.org/officeDocument/2006/relationships/hyperlink" Target="https://conexant.com/" TargetMode="External"/><Relationship Id="rId1900" Type="http://schemas.openxmlformats.org/officeDocument/2006/relationships/hyperlink" Target="http://udacity.com" TargetMode="External"/><Relationship Id="rId1901" Type="http://schemas.openxmlformats.org/officeDocument/2006/relationships/hyperlink" Target="http://addi.com" TargetMode="External"/><Relationship Id="rId1902" Type="http://schemas.openxmlformats.org/officeDocument/2006/relationships/hyperlink" Target="http://usermind.com" TargetMode="External"/><Relationship Id="rId1903" Type="http://schemas.openxmlformats.org/officeDocument/2006/relationships/hyperlink" Target="http://adimverse.com" TargetMode="External"/><Relationship Id="rId1904" Type="http://schemas.openxmlformats.org/officeDocument/2006/relationships/hyperlink" Target="http://viki.com" TargetMode="External"/><Relationship Id="rId1905" Type="http://schemas.openxmlformats.org/officeDocument/2006/relationships/hyperlink" Target="http://aerodome.com" TargetMode="External"/><Relationship Id="rId1906" Type="http://schemas.openxmlformats.org/officeDocument/2006/relationships/hyperlink" Target="http://walkerandcompany.com" TargetMode="External"/><Relationship Id="rId1907" Type="http://schemas.openxmlformats.org/officeDocument/2006/relationships/hyperlink" Target="http://aghanim.com" TargetMode="External"/><Relationship Id="rId1908" Type="http://schemas.openxmlformats.org/officeDocument/2006/relationships/hyperlink" Target="http://wit.ai" TargetMode="External"/><Relationship Id="rId1909" Type="http://schemas.openxmlformats.org/officeDocument/2006/relationships/hyperlink" Target="http://airspace-intelligence.com" TargetMode="External"/><Relationship Id="rId4170" Type="http://schemas.openxmlformats.org/officeDocument/2006/relationships/hyperlink" Target="https://kosmix.com/" TargetMode="External"/><Relationship Id="rId4172" Type="http://schemas.openxmlformats.org/officeDocument/2006/relationships/hyperlink" Target="https://ladderlife.com/" TargetMode="External"/><Relationship Id="rId4171" Type="http://schemas.openxmlformats.org/officeDocument/2006/relationships/hyperlink" Target="https://kumospace.com/" TargetMode="External"/><Relationship Id="rId4174" Type="http://schemas.openxmlformats.org/officeDocument/2006/relationships/hyperlink" Target="https://ledgerx.com/" TargetMode="External"/><Relationship Id="rId4173" Type="http://schemas.openxmlformats.org/officeDocument/2006/relationships/hyperlink" Target="https://langfuse.com/" TargetMode="External"/><Relationship Id="rId4176" Type="http://schemas.openxmlformats.org/officeDocument/2006/relationships/hyperlink" Target="https://lemon.markets/" TargetMode="External"/><Relationship Id="rId4175" Type="http://schemas.openxmlformats.org/officeDocument/2006/relationships/hyperlink" Target="https://leetcode-cn.com/" TargetMode="External"/><Relationship Id="rId4178" Type="http://schemas.openxmlformats.org/officeDocument/2006/relationships/hyperlink" Target="https://intel.com/" TargetMode="External"/><Relationship Id="rId4177" Type="http://schemas.openxmlformats.org/officeDocument/2006/relationships/hyperlink" Target="https://level.com/" TargetMode="External"/><Relationship Id="rId4179" Type="http://schemas.openxmlformats.org/officeDocument/2006/relationships/hyperlink" Target="https://golightyear.com/" TargetMode="External"/><Relationship Id="rId4129" Type="http://schemas.openxmlformats.org/officeDocument/2006/relationships/hyperlink" Target="https://hasura.io/" TargetMode="External"/><Relationship Id="rId4128" Type="http://schemas.openxmlformats.org/officeDocument/2006/relationships/hyperlink" Target="https://joinhandshake.com/" TargetMode="External"/><Relationship Id="rId1090" Type="http://schemas.openxmlformats.org/officeDocument/2006/relationships/hyperlink" Target="http://atlar.com" TargetMode="External"/><Relationship Id="rId1091" Type="http://schemas.openxmlformats.org/officeDocument/2006/relationships/hyperlink" Target="http://fireblocks.com" TargetMode="External"/><Relationship Id="rId1092" Type="http://schemas.openxmlformats.org/officeDocument/2006/relationships/hyperlink" Target="http://brighthire.ai" TargetMode="External"/><Relationship Id="rId1093" Type="http://schemas.openxmlformats.org/officeDocument/2006/relationships/hyperlink" Target="http://gong.io" TargetMode="External"/><Relationship Id="rId1094" Type="http://schemas.openxmlformats.org/officeDocument/2006/relationships/hyperlink" Target="http://castle.io" TargetMode="External"/><Relationship Id="rId1095" Type="http://schemas.openxmlformats.org/officeDocument/2006/relationships/hyperlink" Target="http://iterable.com/" TargetMode="External"/><Relationship Id="rId4121" Type="http://schemas.openxmlformats.org/officeDocument/2006/relationships/hyperlink" Target="https://goodfire.ai/" TargetMode="External"/><Relationship Id="rId1096" Type="http://schemas.openxmlformats.org/officeDocument/2006/relationships/hyperlink" Target="http://ethon.ai" TargetMode="External"/><Relationship Id="rId4120" Type="http://schemas.openxmlformats.org/officeDocument/2006/relationships/hyperlink" Target="https://myglobalfair.com/" TargetMode="External"/><Relationship Id="rId1097" Type="http://schemas.openxmlformats.org/officeDocument/2006/relationships/hyperlink" Target="http://lever.co/" TargetMode="External"/><Relationship Id="rId4123" Type="http://schemas.openxmlformats.org/officeDocument/2006/relationships/hyperlink" Target="https://grab.com/" TargetMode="External"/><Relationship Id="rId1098" Type="http://schemas.openxmlformats.org/officeDocument/2006/relationships/hyperlink" Target="http://resistant.ai" TargetMode="External"/><Relationship Id="rId4122" Type="http://schemas.openxmlformats.org/officeDocument/2006/relationships/hyperlink" Target="https://goop.com/" TargetMode="External"/><Relationship Id="rId1099" Type="http://schemas.openxmlformats.org/officeDocument/2006/relationships/hyperlink" Target="http://anrok.com" TargetMode="External"/><Relationship Id="rId4125" Type="http://schemas.openxmlformats.org/officeDocument/2006/relationships/hyperlink" Target="https://cisco.com/" TargetMode="External"/><Relationship Id="rId4124" Type="http://schemas.openxmlformats.org/officeDocument/2006/relationships/hyperlink" Target="https://granola.so/" TargetMode="External"/><Relationship Id="rId4127" Type="http://schemas.openxmlformats.org/officeDocument/2006/relationships/hyperlink" Target="https://www.gushwork.ai/" TargetMode="External"/><Relationship Id="rId4126" Type="http://schemas.openxmlformats.org/officeDocument/2006/relationships/hyperlink" Target="https://grubhub.com/" TargetMode="External"/><Relationship Id="rId4118" Type="http://schemas.openxmlformats.org/officeDocument/2006/relationships/hyperlink" Target="https://girlboss.com/" TargetMode="External"/><Relationship Id="rId4117" Type="http://schemas.openxmlformats.org/officeDocument/2006/relationships/hyperlink" Target="https://giphy.com/" TargetMode="External"/><Relationship Id="rId4119" Type="http://schemas.openxmlformats.org/officeDocument/2006/relationships/hyperlink" Target="https://globalbees.com/" TargetMode="External"/><Relationship Id="rId1080" Type="http://schemas.openxmlformats.org/officeDocument/2006/relationships/hyperlink" Target="http://brighthire.ai" TargetMode="External"/><Relationship Id="rId1081" Type="http://schemas.openxmlformats.org/officeDocument/2006/relationships/hyperlink" Target="http://augmentcode.com" TargetMode="External"/><Relationship Id="rId1082" Type="http://schemas.openxmlformats.org/officeDocument/2006/relationships/hyperlink" Target="http://ethon.ai" TargetMode="External"/><Relationship Id="rId1083" Type="http://schemas.openxmlformats.org/officeDocument/2006/relationships/hyperlink" Target="http://resistant.ai" TargetMode="External"/><Relationship Id="rId1084" Type="http://schemas.openxmlformats.org/officeDocument/2006/relationships/hyperlink" Target="http://otterize.com" TargetMode="External"/><Relationship Id="rId4110" Type="http://schemas.openxmlformats.org/officeDocument/2006/relationships/hyperlink" Target="https://fronterahealth.com/" TargetMode="External"/><Relationship Id="rId1085" Type="http://schemas.openxmlformats.org/officeDocument/2006/relationships/hyperlink" Target="http://subset.so" TargetMode="External"/><Relationship Id="rId1086" Type="http://schemas.openxmlformats.org/officeDocument/2006/relationships/hyperlink" Target="http://vooma.ai" TargetMode="External"/><Relationship Id="rId4112" Type="http://schemas.openxmlformats.org/officeDocument/2006/relationships/hyperlink" Target="https://www.fullview.io/" TargetMode="External"/><Relationship Id="rId1087" Type="http://schemas.openxmlformats.org/officeDocument/2006/relationships/hyperlink" Target="http://tessl.io" TargetMode="External"/><Relationship Id="rId4111" Type="http://schemas.openxmlformats.org/officeDocument/2006/relationships/hyperlink" Target="https://frubana.com/" TargetMode="External"/><Relationship Id="rId1088" Type="http://schemas.openxmlformats.org/officeDocument/2006/relationships/hyperlink" Target="http://albertinvent.com" TargetMode="External"/><Relationship Id="rId4114" Type="http://schemas.openxmlformats.org/officeDocument/2006/relationships/hyperlink" Target="https://gainsight.com/" TargetMode="External"/><Relationship Id="rId1089" Type="http://schemas.openxmlformats.org/officeDocument/2006/relationships/hyperlink" Target="http://datasnipper.com" TargetMode="External"/><Relationship Id="rId4113" Type="http://schemas.openxmlformats.org/officeDocument/2006/relationships/hyperlink" Target="https://fuisionio.com/" TargetMode="External"/><Relationship Id="rId4116" Type="http://schemas.openxmlformats.org/officeDocument/2006/relationships/hyperlink" Target="https://geniebook.com/" TargetMode="External"/><Relationship Id="rId4115" Type="http://schemas.openxmlformats.org/officeDocument/2006/relationships/hyperlink" Target="https://gardens.dev/" TargetMode="External"/><Relationship Id="rId4141" Type="http://schemas.openxmlformats.org/officeDocument/2006/relationships/hyperlink" Target="https://honeylove.co/" TargetMode="External"/><Relationship Id="rId4140" Type="http://schemas.openxmlformats.org/officeDocument/2006/relationships/hyperlink" Target="https://homary.com/" TargetMode="External"/><Relationship Id="rId4143" Type="http://schemas.openxmlformats.org/officeDocument/2006/relationships/hyperlink" Target="https://hubilo.com/" TargetMode="External"/><Relationship Id="rId4142" Type="http://schemas.openxmlformats.org/officeDocument/2006/relationships/hyperlink" Target="https://houseofx.in/" TargetMode="External"/><Relationship Id="rId4145" Type="http://schemas.openxmlformats.org/officeDocument/2006/relationships/hyperlink" Target="https://hyperguest.com/" TargetMode="External"/><Relationship Id="rId4144" Type="http://schemas.openxmlformats.org/officeDocument/2006/relationships/hyperlink" Target="https://hungryroot.com/" TargetMode="External"/><Relationship Id="rId4147" Type="http://schemas.openxmlformats.org/officeDocument/2006/relationships/hyperlink" Target="https://illumix.com/" TargetMode="External"/><Relationship Id="rId4146" Type="http://schemas.openxmlformats.org/officeDocument/2006/relationships/hyperlink" Target="https://ihaveu.com/" TargetMode="External"/><Relationship Id="rId4149" Type="http://schemas.openxmlformats.org/officeDocument/2006/relationships/hyperlink" Target="https://impira.com/" TargetMode="External"/><Relationship Id="rId4148" Type="http://schemas.openxmlformats.org/officeDocument/2006/relationships/hyperlink" Target="https://immunostherapeutics.com/" TargetMode="External"/><Relationship Id="rId4139" Type="http://schemas.openxmlformats.org/officeDocument/2006/relationships/hyperlink" Target="https://holoam.com/" TargetMode="External"/><Relationship Id="rId4130" Type="http://schemas.openxmlformats.org/officeDocument/2006/relationships/hyperlink" Target="https://healthplix.pro/" TargetMode="External"/><Relationship Id="rId4132" Type="http://schemas.openxmlformats.org/officeDocument/2006/relationships/hyperlink" Target="https://heptio.com/" TargetMode="External"/><Relationship Id="rId4131" Type="http://schemas.openxmlformats.org/officeDocument/2006/relationships/hyperlink" Target="https://helionenergy.com/" TargetMode="External"/><Relationship Id="rId4134" Type="http://schemas.openxmlformats.org/officeDocument/2006/relationships/hyperlink" Target="https://herbeast.cn/" TargetMode="External"/><Relationship Id="rId4133" Type="http://schemas.openxmlformats.org/officeDocument/2006/relationships/hyperlink" Target="https://heraldapi.com/" TargetMode="External"/><Relationship Id="rId4136" Type="http://schemas.openxmlformats.org/officeDocument/2006/relationships/hyperlink" Target="https://hiddenleafgames.com/" TargetMode="External"/><Relationship Id="rId4135" Type="http://schemas.openxmlformats.org/officeDocument/2006/relationships/hyperlink" Target="https://heygo.com/" TargetMode="External"/><Relationship Id="rId4138" Type="http://schemas.openxmlformats.org/officeDocument/2006/relationships/hyperlink" Target="https://hillevax.com/" TargetMode="External"/><Relationship Id="rId4137" Type="http://schemas.openxmlformats.org/officeDocument/2006/relationships/hyperlink" Target="https://highfive.com/" TargetMode="External"/><Relationship Id="rId1972" Type="http://schemas.openxmlformats.org/officeDocument/2006/relationships/hyperlink" Target="http://apeel.com" TargetMode="External"/><Relationship Id="rId1973" Type="http://schemas.openxmlformats.org/officeDocument/2006/relationships/hyperlink" Target="http://astranis.com" TargetMode="External"/><Relationship Id="rId1974" Type="http://schemas.openxmlformats.org/officeDocument/2006/relationships/hyperlink" Target="http://apexspace.com" TargetMode="External"/><Relationship Id="rId1975" Type="http://schemas.openxmlformats.org/officeDocument/2006/relationships/hyperlink" Target="http://astromecha.co" TargetMode="External"/><Relationship Id="rId1976" Type="http://schemas.openxmlformats.org/officeDocument/2006/relationships/hyperlink" Target="http://apollographql.com" TargetMode="External"/><Relationship Id="rId1977" Type="http://schemas.openxmlformats.org/officeDocument/2006/relationships/hyperlink" Target="http://atlys.com" TargetMode="External"/><Relationship Id="rId1978" Type="http://schemas.openxmlformats.org/officeDocument/2006/relationships/hyperlink" Target="http://appliedintuition.com" TargetMode="External"/><Relationship Id="rId1979" Type="http://schemas.openxmlformats.org/officeDocument/2006/relationships/hyperlink" Target="http://autograph.io" TargetMode="External"/><Relationship Id="rId1970" Type="http://schemas.openxmlformats.org/officeDocument/2006/relationships/hyperlink" Target="http://anyscale.com" TargetMode="External"/><Relationship Id="rId1971" Type="http://schemas.openxmlformats.org/officeDocument/2006/relationships/hyperlink" Target="http://asimov.com" TargetMode="External"/><Relationship Id="rId1961" Type="http://schemas.openxmlformats.org/officeDocument/2006/relationships/hyperlink" Target="http://aminochain.io" TargetMode="External"/><Relationship Id="rId1962" Type="http://schemas.openxmlformats.org/officeDocument/2006/relationships/hyperlink" Target="http://arcboats.com" TargetMode="External"/><Relationship Id="rId1963" Type="http://schemas.openxmlformats.org/officeDocument/2006/relationships/hyperlink" Target="http://anchorage.com" TargetMode="External"/><Relationship Id="rId1964" Type="http://schemas.openxmlformats.org/officeDocument/2006/relationships/hyperlink" Target="http://arcjet.com" TargetMode="External"/><Relationship Id="rId1965" Type="http://schemas.openxmlformats.org/officeDocument/2006/relationships/hyperlink" Target="http://anduril.com" TargetMode="External"/><Relationship Id="rId1966" Type="http://schemas.openxmlformats.org/officeDocument/2006/relationships/hyperlink" Target="http://ardatx.com" TargetMode="External"/><Relationship Id="rId1967" Type="http://schemas.openxmlformats.org/officeDocument/2006/relationships/hyperlink" Target="http://arpeggi.io" TargetMode="External"/><Relationship Id="rId1968" Type="http://schemas.openxmlformats.org/officeDocument/2006/relationships/hyperlink" Target="http://anyroad.com" TargetMode="External"/><Relationship Id="rId1969" Type="http://schemas.openxmlformats.org/officeDocument/2006/relationships/hyperlink" Target="http://arweave.org" TargetMode="External"/><Relationship Id="rId1960" Type="http://schemas.openxmlformats.org/officeDocument/2006/relationships/hyperlink" Target="http://aptoslabs.com" TargetMode="External"/><Relationship Id="rId1994" Type="http://schemas.openxmlformats.org/officeDocument/2006/relationships/hyperlink" Target="http://astromecha.co" TargetMode="External"/><Relationship Id="rId1995" Type="http://schemas.openxmlformats.org/officeDocument/2006/relationships/hyperlink" Target="http://bayesianhealth.com" TargetMode="External"/><Relationship Id="rId1996" Type="http://schemas.openxmlformats.org/officeDocument/2006/relationships/hyperlink" Target="http://atlys.com" TargetMode="External"/><Relationship Id="rId1997" Type="http://schemas.openxmlformats.org/officeDocument/2006/relationships/hyperlink" Target="http://meldium.com" TargetMode="External"/><Relationship Id="rId1998" Type="http://schemas.openxmlformats.org/officeDocument/2006/relationships/hyperlink" Target="http://autograph.io" TargetMode="External"/><Relationship Id="rId1999" Type="http://schemas.openxmlformats.org/officeDocument/2006/relationships/hyperlink" Target="http://beacons.ai" TargetMode="External"/><Relationship Id="rId1990" Type="http://schemas.openxmlformats.org/officeDocument/2006/relationships/hyperlink" Target="http://asimov.com" TargetMode="External"/><Relationship Id="rId1991" Type="http://schemas.openxmlformats.org/officeDocument/2006/relationships/hyperlink" Target="http://bastion.io" TargetMode="External"/><Relationship Id="rId1992" Type="http://schemas.openxmlformats.org/officeDocument/2006/relationships/hyperlink" Target="http://astranis.com" TargetMode="External"/><Relationship Id="rId1993" Type="http://schemas.openxmlformats.org/officeDocument/2006/relationships/hyperlink" Target="http://battlebound.io" TargetMode="External"/><Relationship Id="rId1983" Type="http://schemas.openxmlformats.org/officeDocument/2006/relationships/hyperlink" Target="http://arcjet.com" TargetMode="External"/><Relationship Id="rId1984" Type="http://schemas.openxmlformats.org/officeDocument/2006/relationships/hyperlink" Target="http://azragames.com" TargetMode="External"/><Relationship Id="rId1985" Type="http://schemas.openxmlformats.org/officeDocument/2006/relationships/hyperlink" Target="http://ardatx.com" TargetMode="External"/><Relationship Id="rId1986" Type="http://schemas.openxmlformats.org/officeDocument/2006/relationships/hyperlink" Target="http://arpeggi.io" TargetMode="External"/><Relationship Id="rId1987" Type="http://schemas.openxmlformats.org/officeDocument/2006/relationships/hyperlink" Target="http://backflip.ai" TargetMode="External"/><Relationship Id="rId1988" Type="http://schemas.openxmlformats.org/officeDocument/2006/relationships/hyperlink" Target="http://arweave.org" TargetMode="External"/><Relationship Id="rId1989" Type="http://schemas.openxmlformats.org/officeDocument/2006/relationships/hyperlink" Target="http://bash.gg" TargetMode="External"/><Relationship Id="rId1980" Type="http://schemas.openxmlformats.org/officeDocument/2006/relationships/hyperlink" Target="http://aptoslabs.com" TargetMode="External"/><Relationship Id="rId1981" Type="http://schemas.openxmlformats.org/officeDocument/2006/relationships/hyperlink" Target="http://arcboats.com" TargetMode="External"/><Relationship Id="rId1982" Type="http://schemas.openxmlformats.org/officeDocument/2006/relationships/hyperlink" Target="http://axoni.com" TargetMode="External"/><Relationship Id="rId1930" Type="http://schemas.openxmlformats.org/officeDocument/2006/relationships/hyperlink" Target="http://airgarage.com" TargetMode="External"/><Relationship Id="rId1931" Type="http://schemas.openxmlformats.org/officeDocument/2006/relationships/hyperlink" Target="http://nobellfoods.com" TargetMode="External"/><Relationship Id="rId1932" Type="http://schemas.openxmlformats.org/officeDocument/2006/relationships/hyperlink" Target="http://akasa.com" TargetMode="External"/><Relationship Id="rId1933" Type="http://schemas.openxmlformats.org/officeDocument/2006/relationships/hyperlink" Target="http://altavr.io" TargetMode="External"/><Relationship Id="rId1934" Type="http://schemas.openxmlformats.org/officeDocument/2006/relationships/hyperlink" Target="http://akitasoftware.com" TargetMode="External"/><Relationship Id="rId1935" Type="http://schemas.openxmlformats.org/officeDocument/2006/relationships/hyperlink" Target="http://altera.al" TargetMode="External"/><Relationship Id="rId1936" Type="http://schemas.openxmlformats.org/officeDocument/2006/relationships/hyperlink" Target="http://alchemy.com" TargetMode="External"/><Relationship Id="rId1937" Type="http://schemas.openxmlformats.org/officeDocument/2006/relationships/hyperlink" Target="http://altitudelearning.com" TargetMode="External"/><Relationship Id="rId1938" Type="http://schemas.openxmlformats.org/officeDocument/2006/relationships/hyperlink" Target="http://alchemyhealth.com" TargetMode="External"/><Relationship Id="rId1939" Type="http://schemas.openxmlformats.org/officeDocument/2006/relationships/hyperlink" Target="http://provable.com" TargetMode="External"/><Relationship Id="rId1920" Type="http://schemas.openxmlformats.org/officeDocument/2006/relationships/hyperlink" Target="http://addi.com" TargetMode="External"/><Relationship Id="rId1921" Type="http://schemas.openxmlformats.org/officeDocument/2006/relationships/hyperlink" Target="http://allday.com" TargetMode="External"/><Relationship Id="rId1922" Type="http://schemas.openxmlformats.org/officeDocument/2006/relationships/hyperlink" Target="http://adimverse.com" TargetMode="External"/><Relationship Id="rId1923" Type="http://schemas.openxmlformats.org/officeDocument/2006/relationships/hyperlink" Target="http://alluxio.io" TargetMode="External"/><Relationship Id="rId1924" Type="http://schemas.openxmlformats.org/officeDocument/2006/relationships/hyperlink" Target="http://aerodome.com" TargetMode="External"/><Relationship Id="rId1925" Type="http://schemas.openxmlformats.org/officeDocument/2006/relationships/hyperlink" Target="http://almostapps.com" TargetMode="External"/><Relationship Id="rId1926" Type="http://schemas.openxmlformats.org/officeDocument/2006/relationships/hyperlink" Target="http://aghanim.com" TargetMode="External"/><Relationship Id="rId1927" Type="http://schemas.openxmlformats.org/officeDocument/2006/relationships/hyperlink" Target="http://aloftappraisal.com" TargetMode="External"/><Relationship Id="rId1928" Type="http://schemas.openxmlformats.org/officeDocument/2006/relationships/hyperlink" Target="http://airspace-intelligence.com" TargetMode="External"/><Relationship Id="rId1929" Type="http://schemas.openxmlformats.org/officeDocument/2006/relationships/hyperlink" Target="http://alongsidefinance.com" TargetMode="External"/><Relationship Id="rId4190" Type="http://schemas.openxmlformats.org/officeDocument/2006/relationships/hyperlink" Target="https://www.marqo.ai/" TargetMode="External"/><Relationship Id="rId4192" Type="http://schemas.openxmlformats.org/officeDocument/2006/relationships/hyperlink" Target="https://getmason.io/" TargetMode="External"/><Relationship Id="rId4191" Type="http://schemas.openxmlformats.org/officeDocument/2006/relationships/hyperlink" Target="https://masergy.com/" TargetMode="External"/><Relationship Id="rId4194" Type="http://schemas.openxmlformats.org/officeDocument/2006/relationships/hyperlink" Target="https://getmayd.com/" TargetMode="External"/><Relationship Id="rId4193" Type="http://schemas.openxmlformats.org/officeDocument/2006/relationships/hyperlink" Target="https://materialize.com/" TargetMode="External"/><Relationship Id="rId4196" Type="http://schemas.openxmlformats.org/officeDocument/2006/relationships/hyperlink" Target="https://medikine.com/" TargetMode="External"/><Relationship Id="rId4195" Type="http://schemas.openxmlformats.org/officeDocument/2006/relationships/hyperlink" Target="https://mdclone.com/" TargetMode="External"/><Relationship Id="rId4198" Type="http://schemas.openxmlformats.org/officeDocument/2006/relationships/hyperlink" Target="https://memverge.com/" TargetMode="External"/><Relationship Id="rId4197" Type="http://schemas.openxmlformats.org/officeDocument/2006/relationships/hyperlink" Target="https://memoir-systems.com/" TargetMode="External"/><Relationship Id="rId4199" Type="http://schemas.openxmlformats.org/officeDocument/2006/relationships/hyperlink" Target="https://letsmend.com/" TargetMode="External"/><Relationship Id="rId1950" Type="http://schemas.openxmlformats.org/officeDocument/2006/relationships/hyperlink" Target="http://nobellfoods.com" TargetMode="External"/><Relationship Id="rId1951" Type="http://schemas.openxmlformats.org/officeDocument/2006/relationships/hyperlink" Target="http://anyscale.com" TargetMode="External"/><Relationship Id="rId1952" Type="http://schemas.openxmlformats.org/officeDocument/2006/relationships/hyperlink" Target="http://altavr.io" TargetMode="External"/><Relationship Id="rId1953" Type="http://schemas.openxmlformats.org/officeDocument/2006/relationships/hyperlink" Target="http://apeel.com" TargetMode="External"/><Relationship Id="rId1954" Type="http://schemas.openxmlformats.org/officeDocument/2006/relationships/hyperlink" Target="http://altera.al" TargetMode="External"/><Relationship Id="rId1955" Type="http://schemas.openxmlformats.org/officeDocument/2006/relationships/hyperlink" Target="http://apexspace.com" TargetMode="External"/><Relationship Id="rId1956" Type="http://schemas.openxmlformats.org/officeDocument/2006/relationships/hyperlink" Target="http://altitudelearning.com" TargetMode="External"/><Relationship Id="rId1957" Type="http://schemas.openxmlformats.org/officeDocument/2006/relationships/hyperlink" Target="http://apollographql.com" TargetMode="External"/><Relationship Id="rId1958" Type="http://schemas.openxmlformats.org/officeDocument/2006/relationships/hyperlink" Target="http://appliedintuition.com" TargetMode="External"/><Relationship Id="rId1959" Type="http://schemas.openxmlformats.org/officeDocument/2006/relationships/hyperlink" Target="http://ambiencehealthcare.com" TargetMode="External"/><Relationship Id="rId1940" Type="http://schemas.openxmlformats.org/officeDocument/2006/relationships/hyperlink" Target="http://ambiencehealthcare.com" TargetMode="External"/><Relationship Id="rId1941" Type="http://schemas.openxmlformats.org/officeDocument/2006/relationships/hyperlink" Target="http://allday.com" TargetMode="External"/><Relationship Id="rId1942" Type="http://schemas.openxmlformats.org/officeDocument/2006/relationships/hyperlink" Target="http://aminochain.io" TargetMode="External"/><Relationship Id="rId1943" Type="http://schemas.openxmlformats.org/officeDocument/2006/relationships/hyperlink" Target="http://alluxio.io" TargetMode="External"/><Relationship Id="rId1944" Type="http://schemas.openxmlformats.org/officeDocument/2006/relationships/hyperlink" Target="http://anchorage.com" TargetMode="External"/><Relationship Id="rId1945" Type="http://schemas.openxmlformats.org/officeDocument/2006/relationships/hyperlink" Target="http://almostapps.com" TargetMode="External"/><Relationship Id="rId1946" Type="http://schemas.openxmlformats.org/officeDocument/2006/relationships/hyperlink" Target="http://anduril.com" TargetMode="External"/><Relationship Id="rId1947" Type="http://schemas.openxmlformats.org/officeDocument/2006/relationships/hyperlink" Target="http://aloftappraisal.com" TargetMode="External"/><Relationship Id="rId1948" Type="http://schemas.openxmlformats.org/officeDocument/2006/relationships/hyperlink" Target="http://alongsidefinance.com" TargetMode="External"/><Relationship Id="rId1949" Type="http://schemas.openxmlformats.org/officeDocument/2006/relationships/hyperlink" Target="http://anyroad.com" TargetMode="External"/><Relationship Id="rId2423" Type="http://schemas.openxmlformats.org/officeDocument/2006/relationships/hyperlink" Target="http://li.me" TargetMode="External"/><Relationship Id="rId3755" Type="http://schemas.openxmlformats.org/officeDocument/2006/relationships/hyperlink" Target="https://www.paytweed.com/" TargetMode="External"/><Relationship Id="rId2424" Type="http://schemas.openxmlformats.org/officeDocument/2006/relationships/hyperlink" Target="http://labelbox.com" TargetMode="External"/><Relationship Id="rId3754" Type="http://schemas.openxmlformats.org/officeDocument/2006/relationships/hyperlink" Target="https://turbine.ai/" TargetMode="External"/><Relationship Id="rId2425" Type="http://schemas.openxmlformats.org/officeDocument/2006/relationships/hyperlink" Target="http://limitless.ai" TargetMode="External"/><Relationship Id="rId3757" Type="http://schemas.openxmlformats.org/officeDocument/2006/relationships/hyperlink" Target="https://www.uni.cards/" TargetMode="External"/><Relationship Id="rId2426" Type="http://schemas.openxmlformats.org/officeDocument/2006/relationships/hyperlink" Target="http://labster.com" TargetMode="External"/><Relationship Id="rId3756" Type="http://schemas.openxmlformats.org/officeDocument/2006/relationships/hyperlink" Target="http://www.uipath.com/" TargetMode="External"/><Relationship Id="rId2427" Type="http://schemas.openxmlformats.org/officeDocument/2006/relationships/hyperlink" Target="http://linq.gg" TargetMode="External"/><Relationship Id="rId3759" Type="http://schemas.openxmlformats.org/officeDocument/2006/relationships/hyperlink" Target="https://www.unitq.com/" TargetMode="External"/><Relationship Id="rId2428" Type="http://schemas.openxmlformats.org/officeDocument/2006/relationships/hyperlink" Target="http://liveaware.io" TargetMode="External"/><Relationship Id="rId3758" Type="http://schemas.openxmlformats.org/officeDocument/2006/relationships/hyperlink" Target="http://www.mobstac.com/" TargetMode="External"/><Relationship Id="rId2429" Type="http://schemas.openxmlformats.org/officeDocument/2006/relationships/hyperlink" Target="http://getlocalmotion.com" TargetMode="External"/><Relationship Id="rId509" Type="http://schemas.openxmlformats.org/officeDocument/2006/relationships/hyperlink" Target="http://encord.com" TargetMode="External"/><Relationship Id="rId508" Type="http://schemas.openxmlformats.org/officeDocument/2006/relationships/hyperlink" Target="http://etleap.com" TargetMode="External"/><Relationship Id="rId503" Type="http://schemas.openxmlformats.org/officeDocument/2006/relationships/hyperlink" Target="http://embrace.io" TargetMode="External"/><Relationship Id="rId502" Type="http://schemas.openxmlformats.org/officeDocument/2006/relationships/hyperlink" Target="http://embeddables.com" TargetMode="External"/><Relationship Id="rId501" Type="http://schemas.openxmlformats.org/officeDocument/2006/relationships/hyperlink" Target="http://epsilon3.io" TargetMode="External"/><Relationship Id="rId500" Type="http://schemas.openxmlformats.org/officeDocument/2006/relationships/hyperlink" Target="http://getelucify.com" TargetMode="External"/><Relationship Id="rId507" Type="http://schemas.openxmlformats.org/officeDocument/2006/relationships/hyperlink" Target="http://enableus.com" TargetMode="External"/><Relationship Id="rId506" Type="http://schemas.openxmlformats.org/officeDocument/2006/relationships/hyperlink" Target="http://estoca.com.br" TargetMode="External"/><Relationship Id="rId505" Type="http://schemas.openxmlformats.org/officeDocument/2006/relationships/hyperlink" Target="http://emilabs.ai" TargetMode="External"/><Relationship Id="rId504" Type="http://schemas.openxmlformats.org/officeDocument/2006/relationships/hyperlink" Target="http://estimote.com" TargetMode="External"/><Relationship Id="rId3751" Type="http://schemas.openxmlformats.org/officeDocument/2006/relationships/hyperlink" Target="https://www.truebill.com/" TargetMode="External"/><Relationship Id="rId2420" Type="http://schemas.openxmlformats.org/officeDocument/2006/relationships/hyperlink" Target="http://kosen.ai" TargetMode="External"/><Relationship Id="rId3750" Type="http://schemas.openxmlformats.org/officeDocument/2006/relationships/hyperlink" Target="http://www.trinkerr.com/" TargetMode="External"/><Relationship Id="rId2421" Type="http://schemas.openxmlformats.org/officeDocument/2006/relationships/hyperlink" Target="http://lilsnack.co" TargetMode="External"/><Relationship Id="rId3753" Type="http://schemas.openxmlformats.org/officeDocument/2006/relationships/hyperlink" Target="http://www.trustarc.com/" TargetMode="External"/><Relationship Id="rId2422" Type="http://schemas.openxmlformats.org/officeDocument/2006/relationships/hyperlink" Target="http://kweli.tv" TargetMode="External"/><Relationship Id="rId3752" Type="http://schemas.openxmlformats.org/officeDocument/2006/relationships/hyperlink" Target="https://www.truora.com/" TargetMode="External"/><Relationship Id="rId2412" Type="http://schemas.openxmlformats.org/officeDocument/2006/relationships/hyperlink" Target="http://livekindred.com" TargetMode="External"/><Relationship Id="rId3744" Type="http://schemas.openxmlformats.org/officeDocument/2006/relationships/hyperlink" Target="http://www.tracedata.io/" TargetMode="External"/><Relationship Id="rId2413" Type="http://schemas.openxmlformats.org/officeDocument/2006/relationships/hyperlink" Target="http://lido.fi" TargetMode="External"/><Relationship Id="rId3743" Type="http://schemas.openxmlformats.org/officeDocument/2006/relationships/hyperlink" Target="https://www.titan.com/" TargetMode="External"/><Relationship Id="rId2414" Type="http://schemas.openxmlformats.org/officeDocument/2006/relationships/hyperlink" Target="http://knownwell.co" TargetMode="External"/><Relationship Id="rId3746" Type="http://schemas.openxmlformats.org/officeDocument/2006/relationships/hyperlink" Target="https://traderepublic.com/" TargetMode="External"/><Relationship Id="rId2415" Type="http://schemas.openxmlformats.org/officeDocument/2006/relationships/hyperlink" Target="http://lighter.xyz" TargetMode="External"/><Relationship Id="rId3745" Type="http://schemas.openxmlformats.org/officeDocument/2006/relationships/hyperlink" Target="http://www.traxcn.com/" TargetMode="External"/><Relationship Id="rId2416" Type="http://schemas.openxmlformats.org/officeDocument/2006/relationships/hyperlink" Target="http://koboldmetals.com" TargetMode="External"/><Relationship Id="rId3748" Type="http://schemas.openxmlformats.org/officeDocument/2006/relationships/hyperlink" Target="http://www.transitapp.com/" TargetMode="External"/><Relationship Id="rId2417" Type="http://schemas.openxmlformats.org/officeDocument/2006/relationships/hyperlink" Target="http://lightspark.com" TargetMode="External"/><Relationship Id="rId3747" Type="http://schemas.openxmlformats.org/officeDocument/2006/relationships/hyperlink" Target="http://www.transcend.io/" TargetMode="External"/><Relationship Id="rId2418" Type="http://schemas.openxmlformats.org/officeDocument/2006/relationships/hyperlink" Target="http://komodohealth.com" TargetMode="External"/><Relationship Id="rId2419" Type="http://schemas.openxmlformats.org/officeDocument/2006/relationships/hyperlink" Target="http://lightup.ai" TargetMode="External"/><Relationship Id="rId3749" Type="http://schemas.openxmlformats.org/officeDocument/2006/relationships/hyperlink" Target="http://www.travelstop.com/" TargetMode="External"/><Relationship Id="rId3740" Type="http://schemas.openxmlformats.org/officeDocument/2006/relationships/hyperlink" Target="http://www.thezebra.com/" TargetMode="External"/><Relationship Id="rId2410" Type="http://schemas.openxmlformats.org/officeDocument/2006/relationships/hyperlink" Target="http://kikiworld.io" TargetMode="External"/><Relationship Id="rId3742" Type="http://schemas.openxmlformats.org/officeDocument/2006/relationships/hyperlink" Target="http://www.tines.io/" TargetMode="External"/><Relationship Id="rId2411" Type="http://schemas.openxmlformats.org/officeDocument/2006/relationships/hyperlink" Target="http://levels.com" TargetMode="External"/><Relationship Id="rId3741" Type="http://schemas.openxmlformats.org/officeDocument/2006/relationships/hyperlink" Target="http://www.timeisltd.com/" TargetMode="External"/><Relationship Id="rId1114" Type="http://schemas.openxmlformats.org/officeDocument/2006/relationships/hyperlink" Target="http://lever.co/" TargetMode="External"/><Relationship Id="rId2445" Type="http://schemas.openxmlformats.org/officeDocument/2006/relationships/hyperlink" Target="http://playkinderworld.com" TargetMode="External"/><Relationship Id="rId3777" Type="http://schemas.openxmlformats.org/officeDocument/2006/relationships/hyperlink" Target="http://www.wallapop.com/" TargetMode="External"/><Relationship Id="rId1115" Type="http://schemas.openxmlformats.org/officeDocument/2006/relationships/hyperlink" Target="http://algolia.com" TargetMode="External"/><Relationship Id="rId2446" Type="http://schemas.openxmlformats.org/officeDocument/2006/relationships/hyperlink" Target="http://limitless.ai" TargetMode="External"/><Relationship Id="rId3776" Type="http://schemas.openxmlformats.org/officeDocument/2006/relationships/hyperlink" Target="http://www.vsco.co/" TargetMode="External"/><Relationship Id="rId1116" Type="http://schemas.openxmlformats.org/officeDocument/2006/relationships/hyperlink" Target="http://anrok.com" TargetMode="External"/><Relationship Id="rId2447" Type="http://schemas.openxmlformats.org/officeDocument/2006/relationships/hyperlink" Target="http://lumos.com" TargetMode="External"/><Relationship Id="rId3779" Type="http://schemas.openxmlformats.org/officeDocument/2006/relationships/hyperlink" Target="http://www.webflow.com/" TargetMode="External"/><Relationship Id="rId1117" Type="http://schemas.openxmlformats.org/officeDocument/2006/relationships/hyperlink" Target="http://alkemics.com" TargetMode="External"/><Relationship Id="rId2448" Type="http://schemas.openxmlformats.org/officeDocument/2006/relationships/hyperlink" Target="http://linq.gg" TargetMode="External"/><Relationship Id="rId3778" Type="http://schemas.openxmlformats.org/officeDocument/2006/relationships/hyperlink" Target="http://www.weave.works/" TargetMode="External"/><Relationship Id="rId1118" Type="http://schemas.openxmlformats.org/officeDocument/2006/relationships/hyperlink" Target="http://codat.io" TargetMode="External"/><Relationship Id="rId2449" Type="http://schemas.openxmlformats.org/officeDocument/2006/relationships/hyperlink" Target="http://macro.com" TargetMode="External"/><Relationship Id="rId1119" Type="http://schemas.openxmlformats.org/officeDocument/2006/relationships/hyperlink" Target="http://apexhq.ai" TargetMode="External"/><Relationship Id="rId525" Type="http://schemas.openxmlformats.org/officeDocument/2006/relationships/hyperlink" Target="http://firstdelivery.com" TargetMode="External"/><Relationship Id="rId524" Type="http://schemas.openxmlformats.org/officeDocument/2006/relationships/hyperlink" Target="http://fiboapp.com" TargetMode="External"/><Relationship Id="rId523" Type="http://schemas.openxmlformats.org/officeDocument/2006/relationships/hyperlink" Target="http://ezewholesale.com" TargetMode="External"/><Relationship Id="rId522" Type="http://schemas.openxmlformats.org/officeDocument/2006/relationships/hyperlink" Target="http://feroot.com" TargetMode="External"/><Relationship Id="rId529" Type="http://schemas.openxmlformats.org/officeDocument/2006/relationships/hyperlink" Target="http://fanchatter.com" TargetMode="External"/><Relationship Id="rId528" Type="http://schemas.openxmlformats.org/officeDocument/2006/relationships/hyperlink" Target="http://filestack.com" TargetMode="External"/><Relationship Id="rId527" Type="http://schemas.openxmlformats.org/officeDocument/2006/relationships/hyperlink" Target="http://factoredquality.com" TargetMode="External"/><Relationship Id="rId526" Type="http://schemas.openxmlformats.org/officeDocument/2006/relationships/hyperlink" Target="http://fieldguide.io" TargetMode="External"/><Relationship Id="rId3771" Type="http://schemas.openxmlformats.org/officeDocument/2006/relationships/hyperlink" Target="http://virgio.com/" TargetMode="External"/><Relationship Id="rId2440" Type="http://schemas.openxmlformats.org/officeDocument/2006/relationships/hyperlink" Target="http://lightup.ai" TargetMode="External"/><Relationship Id="rId3770" Type="http://schemas.openxmlformats.org/officeDocument/2006/relationships/hyperlink" Target="http://www.vinted.fr/" TargetMode="External"/><Relationship Id="rId521" Type="http://schemas.openxmlformats.org/officeDocument/2006/relationships/hyperlink" Target="http://buildwithfern.com" TargetMode="External"/><Relationship Id="rId1110" Type="http://schemas.openxmlformats.org/officeDocument/2006/relationships/hyperlink" Target="http://humanloop.com" TargetMode="External"/><Relationship Id="rId2441" Type="http://schemas.openxmlformats.org/officeDocument/2006/relationships/hyperlink" Target="http://ltse.com" TargetMode="External"/><Relationship Id="rId3773" Type="http://schemas.openxmlformats.org/officeDocument/2006/relationships/hyperlink" Target="https://www.vlt.sh/" TargetMode="External"/><Relationship Id="rId520" Type="http://schemas.openxmlformats.org/officeDocument/2006/relationships/hyperlink" Target="http://explorex.co" TargetMode="External"/><Relationship Id="rId1111" Type="http://schemas.openxmlformats.org/officeDocument/2006/relationships/hyperlink" Target="http://rightscale.com" TargetMode="External"/><Relationship Id="rId2442" Type="http://schemas.openxmlformats.org/officeDocument/2006/relationships/hyperlink" Target="http://lilsnack.co" TargetMode="External"/><Relationship Id="rId3772" Type="http://schemas.openxmlformats.org/officeDocument/2006/relationships/hyperlink" Target="https://viso.ai/" TargetMode="External"/><Relationship Id="rId1112" Type="http://schemas.openxmlformats.org/officeDocument/2006/relationships/hyperlink" Target="http://iterable.com/" TargetMode="External"/><Relationship Id="rId2443" Type="http://schemas.openxmlformats.org/officeDocument/2006/relationships/hyperlink" Target="http://lumalabs.ai" TargetMode="External"/><Relationship Id="rId3775" Type="http://schemas.openxmlformats.org/officeDocument/2006/relationships/hyperlink" Target="http://www.voxmedia.com/" TargetMode="External"/><Relationship Id="rId1113" Type="http://schemas.openxmlformats.org/officeDocument/2006/relationships/hyperlink" Target="http://taktile.com" TargetMode="External"/><Relationship Id="rId2444" Type="http://schemas.openxmlformats.org/officeDocument/2006/relationships/hyperlink" Target="http://li.me" TargetMode="External"/><Relationship Id="rId3774" Type="http://schemas.openxmlformats.org/officeDocument/2006/relationships/hyperlink" Target="https://voidzero.dev/" TargetMode="External"/><Relationship Id="rId1103" Type="http://schemas.openxmlformats.org/officeDocument/2006/relationships/hyperlink" Target="http://lithic.com" TargetMode="External"/><Relationship Id="rId2434" Type="http://schemas.openxmlformats.org/officeDocument/2006/relationships/hyperlink" Target="http://lido.fi" TargetMode="External"/><Relationship Id="rId3766" Type="http://schemas.openxmlformats.org/officeDocument/2006/relationships/hyperlink" Target="https://www.venwiz.com/" TargetMode="External"/><Relationship Id="rId1104" Type="http://schemas.openxmlformats.org/officeDocument/2006/relationships/hyperlink" Target="http://datasnipper.com" TargetMode="External"/><Relationship Id="rId2435" Type="http://schemas.openxmlformats.org/officeDocument/2006/relationships/hyperlink" Target="http://loftia.gg" TargetMode="External"/><Relationship Id="rId3765" Type="http://schemas.openxmlformats.org/officeDocument/2006/relationships/hyperlink" Target="http://www.venmo.com/" TargetMode="External"/><Relationship Id="rId1105" Type="http://schemas.openxmlformats.org/officeDocument/2006/relationships/hyperlink" Target="http://monograph.io" TargetMode="External"/><Relationship Id="rId2436" Type="http://schemas.openxmlformats.org/officeDocument/2006/relationships/hyperlink" Target="http://lighter.xyz" TargetMode="External"/><Relationship Id="rId3768" Type="http://schemas.openxmlformats.org/officeDocument/2006/relationships/hyperlink" Target="https://www.veriff.com/" TargetMode="External"/><Relationship Id="rId1106" Type="http://schemas.openxmlformats.org/officeDocument/2006/relationships/hyperlink" Target="http://fireblocks.com" TargetMode="External"/><Relationship Id="rId2437" Type="http://schemas.openxmlformats.org/officeDocument/2006/relationships/hyperlink" Target="http://loopcrypto.xyz" TargetMode="External"/><Relationship Id="rId3767" Type="http://schemas.openxmlformats.org/officeDocument/2006/relationships/hyperlink" Target="https://vercel.com/" TargetMode="External"/><Relationship Id="rId1107" Type="http://schemas.openxmlformats.org/officeDocument/2006/relationships/hyperlink" Target="http://plaid.com" TargetMode="External"/><Relationship Id="rId2438" Type="http://schemas.openxmlformats.org/officeDocument/2006/relationships/hyperlink" Target="http://lightspark.com" TargetMode="External"/><Relationship Id="rId1108" Type="http://schemas.openxmlformats.org/officeDocument/2006/relationships/hyperlink" Target="http://gong.io" TargetMode="External"/><Relationship Id="rId2439" Type="http://schemas.openxmlformats.org/officeDocument/2006/relationships/hyperlink" Target="http://lootrush.com" TargetMode="External"/><Relationship Id="rId3769" Type="http://schemas.openxmlformats.org/officeDocument/2006/relationships/hyperlink" Target="https://www.veza.com/" TargetMode="External"/><Relationship Id="rId1109" Type="http://schemas.openxmlformats.org/officeDocument/2006/relationships/hyperlink" Target="http://pointfive.co" TargetMode="External"/><Relationship Id="rId519" Type="http://schemas.openxmlformats.org/officeDocument/2006/relationships/hyperlink" Target="http://etleap.com" TargetMode="External"/><Relationship Id="rId514" Type="http://schemas.openxmlformats.org/officeDocument/2006/relationships/hyperlink" Target="http://firstdelivery.com" TargetMode="External"/><Relationship Id="rId513" Type="http://schemas.openxmlformats.org/officeDocument/2006/relationships/hyperlink" Target="http://ezewholesale.com" TargetMode="External"/><Relationship Id="rId512" Type="http://schemas.openxmlformats.org/officeDocument/2006/relationships/hyperlink" Target="http://epsilon3.io" TargetMode="External"/><Relationship Id="rId511" Type="http://schemas.openxmlformats.org/officeDocument/2006/relationships/hyperlink" Target="http://ensoanalytics.com" TargetMode="External"/><Relationship Id="rId518" Type="http://schemas.openxmlformats.org/officeDocument/2006/relationships/hyperlink" Target="http://fanchatter.com" TargetMode="External"/><Relationship Id="rId517" Type="http://schemas.openxmlformats.org/officeDocument/2006/relationships/hyperlink" Target="http://estoca.com.br" TargetMode="External"/><Relationship Id="rId516" Type="http://schemas.openxmlformats.org/officeDocument/2006/relationships/hyperlink" Target="http://factoredquality.com" TargetMode="External"/><Relationship Id="rId515" Type="http://schemas.openxmlformats.org/officeDocument/2006/relationships/hyperlink" Target="http://estimote.com" TargetMode="External"/><Relationship Id="rId3760" Type="http://schemas.openxmlformats.org/officeDocument/2006/relationships/hyperlink" Target="https://uppercase.co.in/" TargetMode="External"/><Relationship Id="rId510" Type="http://schemas.openxmlformats.org/officeDocument/2006/relationships/hyperlink" Target="http://explorex.co" TargetMode="External"/><Relationship Id="rId2430" Type="http://schemas.openxmlformats.org/officeDocument/2006/relationships/hyperlink" Target="http://levelheadedgames.com" TargetMode="External"/><Relationship Id="rId3762" Type="http://schemas.openxmlformats.org/officeDocument/2006/relationships/hyperlink" Target="https://www.usplworld.com/" TargetMode="External"/><Relationship Id="rId1100" Type="http://schemas.openxmlformats.org/officeDocument/2006/relationships/hyperlink" Target="http://subset.so" TargetMode="External"/><Relationship Id="rId2431" Type="http://schemas.openxmlformats.org/officeDocument/2006/relationships/hyperlink" Target="http://shoplocale.com" TargetMode="External"/><Relationship Id="rId3761" Type="http://schemas.openxmlformats.org/officeDocument/2006/relationships/hyperlink" Target="http://www.usertesting.com/" TargetMode="External"/><Relationship Id="rId1101" Type="http://schemas.openxmlformats.org/officeDocument/2006/relationships/hyperlink" Target="http://codat.io" TargetMode="External"/><Relationship Id="rId2432" Type="http://schemas.openxmlformats.org/officeDocument/2006/relationships/hyperlink" Target="http://levels.com" TargetMode="External"/><Relationship Id="rId3764" Type="http://schemas.openxmlformats.org/officeDocument/2006/relationships/hyperlink" Target="http://www.vedantu.com/" TargetMode="External"/><Relationship Id="rId1102" Type="http://schemas.openxmlformats.org/officeDocument/2006/relationships/hyperlink" Target="http://tessl.io" TargetMode="External"/><Relationship Id="rId2433" Type="http://schemas.openxmlformats.org/officeDocument/2006/relationships/hyperlink" Target="http://loft.com.br" TargetMode="External"/><Relationship Id="rId3763" Type="http://schemas.openxmlformats.org/officeDocument/2006/relationships/hyperlink" Target="http://www.v-comply.com/" TargetMode="External"/><Relationship Id="rId3711" Type="http://schemas.openxmlformats.org/officeDocument/2006/relationships/hyperlink" Target="https://www.stairwell.com/" TargetMode="External"/><Relationship Id="rId3710" Type="http://schemas.openxmlformats.org/officeDocument/2006/relationships/hyperlink" Target="https://staderlabs.com/" TargetMode="External"/><Relationship Id="rId3713" Type="http://schemas.openxmlformats.org/officeDocument/2006/relationships/hyperlink" Target="https://www.strattic.com/" TargetMode="External"/><Relationship Id="rId3712" Type="http://schemas.openxmlformats.org/officeDocument/2006/relationships/hyperlink" Target="http://www.stonly.com/" TargetMode="External"/><Relationship Id="rId3715" Type="http://schemas.openxmlformats.org/officeDocument/2006/relationships/hyperlink" Target="http://www.sunrun.com/" TargetMode="External"/><Relationship Id="rId3714" Type="http://schemas.openxmlformats.org/officeDocument/2006/relationships/hyperlink" Target="http://www.styra.com/" TargetMode="External"/><Relationship Id="rId3717" Type="http://schemas.openxmlformats.org/officeDocument/2006/relationships/hyperlink" Target="http://www.supercell.com/" TargetMode="External"/><Relationship Id="rId3716" Type="http://schemas.openxmlformats.org/officeDocument/2006/relationships/hyperlink" Target="https://www.superpayments.com/for-shoppers" TargetMode="External"/><Relationship Id="rId3719" Type="http://schemas.openxmlformats.org/officeDocument/2006/relationships/hyperlink" Target="http://www.swiftkey.com/" TargetMode="External"/><Relationship Id="rId3718" Type="http://schemas.openxmlformats.org/officeDocument/2006/relationships/hyperlink" Target="http://www.surewaves.com/" TargetMode="External"/><Relationship Id="rId3700" Type="http://schemas.openxmlformats.org/officeDocument/2006/relationships/hyperlink" Target="http://www.spacejoy.com/" TargetMode="External"/><Relationship Id="rId3702" Type="http://schemas.openxmlformats.org/officeDocument/2006/relationships/hyperlink" Target="http://www.spinny.com/" TargetMode="External"/><Relationship Id="rId3701" Type="http://schemas.openxmlformats.org/officeDocument/2006/relationships/hyperlink" Target="https://www.speak.com/" TargetMode="External"/><Relationship Id="rId3704" Type="http://schemas.openxmlformats.org/officeDocument/2006/relationships/hyperlink" Target="http://www.spotify.com/" TargetMode="External"/><Relationship Id="rId3703" Type="http://schemas.openxmlformats.org/officeDocument/2006/relationships/hyperlink" Target="http://www.splashlearn.com/" TargetMode="External"/><Relationship Id="rId3706" Type="http://schemas.openxmlformats.org/officeDocument/2006/relationships/hyperlink" Target="https://www.sprinterhealth.com/" TargetMode="External"/><Relationship Id="rId3705" Type="http://schemas.openxmlformats.org/officeDocument/2006/relationships/hyperlink" Target="http://userleap.com/" TargetMode="External"/><Relationship Id="rId3708" Type="http://schemas.openxmlformats.org/officeDocument/2006/relationships/hyperlink" Target="http://www.squarespace.com/" TargetMode="External"/><Relationship Id="rId3707" Type="http://schemas.openxmlformats.org/officeDocument/2006/relationships/hyperlink" Target="https://sprinto.com/" TargetMode="External"/><Relationship Id="rId3709" Type="http://schemas.openxmlformats.org/officeDocument/2006/relationships/hyperlink" Target="https://www.stacklok.com/" TargetMode="External"/><Relationship Id="rId2401" Type="http://schemas.openxmlformats.org/officeDocument/2006/relationships/hyperlink" Target="http://kadabrainc.com" TargetMode="External"/><Relationship Id="rId3733" Type="http://schemas.openxmlformats.org/officeDocument/2006/relationships/hyperlink" Target="https://taito.ai/" TargetMode="External"/><Relationship Id="rId2402" Type="http://schemas.openxmlformats.org/officeDocument/2006/relationships/hyperlink" Target="http://kweli.tv" TargetMode="External"/><Relationship Id="rId3732" Type="http://schemas.openxmlformats.org/officeDocument/2006/relationships/hyperlink" Target="http://www.taascom.com/" TargetMode="External"/><Relationship Id="rId2403" Type="http://schemas.openxmlformats.org/officeDocument/2006/relationships/hyperlink" Target="http://kaedim3d.com" TargetMode="External"/><Relationship Id="rId3735" Type="http://schemas.openxmlformats.org/officeDocument/2006/relationships/hyperlink" Target="https://www.temaetfs.com/" TargetMode="External"/><Relationship Id="rId2404" Type="http://schemas.openxmlformats.org/officeDocument/2006/relationships/hyperlink" Target="http://labelbox.com" TargetMode="External"/><Relationship Id="rId3734" Type="http://schemas.openxmlformats.org/officeDocument/2006/relationships/hyperlink" Target="http://www.teabox.com/" TargetMode="External"/><Relationship Id="rId2405" Type="http://schemas.openxmlformats.org/officeDocument/2006/relationships/hyperlink" Target="http://kaizenlabs.co" TargetMode="External"/><Relationship Id="rId3737" Type="http://schemas.openxmlformats.org/officeDocument/2006/relationships/hyperlink" Target="http://www.tessian.com/" TargetMode="External"/><Relationship Id="rId2406" Type="http://schemas.openxmlformats.org/officeDocument/2006/relationships/hyperlink" Target="http://labster.com" TargetMode="External"/><Relationship Id="rId3736" Type="http://schemas.openxmlformats.org/officeDocument/2006/relationships/hyperlink" Target="https://tenderly.co/" TargetMode="External"/><Relationship Id="rId2407" Type="http://schemas.openxmlformats.org/officeDocument/2006/relationships/hyperlink" Target="http://karyostudios.com" TargetMode="External"/><Relationship Id="rId3739" Type="http://schemas.openxmlformats.org/officeDocument/2006/relationships/hyperlink" Target="https://testsigma.com/" TargetMode="External"/><Relationship Id="rId2408" Type="http://schemas.openxmlformats.org/officeDocument/2006/relationships/hyperlink" Target="http://keepfinancial.com" TargetMode="External"/><Relationship Id="rId3738" Type="http://schemas.openxmlformats.org/officeDocument/2006/relationships/hyperlink" Target="https://www.tessl.io/" TargetMode="External"/><Relationship Id="rId2409" Type="http://schemas.openxmlformats.org/officeDocument/2006/relationships/hyperlink" Target="http://levelheadedgames.com" TargetMode="External"/><Relationship Id="rId3731" Type="http://schemas.openxmlformats.org/officeDocument/2006/relationships/hyperlink" Target="https://www.synthesia.io/" TargetMode="External"/><Relationship Id="rId2400" Type="http://schemas.openxmlformats.org/officeDocument/2006/relationships/hyperlink" Target="http://kosen.ai" TargetMode="External"/><Relationship Id="rId3730" Type="http://schemas.openxmlformats.org/officeDocument/2006/relationships/hyperlink" Target="http://www.swiggy.com/" TargetMode="External"/><Relationship Id="rId3722" Type="http://schemas.openxmlformats.org/officeDocument/2006/relationships/hyperlink" Target="http://www.sysdig.com/" TargetMode="External"/><Relationship Id="rId3721" Type="http://schemas.openxmlformats.org/officeDocument/2006/relationships/hyperlink" Target="https://syrup.tech/" TargetMode="External"/><Relationship Id="rId3724" Type="http://schemas.openxmlformats.org/officeDocument/2006/relationships/hyperlink" Target="https://tailscale.com/" TargetMode="External"/><Relationship Id="rId3723" Type="http://schemas.openxmlformats.org/officeDocument/2006/relationships/hyperlink" Target="http://www.tact.ai/" TargetMode="External"/><Relationship Id="rId3726" Type="http://schemas.openxmlformats.org/officeDocument/2006/relationships/hyperlink" Target="http://www.stanzaliving.com/" TargetMode="External"/><Relationship Id="rId3725" Type="http://schemas.openxmlformats.org/officeDocument/2006/relationships/hyperlink" Target="https://www.taxdoo.com/" TargetMode="External"/><Relationship Id="rId3728" Type="http://schemas.openxmlformats.org/officeDocument/2006/relationships/hyperlink" Target="http://www.sumologic.com/" TargetMode="External"/><Relationship Id="rId3727" Type="http://schemas.openxmlformats.org/officeDocument/2006/relationships/hyperlink" Target="https://strapi.io/" TargetMode="External"/><Relationship Id="rId3729" Type="http://schemas.openxmlformats.org/officeDocument/2006/relationships/hyperlink" Target="https://www.swan.io/press" TargetMode="External"/><Relationship Id="rId3720" Type="http://schemas.openxmlformats.org/officeDocument/2006/relationships/hyperlink" Target="https://www.swypex.com/" TargetMode="External"/><Relationship Id="rId4206" Type="http://schemas.openxmlformats.org/officeDocument/2006/relationships/hyperlink" Target="https://www.mstack.in/" TargetMode="External"/><Relationship Id="rId4205" Type="http://schemas.openxmlformats.org/officeDocument/2006/relationships/hyperlink" Target="https://www.mittilabs.earth/" TargetMode="External"/><Relationship Id="rId4208" Type="http://schemas.openxmlformats.org/officeDocument/2006/relationships/hyperlink" Target="https://munitienda.com/" TargetMode="External"/><Relationship Id="rId4207" Type="http://schemas.openxmlformats.org/officeDocument/2006/relationships/hyperlink" Target="https://mulesoft.com/" TargetMode="External"/><Relationship Id="rId590" Type="http://schemas.openxmlformats.org/officeDocument/2006/relationships/hyperlink" Target="http://gemnote.com" TargetMode="External"/><Relationship Id="rId4209" Type="http://schemas.openxmlformats.org/officeDocument/2006/relationships/hyperlink" Target="https://mybuys.com/" TargetMode="External"/><Relationship Id="rId589" Type="http://schemas.openxmlformats.org/officeDocument/2006/relationships/hyperlink" Target="http://gigwell.com" TargetMode="External"/><Relationship Id="rId588" Type="http://schemas.openxmlformats.org/officeDocument/2006/relationships/hyperlink" Target="http://garagemobility.com" TargetMode="External"/><Relationship Id="rId1170" Type="http://schemas.openxmlformats.org/officeDocument/2006/relationships/hyperlink" Target="http://pave.com" TargetMode="External"/><Relationship Id="rId1171" Type="http://schemas.openxmlformats.org/officeDocument/2006/relationships/hyperlink" Target="http://expel.io" TargetMode="External"/><Relationship Id="rId583" Type="http://schemas.openxmlformats.org/officeDocument/2006/relationships/hyperlink" Target="http://geosite.io" TargetMode="External"/><Relationship Id="rId1172" Type="http://schemas.openxmlformats.org/officeDocument/2006/relationships/hyperlink" Target="http://usepepper.com" TargetMode="External"/><Relationship Id="rId582" Type="http://schemas.openxmlformats.org/officeDocument/2006/relationships/hyperlink" Target="http://freterium.com" TargetMode="External"/><Relationship Id="rId1173" Type="http://schemas.openxmlformats.org/officeDocument/2006/relationships/hyperlink" Target="http://figma.com" TargetMode="External"/><Relationship Id="rId581" Type="http://schemas.openxmlformats.org/officeDocument/2006/relationships/hyperlink" Target="http://georgettepackaging.com" TargetMode="External"/><Relationship Id="rId1174" Type="http://schemas.openxmlformats.org/officeDocument/2006/relationships/hyperlink" Target="http://plain.com" TargetMode="External"/><Relationship Id="rId4200" Type="http://schemas.openxmlformats.org/officeDocument/2006/relationships/hyperlink" Target="https://oracle.com/metasolv" TargetMode="External"/><Relationship Id="rId580" Type="http://schemas.openxmlformats.org/officeDocument/2006/relationships/hyperlink" Target="http://freshpaint.io" TargetMode="External"/><Relationship Id="rId1175" Type="http://schemas.openxmlformats.org/officeDocument/2006/relationships/hyperlink" Target="http://onefootprint.com" TargetMode="External"/><Relationship Id="rId587" Type="http://schemas.openxmlformats.org/officeDocument/2006/relationships/hyperlink" Target="http://gigster.com" TargetMode="External"/><Relationship Id="rId1176" Type="http://schemas.openxmlformats.org/officeDocument/2006/relationships/hyperlink" Target="http://reclaim.ai" TargetMode="External"/><Relationship Id="rId4202" Type="http://schemas.openxmlformats.org/officeDocument/2006/relationships/hyperlink" Target="https://millennialfox.com/" TargetMode="External"/><Relationship Id="rId586" Type="http://schemas.openxmlformats.org/officeDocument/2006/relationships/hyperlink" Target="http://gaiia.com" TargetMode="External"/><Relationship Id="rId1177" Type="http://schemas.openxmlformats.org/officeDocument/2006/relationships/hyperlink" Target="http://gremlin.com" TargetMode="External"/><Relationship Id="rId4201" Type="http://schemas.openxmlformats.org/officeDocument/2006/relationships/hyperlink" Target="https://metispharmaceuticals.cn/" TargetMode="External"/><Relationship Id="rId585" Type="http://schemas.openxmlformats.org/officeDocument/2006/relationships/hyperlink" Target="http://gigs.com" TargetMode="External"/><Relationship Id="rId1178" Type="http://schemas.openxmlformats.org/officeDocument/2006/relationships/hyperlink" Target="http://safetyculture.com" TargetMode="External"/><Relationship Id="rId4204" Type="http://schemas.openxmlformats.org/officeDocument/2006/relationships/hyperlink" Target="https://mist.com/" TargetMode="External"/><Relationship Id="rId584" Type="http://schemas.openxmlformats.org/officeDocument/2006/relationships/hyperlink" Target="http://getfuell.com" TargetMode="External"/><Relationship Id="rId1179" Type="http://schemas.openxmlformats.org/officeDocument/2006/relationships/hyperlink" Target="http://hyperline.co" TargetMode="External"/><Relationship Id="rId4203" Type="http://schemas.openxmlformats.org/officeDocument/2006/relationships/hyperlink" Target="https://ming-med.com/" TargetMode="External"/><Relationship Id="rId1169" Type="http://schemas.openxmlformats.org/officeDocument/2006/relationships/hyperlink" Target="http://draftwise.com" TargetMode="External"/><Relationship Id="rId579" Type="http://schemas.openxmlformats.org/officeDocument/2006/relationships/hyperlink" Target="http://gogenuity.com" TargetMode="External"/><Relationship Id="rId578" Type="http://schemas.openxmlformats.org/officeDocument/2006/relationships/hyperlink" Target="http://freshfactory.id" TargetMode="External"/><Relationship Id="rId577" Type="http://schemas.openxmlformats.org/officeDocument/2006/relationships/hyperlink" Target="http://gemnote.com" TargetMode="External"/><Relationship Id="rId2490" Type="http://schemas.openxmlformats.org/officeDocument/2006/relationships/hyperlink" Target="http://maven.com" TargetMode="External"/><Relationship Id="rId1160" Type="http://schemas.openxmlformats.org/officeDocument/2006/relationships/hyperlink" Target="http://cohere.com" TargetMode="External"/><Relationship Id="rId2491" Type="http://schemas.openxmlformats.org/officeDocument/2006/relationships/hyperlink" Target="http://shop.mayvenn.com" TargetMode="External"/><Relationship Id="rId572" Type="http://schemas.openxmlformats.org/officeDocument/2006/relationships/hyperlink" Target="http://theforage.com" TargetMode="External"/><Relationship Id="rId1161" Type="http://schemas.openxmlformats.org/officeDocument/2006/relationships/hyperlink" Target="http://hyperline.co" TargetMode="External"/><Relationship Id="rId2492" Type="http://schemas.openxmlformats.org/officeDocument/2006/relationships/hyperlink" Target="http://metaphor.io" TargetMode="External"/><Relationship Id="rId571" Type="http://schemas.openxmlformats.org/officeDocument/2006/relationships/hyperlink" Target="http://getfuell.com" TargetMode="External"/><Relationship Id="rId1162" Type="http://schemas.openxmlformats.org/officeDocument/2006/relationships/hyperlink" Target="http://crossingminds.com" TargetMode="External"/><Relationship Id="rId2493" Type="http://schemas.openxmlformats.org/officeDocument/2006/relationships/hyperlink" Target="http://mazetx.com" TargetMode="External"/><Relationship Id="rId570" Type="http://schemas.openxmlformats.org/officeDocument/2006/relationships/hyperlink" Target="http://fontawesome.com" TargetMode="External"/><Relationship Id="rId1163" Type="http://schemas.openxmlformats.org/officeDocument/2006/relationships/hyperlink" Target="http://cutover.com" TargetMode="External"/><Relationship Id="rId2494" Type="http://schemas.openxmlformats.org/officeDocument/2006/relationships/hyperlink" Target="http://metatheory.gg" TargetMode="External"/><Relationship Id="rId1164" Type="http://schemas.openxmlformats.org/officeDocument/2006/relationships/hyperlink" Target="http://mistral.ai" TargetMode="External"/><Relationship Id="rId2495" Type="http://schemas.openxmlformats.org/officeDocument/2006/relationships/hyperlink" Target="http://mediachain.io" TargetMode="External"/><Relationship Id="rId576" Type="http://schemas.openxmlformats.org/officeDocument/2006/relationships/hyperlink" Target="http://foxpass.com" TargetMode="External"/><Relationship Id="rId1165" Type="http://schemas.openxmlformats.org/officeDocument/2006/relationships/hyperlink" Target="http://deepnote.com" TargetMode="External"/><Relationship Id="rId2496" Type="http://schemas.openxmlformats.org/officeDocument/2006/relationships/hyperlink" Target="http://methodfi.com" TargetMode="External"/><Relationship Id="rId575" Type="http://schemas.openxmlformats.org/officeDocument/2006/relationships/hyperlink" Target="http://garagemobility.com" TargetMode="External"/><Relationship Id="rId1166" Type="http://schemas.openxmlformats.org/officeDocument/2006/relationships/hyperlink" Target="http://nacelle.com" TargetMode="External"/><Relationship Id="rId2497" Type="http://schemas.openxmlformats.org/officeDocument/2006/relationships/hyperlink" Target="http://medium.com" TargetMode="External"/><Relationship Id="rId574" Type="http://schemas.openxmlformats.org/officeDocument/2006/relationships/hyperlink" Target="http://joinformal.com" TargetMode="External"/><Relationship Id="rId1167" Type="http://schemas.openxmlformats.org/officeDocument/2006/relationships/hyperlink" Target="http://deepscribe.ai" TargetMode="External"/><Relationship Id="rId2498" Type="http://schemas.openxmlformats.org/officeDocument/2006/relationships/hyperlink" Target="http://metronome.com" TargetMode="External"/><Relationship Id="rId573" Type="http://schemas.openxmlformats.org/officeDocument/2006/relationships/hyperlink" Target="http://gaiia.com" TargetMode="External"/><Relationship Id="rId1168" Type="http://schemas.openxmlformats.org/officeDocument/2006/relationships/hyperlink" Target="http://okendo.io" TargetMode="External"/><Relationship Id="rId2499" Type="http://schemas.openxmlformats.org/officeDocument/2006/relationships/hyperlink" Target="http://withmedley.com" TargetMode="External"/><Relationship Id="rId4228" Type="http://schemas.openxmlformats.org/officeDocument/2006/relationships/hyperlink" Target="https://nym.health/" TargetMode="External"/><Relationship Id="rId4227" Type="http://schemas.openxmlformats.org/officeDocument/2006/relationships/hyperlink" Target="https://nym.health/" TargetMode="External"/><Relationship Id="rId4229" Type="http://schemas.openxmlformats.org/officeDocument/2006/relationships/hyperlink" Target="https://observo.ai/" TargetMode="External"/><Relationship Id="rId1190" Type="http://schemas.openxmlformats.org/officeDocument/2006/relationships/hyperlink" Target="http://xata.io" TargetMode="External"/><Relationship Id="rId1191" Type="http://schemas.openxmlformats.org/officeDocument/2006/relationships/hyperlink" Target="http://plain.com" TargetMode="External"/><Relationship Id="rId1192" Type="http://schemas.openxmlformats.org/officeDocument/2006/relationships/hyperlink" Target="http://elementl.com" TargetMode="External"/><Relationship Id="rId1193" Type="http://schemas.openxmlformats.org/officeDocument/2006/relationships/hyperlink" Target="http://reclaim.ai" TargetMode="External"/><Relationship Id="rId1194" Type="http://schemas.openxmlformats.org/officeDocument/2006/relationships/hyperlink" Target="http://outbrain.com" TargetMode="External"/><Relationship Id="rId4220" Type="http://schemas.openxmlformats.org/officeDocument/2006/relationships/hyperlink" Target="https://ngrok.com/" TargetMode="External"/><Relationship Id="rId1195" Type="http://schemas.openxmlformats.org/officeDocument/2006/relationships/hyperlink" Target="http://safetyculture.com" TargetMode="External"/><Relationship Id="rId1196" Type="http://schemas.openxmlformats.org/officeDocument/2006/relationships/hyperlink" Target="http://phaidra.ai" TargetMode="External"/><Relationship Id="rId4222" Type="http://schemas.openxmlformats.org/officeDocument/2006/relationships/hyperlink" Target="https://nimblestorage.com/" TargetMode="External"/><Relationship Id="rId1197" Type="http://schemas.openxmlformats.org/officeDocument/2006/relationships/hyperlink" Target="http://spendesk.com" TargetMode="External"/><Relationship Id="rId4221" Type="http://schemas.openxmlformats.org/officeDocument/2006/relationships/hyperlink" Target="https://nicira.com/" TargetMode="External"/><Relationship Id="rId1198" Type="http://schemas.openxmlformats.org/officeDocument/2006/relationships/hyperlink" Target="http://sofiasalud.com" TargetMode="External"/><Relationship Id="rId4224" Type="http://schemas.openxmlformats.org/officeDocument/2006/relationships/hyperlink" Target="https://noetica.ai/" TargetMode="External"/><Relationship Id="rId1199" Type="http://schemas.openxmlformats.org/officeDocument/2006/relationships/hyperlink" Target="http://stytch.com" TargetMode="External"/><Relationship Id="rId4223" Type="http://schemas.openxmlformats.org/officeDocument/2006/relationships/hyperlink" Target="https://nirvanatech.com/" TargetMode="External"/><Relationship Id="rId4226" Type="http://schemas.openxmlformats.org/officeDocument/2006/relationships/hyperlink" Target="https://numerify.com/" TargetMode="External"/><Relationship Id="rId4225" Type="http://schemas.openxmlformats.org/officeDocument/2006/relationships/hyperlink" Target="https://normalyze.ai/" TargetMode="External"/><Relationship Id="rId4217" Type="http://schemas.openxmlformats.org/officeDocument/2006/relationships/hyperlink" Target="https://nexprt.com/" TargetMode="External"/><Relationship Id="rId4216" Type="http://schemas.openxmlformats.org/officeDocument/2006/relationships/hyperlink" Target="https://newrizon.com/" TargetMode="External"/><Relationship Id="rId4219" Type="http://schemas.openxmlformats.org/officeDocument/2006/relationships/hyperlink" Target="https://nexus.xyz/" TargetMode="External"/><Relationship Id="rId4218" Type="http://schemas.openxmlformats.org/officeDocument/2006/relationships/hyperlink" Target="https://nextbillion.ai/" TargetMode="External"/><Relationship Id="rId599" Type="http://schemas.openxmlformats.org/officeDocument/2006/relationships/hyperlink" Target="http://golinks.io" TargetMode="External"/><Relationship Id="rId1180" Type="http://schemas.openxmlformats.org/officeDocument/2006/relationships/hyperlink" Target="http://spendesk.com" TargetMode="External"/><Relationship Id="rId1181" Type="http://schemas.openxmlformats.org/officeDocument/2006/relationships/hyperlink" Target="http://stytch.com" TargetMode="External"/><Relationship Id="rId1182" Type="http://schemas.openxmlformats.org/officeDocument/2006/relationships/hyperlink" Target="http://mistral.ai" TargetMode="External"/><Relationship Id="rId594" Type="http://schemas.openxmlformats.org/officeDocument/2006/relationships/hyperlink" Target="http://georgettepackaging.com" TargetMode="External"/><Relationship Id="rId1183" Type="http://schemas.openxmlformats.org/officeDocument/2006/relationships/hyperlink" Target="http://nacelle.com" TargetMode="External"/><Relationship Id="rId593" Type="http://schemas.openxmlformats.org/officeDocument/2006/relationships/hyperlink" Target="http://gitstart.com" TargetMode="External"/><Relationship Id="rId1184" Type="http://schemas.openxmlformats.org/officeDocument/2006/relationships/hyperlink" Target="http://tekion.com" TargetMode="External"/><Relationship Id="rId592" Type="http://schemas.openxmlformats.org/officeDocument/2006/relationships/hyperlink" Target="http://gogenuity.com" TargetMode="External"/><Relationship Id="rId1185" Type="http://schemas.openxmlformats.org/officeDocument/2006/relationships/hyperlink" Target="http://okendo.io" TargetMode="External"/><Relationship Id="rId4211" Type="http://schemas.openxmlformats.org/officeDocument/2006/relationships/hyperlink" Target="https://nas.io/" TargetMode="External"/><Relationship Id="rId591" Type="http://schemas.openxmlformats.org/officeDocument/2006/relationships/hyperlink" Target="http://gimbooks.com" TargetMode="External"/><Relationship Id="rId1186" Type="http://schemas.openxmlformats.org/officeDocument/2006/relationships/hyperlink" Target="http://toolbx.com" TargetMode="External"/><Relationship Id="rId4210" Type="http://schemas.openxmlformats.org/officeDocument/2006/relationships/hyperlink" Target="https://mystenlabs.com/" TargetMode="External"/><Relationship Id="rId598" Type="http://schemas.openxmlformats.org/officeDocument/2006/relationships/hyperlink" Target="http://gigs.com" TargetMode="External"/><Relationship Id="rId1187" Type="http://schemas.openxmlformats.org/officeDocument/2006/relationships/hyperlink" Target="http://pave.com" TargetMode="External"/><Relationship Id="rId4213" Type="http://schemas.openxmlformats.org/officeDocument/2006/relationships/hyperlink" Target="https://nekohealth.com/" TargetMode="External"/><Relationship Id="rId597" Type="http://schemas.openxmlformats.org/officeDocument/2006/relationships/hyperlink" Target="http://glowing.io" TargetMode="External"/><Relationship Id="rId1188" Type="http://schemas.openxmlformats.org/officeDocument/2006/relationships/hyperlink" Target="http://workbounce.com" TargetMode="External"/><Relationship Id="rId4212" Type="http://schemas.openxmlformats.org/officeDocument/2006/relationships/hyperlink" Target="https://natera.com/" TargetMode="External"/><Relationship Id="rId596" Type="http://schemas.openxmlformats.org/officeDocument/2006/relationships/hyperlink" Target="http://geosite.io" TargetMode="External"/><Relationship Id="rId1189" Type="http://schemas.openxmlformats.org/officeDocument/2006/relationships/hyperlink" Target="http://usepepper.com" TargetMode="External"/><Relationship Id="rId4215" Type="http://schemas.openxmlformats.org/officeDocument/2006/relationships/hyperlink" Target="https://neuralgalaxy.com/" TargetMode="External"/><Relationship Id="rId595" Type="http://schemas.openxmlformats.org/officeDocument/2006/relationships/hyperlink" Target="http://glideapps.com" TargetMode="External"/><Relationship Id="rId4214" Type="http://schemas.openxmlformats.org/officeDocument/2006/relationships/hyperlink" Target="https://zaijia.com/" TargetMode="External"/><Relationship Id="rId1136" Type="http://schemas.openxmlformats.org/officeDocument/2006/relationships/hyperlink" Target="http://arthur.ai" TargetMode="External"/><Relationship Id="rId2467" Type="http://schemas.openxmlformats.org/officeDocument/2006/relationships/hyperlink" Target="http://lumos.com" TargetMode="External"/><Relationship Id="rId3799" Type="http://schemas.openxmlformats.org/officeDocument/2006/relationships/hyperlink" Target="https://www.amber-tx.com/" TargetMode="External"/><Relationship Id="rId1137" Type="http://schemas.openxmlformats.org/officeDocument/2006/relationships/hyperlink" Target="http://checkhq.com" TargetMode="External"/><Relationship Id="rId2468" Type="http://schemas.openxmlformats.org/officeDocument/2006/relationships/hyperlink" Target="http://matter-labs.io" TargetMode="External"/><Relationship Id="rId3798" Type="http://schemas.openxmlformats.org/officeDocument/2006/relationships/hyperlink" Target="https://www.allaytx.com/" TargetMode="External"/><Relationship Id="rId1138" Type="http://schemas.openxmlformats.org/officeDocument/2006/relationships/hyperlink" Target="http://useascend.com" TargetMode="External"/><Relationship Id="rId2469" Type="http://schemas.openxmlformats.org/officeDocument/2006/relationships/hyperlink" Target="http://macro.com" TargetMode="External"/><Relationship Id="rId1139" Type="http://schemas.openxmlformats.org/officeDocument/2006/relationships/hyperlink" Target="http://attackiq.com" TargetMode="External"/><Relationship Id="rId547" Type="http://schemas.openxmlformats.org/officeDocument/2006/relationships/hyperlink" Target="http://floworks.ai" TargetMode="External"/><Relationship Id="rId546" Type="http://schemas.openxmlformats.org/officeDocument/2006/relationships/hyperlink" Target="http://firstbase.io" TargetMode="External"/><Relationship Id="rId545" Type="http://schemas.openxmlformats.org/officeDocument/2006/relationships/hyperlink" Target="http://flower.ai" TargetMode="External"/><Relationship Id="rId544" Type="http://schemas.openxmlformats.org/officeDocument/2006/relationships/hyperlink" Target="http://finmark.com" TargetMode="External"/><Relationship Id="rId549" Type="http://schemas.openxmlformats.org/officeDocument/2006/relationships/hyperlink" Target="http://flextock.com" TargetMode="External"/><Relationship Id="rId548" Type="http://schemas.openxmlformats.org/officeDocument/2006/relationships/hyperlink" Target="http://flagright.com" TargetMode="External"/><Relationship Id="rId3791" Type="http://schemas.openxmlformats.org/officeDocument/2006/relationships/hyperlink" Target="https://abcuro.com/" TargetMode="External"/><Relationship Id="rId2460" Type="http://schemas.openxmlformats.org/officeDocument/2006/relationships/hyperlink" Target="http://lootrush.com" TargetMode="External"/><Relationship Id="rId3790" Type="http://schemas.openxmlformats.org/officeDocument/2006/relationships/hyperlink" Target="https://8five8tx.com/" TargetMode="External"/><Relationship Id="rId1130" Type="http://schemas.openxmlformats.org/officeDocument/2006/relationships/hyperlink" Target="http://joinblvd.com" TargetMode="External"/><Relationship Id="rId2461" Type="http://schemas.openxmlformats.org/officeDocument/2006/relationships/hyperlink" Target="http://markerlearning.com" TargetMode="External"/><Relationship Id="rId3793" Type="http://schemas.openxmlformats.org/officeDocument/2006/relationships/hyperlink" Target="https://aerospike.com/" TargetMode="External"/><Relationship Id="rId1131" Type="http://schemas.openxmlformats.org/officeDocument/2006/relationships/hyperlink" Target="http://algolia.com" TargetMode="External"/><Relationship Id="rId2462" Type="http://schemas.openxmlformats.org/officeDocument/2006/relationships/hyperlink" Target="http://ltse.com" TargetMode="External"/><Relationship Id="rId3792" Type="http://schemas.openxmlformats.org/officeDocument/2006/relationships/hyperlink" Target="https://www.aeratechnology.com/" TargetMode="External"/><Relationship Id="rId543" Type="http://schemas.openxmlformats.org/officeDocument/2006/relationships/hyperlink" Target="http://flockjay.com" TargetMode="External"/><Relationship Id="rId1132" Type="http://schemas.openxmlformats.org/officeDocument/2006/relationships/hyperlink" Target="http://brincdrones.com" TargetMode="External"/><Relationship Id="rId2463" Type="http://schemas.openxmlformats.org/officeDocument/2006/relationships/hyperlink" Target="http://matchday.com" TargetMode="External"/><Relationship Id="rId3795" Type="http://schemas.openxmlformats.org/officeDocument/2006/relationships/hyperlink" Target="https://www.affiniatx.com/" TargetMode="External"/><Relationship Id="rId542" Type="http://schemas.openxmlformats.org/officeDocument/2006/relationships/hyperlink" Target="http://tryfinch.com" TargetMode="External"/><Relationship Id="rId1133" Type="http://schemas.openxmlformats.org/officeDocument/2006/relationships/hyperlink" Target="http://alkemics.com" TargetMode="External"/><Relationship Id="rId2464" Type="http://schemas.openxmlformats.org/officeDocument/2006/relationships/hyperlink" Target="http://lumalabs.ai" TargetMode="External"/><Relationship Id="rId3794" Type="http://schemas.openxmlformats.org/officeDocument/2006/relationships/hyperlink" Target="https://aetion.com/" TargetMode="External"/><Relationship Id="rId541" Type="http://schemas.openxmlformats.org/officeDocument/2006/relationships/hyperlink" Target="http://florecruit.com" TargetMode="External"/><Relationship Id="rId1134" Type="http://schemas.openxmlformats.org/officeDocument/2006/relationships/hyperlink" Target="http://apexhq.ai" TargetMode="External"/><Relationship Id="rId2465" Type="http://schemas.openxmlformats.org/officeDocument/2006/relationships/hyperlink" Target="http://playkinderworld.com" TargetMode="External"/><Relationship Id="rId3797" Type="http://schemas.openxmlformats.org/officeDocument/2006/relationships/hyperlink" Target="https://www.helloalfred.com/" TargetMode="External"/><Relationship Id="rId540" Type="http://schemas.openxmlformats.org/officeDocument/2006/relationships/hyperlink" Target="http://filestack.com" TargetMode="External"/><Relationship Id="rId1135" Type="http://schemas.openxmlformats.org/officeDocument/2006/relationships/hyperlink" Target="http://causaly.com" TargetMode="External"/><Relationship Id="rId2466" Type="http://schemas.openxmlformats.org/officeDocument/2006/relationships/hyperlink" Target="http://matik.io" TargetMode="External"/><Relationship Id="rId3796" Type="http://schemas.openxmlformats.org/officeDocument/2006/relationships/hyperlink" Target="https://airworks.aero/" TargetMode="External"/><Relationship Id="rId1125" Type="http://schemas.openxmlformats.org/officeDocument/2006/relationships/hyperlink" Target="http://attackiq.com" TargetMode="External"/><Relationship Id="rId2456" Type="http://schemas.openxmlformats.org/officeDocument/2006/relationships/hyperlink" Target="http://makerdao.com" TargetMode="External"/><Relationship Id="rId3788" Type="http://schemas.openxmlformats.org/officeDocument/2006/relationships/hyperlink" Target="https://www.23andme.com/" TargetMode="External"/><Relationship Id="rId1126" Type="http://schemas.openxmlformats.org/officeDocument/2006/relationships/hyperlink" Target="http://pointfive.co" TargetMode="External"/><Relationship Id="rId2457" Type="http://schemas.openxmlformats.org/officeDocument/2006/relationships/hyperlink" Target="http://loftia.gg" TargetMode="External"/><Relationship Id="rId3787" Type="http://schemas.openxmlformats.org/officeDocument/2006/relationships/hyperlink" Target="https://www.xero.com/" TargetMode="External"/><Relationship Id="rId1127" Type="http://schemas.openxmlformats.org/officeDocument/2006/relationships/hyperlink" Target="http://beamery.com" TargetMode="External"/><Relationship Id="rId2458" Type="http://schemas.openxmlformats.org/officeDocument/2006/relationships/hyperlink" Target="http://loopcrypto.xyz" TargetMode="External"/><Relationship Id="rId1128" Type="http://schemas.openxmlformats.org/officeDocument/2006/relationships/hyperlink" Target="http://rightscale.com" TargetMode="External"/><Relationship Id="rId2459" Type="http://schemas.openxmlformats.org/officeDocument/2006/relationships/hyperlink" Target="http://manifold.xyz" TargetMode="External"/><Relationship Id="rId3789" Type="http://schemas.openxmlformats.org/officeDocument/2006/relationships/hyperlink" Target="https://m.51offer.com/" TargetMode="External"/><Relationship Id="rId1129" Type="http://schemas.openxmlformats.org/officeDocument/2006/relationships/hyperlink" Target="http://taktile.com" TargetMode="External"/><Relationship Id="rId536" Type="http://schemas.openxmlformats.org/officeDocument/2006/relationships/hyperlink" Target="http://fiboapp.com" TargetMode="External"/><Relationship Id="rId535" Type="http://schemas.openxmlformats.org/officeDocument/2006/relationships/hyperlink" Target="http://flagright.com" TargetMode="External"/><Relationship Id="rId534" Type="http://schemas.openxmlformats.org/officeDocument/2006/relationships/hyperlink" Target="http://feroot.com" TargetMode="External"/><Relationship Id="rId533" Type="http://schemas.openxmlformats.org/officeDocument/2006/relationships/hyperlink" Target="http://firstbase.io" TargetMode="External"/><Relationship Id="rId539" Type="http://schemas.openxmlformats.org/officeDocument/2006/relationships/hyperlink" Target="http://flightfox.com" TargetMode="External"/><Relationship Id="rId538" Type="http://schemas.openxmlformats.org/officeDocument/2006/relationships/hyperlink" Target="http://fieldguide.io" TargetMode="External"/><Relationship Id="rId537" Type="http://schemas.openxmlformats.org/officeDocument/2006/relationships/hyperlink" Target="http://flextock.com" TargetMode="External"/><Relationship Id="rId3780" Type="http://schemas.openxmlformats.org/officeDocument/2006/relationships/hyperlink" Target="https://www.welltheory.com/" TargetMode="External"/><Relationship Id="rId2450" Type="http://schemas.openxmlformats.org/officeDocument/2006/relationships/hyperlink" Target="http://liveaware.io" TargetMode="External"/><Relationship Id="rId3782" Type="http://schemas.openxmlformats.org/officeDocument/2006/relationships/hyperlink" Target="https://wizard.com/" TargetMode="External"/><Relationship Id="rId1120" Type="http://schemas.openxmlformats.org/officeDocument/2006/relationships/hyperlink" Target="http://lithic.com" TargetMode="External"/><Relationship Id="rId2451" Type="http://schemas.openxmlformats.org/officeDocument/2006/relationships/hyperlink" Target="http://getlocalmotion.com" TargetMode="External"/><Relationship Id="rId3781" Type="http://schemas.openxmlformats.org/officeDocument/2006/relationships/hyperlink" Target="http://www.wibmo.co/" TargetMode="External"/><Relationship Id="rId532" Type="http://schemas.openxmlformats.org/officeDocument/2006/relationships/hyperlink" Target="http://buildwithfern.com" TargetMode="External"/><Relationship Id="rId1121" Type="http://schemas.openxmlformats.org/officeDocument/2006/relationships/hyperlink" Target="http://arthur.ai" TargetMode="External"/><Relationship Id="rId2452" Type="http://schemas.openxmlformats.org/officeDocument/2006/relationships/hyperlink" Target="http://magicleap.com" TargetMode="External"/><Relationship Id="rId3784" Type="http://schemas.openxmlformats.org/officeDocument/2006/relationships/hyperlink" Target="http://www.wyzant.com/" TargetMode="External"/><Relationship Id="rId531" Type="http://schemas.openxmlformats.org/officeDocument/2006/relationships/hyperlink" Target="http://finmark.com" TargetMode="External"/><Relationship Id="rId1122" Type="http://schemas.openxmlformats.org/officeDocument/2006/relationships/hyperlink" Target="http://monograph.io" TargetMode="External"/><Relationship Id="rId2453" Type="http://schemas.openxmlformats.org/officeDocument/2006/relationships/hyperlink" Target="http://shoplocale.com" TargetMode="External"/><Relationship Id="rId3783" Type="http://schemas.openxmlformats.org/officeDocument/2006/relationships/hyperlink" Target="https://www.wonder.com/" TargetMode="External"/><Relationship Id="rId530" Type="http://schemas.openxmlformats.org/officeDocument/2006/relationships/hyperlink" Target="http://tryfinch.com" TargetMode="External"/><Relationship Id="rId1123" Type="http://schemas.openxmlformats.org/officeDocument/2006/relationships/hyperlink" Target="http://useascend.com" TargetMode="External"/><Relationship Id="rId2454" Type="http://schemas.openxmlformats.org/officeDocument/2006/relationships/hyperlink" Target="http://themainframe.com" TargetMode="External"/><Relationship Id="rId3786" Type="http://schemas.openxmlformats.org/officeDocument/2006/relationships/hyperlink" Target="http://www.xendit.co/en" TargetMode="External"/><Relationship Id="rId1124" Type="http://schemas.openxmlformats.org/officeDocument/2006/relationships/hyperlink" Target="http://plaid.com" TargetMode="External"/><Relationship Id="rId2455" Type="http://schemas.openxmlformats.org/officeDocument/2006/relationships/hyperlink" Target="http://loft.com.br" TargetMode="External"/><Relationship Id="rId3785" Type="http://schemas.openxmlformats.org/officeDocument/2006/relationships/hyperlink" Target="https://xalts.io/" TargetMode="External"/><Relationship Id="rId1158" Type="http://schemas.openxmlformats.org/officeDocument/2006/relationships/hyperlink" Target="http://meetcocoon.com" TargetMode="External"/><Relationship Id="rId2489" Type="http://schemas.openxmlformats.org/officeDocument/2006/relationships/hyperlink" Target="http://farcaster.xyz" TargetMode="External"/><Relationship Id="rId1159" Type="http://schemas.openxmlformats.org/officeDocument/2006/relationships/hyperlink" Target="http://gremlin.com" TargetMode="External"/><Relationship Id="rId569" Type="http://schemas.openxmlformats.org/officeDocument/2006/relationships/hyperlink" Target="http://freterium.com" TargetMode="External"/><Relationship Id="rId568" Type="http://schemas.openxmlformats.org/officeDocument/2006/relationships/hyperlink" Target="http://tryfondo.com" TargetMode="External"/><Relationship Id="rId567" Type="http://schemas.openxmlformats.org/officeDocument/2006/relationships/hyperlink" Target="http://freshpaint.io" TargetMode="External"/><Relationship Id="rId566" Type="http://schemas.openxmlformats.org/officeDocument/2006/relationships/hyperlink" Target="http://fond.co" TargetMode="External"/><Relationship Id="rId2480" Type="http://schemas.openxmlformats.org/officeDocument/2006/relationships/hyperlink" Target="http://meitre.com" TargetMode="External"/><Relationship Id="rId561" Type="http://schemas.openxmlformats.org/officeDocument/2006/relationships/hyperlink" Target="http://joinformal.com" TargetMode="External"/><Relationship Id="rId1150" Type="http://schemas.openxmlformats.org/officeDocument/2006/relationships/hyperlink" Target="http://deepnote.com" TargetMode="External"/><Relationship Id="rId2481" Type="http://schemas.openxmlformats.org/officeDocument/2006/relationships/hyperlink" Target="http://markerlearning.com" TargetMode="External"/><Relationship Id="rId560" Type="http://schemas.openxmlformats.org/officeDocument/2006/relationships/hyperlink" Target="http://theforage.com" TargetMode="External"/><Relationship Id="rId1151" Type="http://schemas.openxmlformats.org/officeDocument/2006/relationships/hyperlink" Target="http://checkhq.com" TargetMode="External"/><Relationship Id="rId2482" Type="http://schemas.openxmlformats.org/officeDocument/2006/relationships/hyperlink" Target="http://mem.ai" TargetMode="External"/><Relationship Id="rId1152" Type="http://schemas.openxmlformats.org/officeDocument/2006/relationships/hyperlink" Target="http://deepscribe.ai" TargetMode="External"/><Relationship Id="rId2483" Type="http://schemas.openxmlformats.org/officeDocument/2006/relationships/hyperlink" Target="http://matchday.com" TargetMode="External"/><Relationship Id="rId1153" Type="http://schemas.openxmlformats.org/officeDocument/2006/relationships/hyperlink" Target="http://expel.io" TargetMode="External"/><Relationship Id="rId2484" Type="http://schemas.openxmlformats.org/officeDocument/2006/relationships/hyperlink" Target="http://mem.co" TargetMode="External"/><Relationship Id="rId565" Type="http://schemas.openxmlformats.org/officeDocument/2006/relationships/hyperlink" Target="http://freshfactory.id" TargetMode="External"/><Relationship Id="rId1154" Type="http://schemas.openxmlformats.org/officeDocument/2006/relationships/hyperlink" Target="http://clumio.com" TargetMode="External"/><Relationship Id="rId2485" Type="http://schemas.openxmlformats.org/officeDocument/2006/relationships/hyperlink" Target="http://mercury.com" TargetMode="External"/><Relationship Id="rId564" Type="http://schemas.openxmlformats.org/officeDocument/2006/relationships/hyperlink" Target="http://fly.io" TargetMode="External"/><Relationship Id="rId1155" Type="http://schemas.openxmlformats.org/officeDocument/2006/relationships/hyperlink" Target="http://figma.com" TargetMode="External"/><Relationship Id="rId2486" Type="http://schemas.openxmlformats.org/officeDocument/2006/relationships/hyperlink" Target="http://matik.io" TargetMode="External"/><Relationship Id="rId563" Type="http://schemas.openxmlformats.org/officeDocument/2006/relationships/hyperlink" Target="http://foxpass.com" TargetMode="External"/><Relationship Id="rId1156" Type="http://schemas.openxmlformats.org/officeDocument/2006/relationships/hyperlink" Target="http://cockroachlabs.com" TargetMode="External"/><Relationship Id="rId2487" Type="http://schemas.openxmlformats.org/officeDocument/2006/relationships/hyperlink" Target="http://merits.com" TargetMode="External"/><Relationship Id="rId562" Type="http://schemas.openxmlformats.org/officeDocument/2006/relationships/hyperlink" Target="http://flutterflow.io" TargetMode="External"/><Relationship Id="rId1157" Type="http://schemas.openxmlformats.org/officeDocument/2006/relationships/hyperlink" Target="http://onefootprint.com" TargetMode="External"/><Relationship Id="rId2488" Type="http://schemas.openxmlformats.org/officeDocument/2006/relationships/hyperlink" Target="http://matter-labs.io" TargetMode="External"/><Relationship Id="rId1147" Type="http://schemas.openxmlformats.org/officeDocument/2006/relationships/hyperlink" Target="http://crossingminds.com" TargetMode="External"/><Relationship Id="rId2478" Type="http://schemas.openxmlformats.org/officeDocument/2006/relationships/hyperlink" Target="http://withmedley.com" TargetMode="External"/><Relationship Id="rId1148" Type="http://schemas.openxmlformats.org/officeDocument/2006/relationships/hyperlink" Target="http://cutover.com" TargetMode="External"/><Relationship Id="rId2479" Type="http://schemas.openxmlformats.org/officeDocument/2006/relationships/hyperlink" Target="http://manifold.xyz" TargetMode="External"/><Relationship Id="rId1149" Type="http://schemas.openxmlformats.org/officeDocument/2006/relationships/hyperlink" Target="http://causaly.com" TargetMode="External"/><Relationship Id="rId558" Type="http://schemas.openxmlformats.org/officeDocument/2006/relationships/hyperlink" Target="http://fontawesome.com" TargetMode="External"/><Relationship Id="rId557" Type="http://schemas.openxmlformats.org/officeDocument/2006/relationships/hyperlink" Target="http://flower.ai" TargetMode="External"/><Relationship Id="rId556" Type="http://schemas.openxmlformats.org/officeDocument/2006/relationships/hyperlink" Target="http://tryfondo.com" TargetMode="External"/><Relationship Id="rId555" Type="http://schemas.openxmlformats.org/officeDocument/2006/relationships/hyperlink" Target="http://flockjay.com" TargetMode="External"/><Relationship Id="rId559" Type="http://schemas.openxmlformats.org/officeDocument/2006/relationships/hyperlink" Target="http://floworks.ai" TargetMode="External"/><Relationship Id="rId550" Type="http://schemas.openxmlformats.org/officeDocument/2006/relationships/hyperlink" Target="http://flutterflow.io" TargetMode="External"/><Relationship Id="rId2470" Type="http://schemas.openxmlformats.org/officeDocument/2006/relationships/hyperlink" Target="http://maven.com" TargetMode="External"/><Relationship Id="rId1140" Type="http://schemas.openxmlformats.org/officeDocument/2006/relationships/hyperlink" Target="http://clumio.com" TargetMode="External"/><Relationship Id="rId2471" Type="http://schemas.openxmlformats.org/officeDocument/2006/relationships/hyperlink" Target="http://shop.mayvenn.com" TargetMode="External"/><Relationship Id="rId1141" Type="http://schemas.openxmlformats.org/officeDocument/2006/relationships/hyperlink" Target="http://beamery.com" TargetMode="External"/><Relationship Id="rId2472" Type="http://schemas.openxmlformats.org/officeDocument/2006/relationships/hyperlink" Target="http://magicleap.com" TargetMode="External"/><Relationship Id="rId1142" Type="http://schemas.openxmlformats.org/officeDocument/2006/relationships/hyperlink" Target="http://cockroachlabs.com" TargetMode="External"/><Relationship Id="rId2473" Type="http://schemas.openxmlformats.org/officeDocument/2006/relationships/hyperlink" Target="http://mazetx.com" TargetMode="External"/><Relationship Id="rId554" Type="http://schemas.openxmlformats.org/officeDocument/2006/relationships/hyperlink" Target="http://fond.co" TargetMode="External"/><Relationship Id="rId1143" Type="http://schemas.openxmlformats.org/officeDocument/2006/relationships/hyperlink" Target="http://meetcocoon.com" TargetMode="External"/><Relationship Id="rId2474" Type="http://schemas.openxmlformats.org/officeDocument/2006/relationships/hyperlink" Target="http://themainframe.com" TargetMode="External"/><Relationship Id="rId553" Type="http://schemas.openxmlformats.org/officeDocument/2006/relationships/hyperlink" Target="http://florecruit.com" TargetMode="External"/><Relationship Id="rId1144" Type="http://schemas.openxmlformats.org/officeDocument/2006/relationships/hyperlink" Target="http://joinblvd.com" TargetMode="External"/><Relationship Id="rId2475" Type="http://schemas.openxmlformats.org/officeDocument/2006/relationships/hyperlink" Target="http://mediachain.io" TargetMode="External"/><Relationship Id="rId552" Type="http://schemas.openxmlformats.org/officeDocument/2006/relationships/hyperlink" Target="http://fly.io" TargetMode="External"/><Relationship Id="rId1145" Type="http://schemas.openxmlformats.org/officeDocument/2006/relationships/hyperlink" Target="http://cohere.com" TargetMode="External"/><Relationship Id="rId2476" Type="http://schemas.openxmlformats.org/officeDocument/2006/relationships/hyperlink" Target="http://makerdao.com" TargetMode="External"/><Relationship Id="rId551" Type="http://schemas.openxmlformats.org/officeDocument/2006/relationships/hyperlink" Target="http://flightfox.com" TargetMode="External"/><Relationship Id="rId1146" Type="http://schemas.openxmlformats.org/officeDocument/2006/relationships/hyperlink" Target="http://brincdrones.com" TargetMode="External"/><Relationship Id="rId2477" Type="http://schemas.openxmlformats.org/officeDocument/2006/relationships/hyperlink" Target="http://medium.com" TargetMode="External"/><Relationship Id="rId4280" Type="http://schemas.openxmlformats.org/officeDocument/2006/relationships/hyperlink" Target="https://predicthq.com/" TargetMode="External"/><Relationship Id="rId4282" Type="http://schemas.openxmlformats.org/officeDocument/2006/relationships/hyperlink" Target="https://propertyshare.in/" TargetMode="External"/><Relationship Id="rId4281" Type="http://schemas.openxmlformats.org/officeDocument/2006/relationships/hyperlink" Target="https://projectdiscovery.io/" TargetMode="External"/><Relationship Id="rId4284" Type="http://schemas.openxmlformats.org/officeDocument/2006/relationships/hyperlink" Target="https://alphonsolabs.com/" TargetMode="External"/><Relationship Id="rId4283" Type="http://schemas.openxmlformats.org/officeDocument/2006/relationships/hyperlink" Target="https://workboard.com/okrs/" TargetMode="External"/><Relationship Id="rId4286" Type="http://schemas.openxmlformats.org/officeDocument/2006/relationships/hyperlink" Target="https://pmc-sierra.com/" TargetMode="External"/><Relationship Id="rId4285" Type="http://schemas.openxmlformats.org/officeDocument/2006/relationships/hyperlink" Target="https://pushpinsapp.com/" TargetMode="External"/><Relationship Id="rId4288" Type="http://schemas.openxmlformats.org/officeDocument/2006/relationships/hyperlink" Target="https://qubole.com/" TargetMode="External"/><Relationship Id="rId4287" Type="http://schemas.openxmlformats.org/officeDocument/2006/relationships/hyperlink" Target="https://quantumscape.com/" TargetMode="External"/><Relationship Id="rId4289" Type="http://schemas.openxmlformats.org/officeDocument/2006/relationships/hyperlink" Target="https://www.qure.ai/" TargetMode="External"/><Relationship Id="rId4271" Type="http://schemas.openxmlformats.org/officeDocument/2006/relationships/hyperlink" Target="https://plus.ai/" TargetMode="External"/><Relationship Id="rId4270" Type="http://schemas.openxmlformats.org/officeDocument/2006/relationships/hyperlink" Target="https://plianttechnology.com/" TargetMode="External"/><Relationship Id="rId4273" Type="http://schemas.openxmlformats.org/officeDocument/2006/relationships/hyperlink" Target="https://pocketfm.com/" TargetMode="External"/><Relationship Id="rId4272" Type="http://schemas.openxmlformats.org/officeDocument/2006/relationships/hyperlink" Target="https://plushcare.com/" TargetMode="External"/><Relationship Id="rId4275" Type="http://schemas.openxmlformats.org/officeDocument/2006/relationships/hyperlink" Target="https://polygon.technology/" TargetMode="External"/><Relationship Id="rId4274" Type="http://schemas.openxmlformats.org/officeDocument/2006/relationships/hyperlink" Target="https://polarsignals.com/" TargetMode="External"/><Relationship Id="rId4277" Type="http://schemas.openxmlformats.org/officeDocument/2006/relationships/hyperlink" Target="https://ponder.io/" TargetMode="External"/><Relationship Id="rId4276" Type="http://schemas.openxmlformats.org/officeDocument/2006/relationships/hyperlink" Target="https://poncho.is/" TargetMode="External"/><Relationship Id="rId4279" Type="http://schemas.openxmlformats.org/officeDocument/2006/relationships/hyperlink" Target="https://portkey.ai/" TargetMode="External"/><Relationship Id="rId4278" Type="http://schemas.openxmlformats.org/officeDocument/2006/relationships/hyperlink" Target="https://pontera.com/" TargetMode="External"/><Relationship Id="rId4291" Type="http://schemas.openxmlformats.org/officeDocument/2006/relationships/hyperlink" Target="https://rapsphere.com/" TargetMode="External"/><Relationship Id="rId4290" Type="http://schemas.openxmlformats.org/officeDocument/2006/relationships/hyperlink" Target="https://radiantsecurity.ai/" TargetMode="External"/><Relationship Id="rId4293" Type="http://schemas.openxmlformats.org/officeDocument/2006/relationships/hyperlink" Target="https://razorpay.com/" TargetMode="External"/><Relationship Id="rId4292" Type="http://schemas.openxmlformats.org/officeDocument/2006/relationships/hyperlink" Target="https://gorattle.com/" TargetMode="External"/><Relationship Id="rId4295" Type="http://schemas.openxmlformats.org/officeDocument/2006/relationships/hyperlink" Target="https://recordgram.com/" TargetMode="External"/><Relationship Id="rId4294" Type="http://schemas.openxmlformats.org/officeDocument/2006/relationships/hyperlink" Target="https://join-real.com/" TargetMode="External"/><Relationship Id="rId4297" Type="http://schemas.openxmlformats.org/officeDocument/2006/relationships/hyperlink" Target="https://reflektive.com/" TargetMode="External"/><Relationship Id="rId4296" Type="http://schemas.openxmlformats.org/officeDocument/2006/relationships/hyperlink" Target="https://redpanda.com/" TargetMode="External"/><Relationship Id="rId4299" Type="http://schemas.openxmlformats.org/officeDocument/2006/relationships/hyperlink" Target="https://rephrase.ai/" TargetMode="External"/><Relationship Id="rId4298" Type="http://schemas.openxmlformats.org/officeDocument/2006/relationships/hyperlink" Target="https://reliable.co/" TargetMode="External"/><Relationship Id="rId4249" Type="http://schemas.openxmlformats.org/officeDocument/2006/relationships/hyperlink" Target="https://parsable.com/" TargetMode="External"/><Relationship Id="rId4240" Type="http://schemas.openxmlformats.org/officeDocument/2006/relationships/hyperlink" Target="https://outbrain.com/" TargetMode="External"/><Relationship Id="rId4242" Type="http://schemas.openxmlformats.org/officeDocument/2006/relationships/hyperlink" Target="https://overops.com/" TargetMode="External"/><Relationship Id="rId4241" Type="http://schemas.openxmlformats.org/officeDocument/2006/relationships/hyperlink" Target="https://outschool.com/" TargetMode="External"/><Relationship Id="rId4244" Type="http://schemas.openxmlformats.org/officeDocument/2006/relationships/hyperlink" Target="https://p0.inc/" TargetMode="External"/><Relationship Id="rId4243" Type="http://schemas.openxmlformats.org/officeDocument/2006/relationships/hyperlink" Target="https://oyorooms.com/" TargetMode="External"/><Relationship Id="rId4246" Type="http://schemas.openxmlformats.org/officeDocument/2006/relationships/hyperlink" Target="https://pacificfusion.com/" TargetMode="External"/><Relationship Id="rId4245" Type="http://schemas.openxmlformats.org/officeDocument/2006/relationships/hyperlink" Target="https://p0.dev/" TargetMode="External"/><Relationship Id="rId4248" Type="http://schemas.openxmlformats.org/officeDocument/2006/relationships/hyperlink" Target="https://parallel.fi/" TargetMode="External"/><Relationship Id="rId4247" Type="http://schemas.openxmlformats.org/officeDocument/2006/relationships/hyperlink" Target="https://runpanther.io/" TargetMode="External"/><Relationship Id="rId4239" Type="http://schemas.openxmlformats.org/officeDocument/2006/relationships/hyperlink" Target="https://osmos.io/" TargetMode="External"/><Relationship Id="rId4238" Type="http://schemas.openxmlformats.org/officeDocument/2006/relationships/hyperlink" Target="https://orqafpv.com/" TargetMode="External"/><Relationship Id="rId495" Type="http://schemas.openxmlformats.org/officeDocument/2006/relationships/hyperlink" Target="http://enableus.com" TargetMode="External"/><Relationship Id="rId4231" Type="http://schemas.openxmlformats.org/officeDocument/2006/relationships/hyperlink" Target="https://okcredit.in/" TargetMode="External"/><Relationship Id="rId494" Type="http://schemas.openxmlformats.org/officeDocument/2006/relationships/hyperlink" Target="http://edenworkplace.com" TargetMode="External"/><Relationship Id="rId4230" Type="http://schemas.openxmlformats.org/officeDocument/2006/relationships/hyperlink" Target="https://officebanao.com/" TargetMode="External"/><Relationship Id="rId493" Type="http://schemas.openxmlformats.org/officeDocument/2006/relationships/hyperlink" Target="http://emilabs.ai" TargetMode="External"/><Relationship Id="rId4233" Type="http://schemas.openxmlformats.org/officeDocument/2006/relationships/hyperlink" Target="https://oligo.security/" TargetMode="External"/><Relationship Id="rId492" Type="http://schemas.openxmlformats.org/officeDocument/2006/relationships/hyperlink" Target="http://easypost.com" TargetMode="External"/><Relationship Id="rId4232" Type="http://schemas.openxmlformats.org/officeDocument/2006/relationships/hyperlink" Target="https://olema.com/" TargetMode="External"/><Relationship Id="rId499" Type="http://schemas.openxmlformats.org/officeDocument/2006/relationships/hyperlink" Target="http://ensoanalytics.com" TargetMode="External"/><Relationship Id="rId4235" Type="http://schemas.openxmlformats.org/officeDocument/2006/relationships/hyperlink" Target="https://onemoregame.com/" TargetMode="External"/><Relationship Id="rId498" Type="http://schemas.openxmlformats.org/officeDocument/2006/relationships/hyperlink" Target="http://elementary-data.com" TargetMode="External"/><Relationship Id="rId4234" Type="http://schemas.openxmlformats.org/officeDocument/2006/relationships/hyperlink" Target="https://oneassist.in/" TargetMode="External"/><Relationship Id="rId497" Type="http://schemas.openxmlformats.org/officeDocument/2006/relationships/hyperlink" Target="http://encord.com" TargetMode="External"/><Relationship Id="rId4237" Type="http://schemas.openxmlformats.org/officeDocument/2006/relationships/hyperlink" Target="https://origamilogic.com/" TargetMode="External"/><Relationship Id="rId496" Type="http://schemas.openxmlformats.org/officeDocument/2006/relationships/hyperlink" Target="http://eivod.com" TargetMode="External"/><Relationship Id="rId4236" Type="http://schemas.openxmlformats.org/officeDocument/2006/relationships/hyperlink" Target="https://orbiseducation.com/" TargetMode="External"/><Relationship Id="rId4260" Type="http://schemas.openxmlformats.org/officeDocument/2006/relationships/hyperlink" Target="https://personetics.com/" TargetMode="External"/><Relationship Id="rId4262" Type="http://schemas.openxmlformats.org/officeDocument/2006/relationships/hyperlink" Target="https://openwave.com/" TargetMode="External"/><Relationship Id="rId4261" Type="http://schemas.openxmlformats.org/officeDocument/2006/relationships/hyperlink" Target="https://pheontx.com/" TargetMode="External"/><Relationship Id="rId4264" Type="http://schemas.openxmlformats.org/officeDocument/2006/relationships/hyperlink" Target="https://pintu.co.id/" TargetMode="External"/><Relationship Id="rId4263" Type="http://schemas.openxmlformats.org/officeDocument/2006/relationships/hyperlink" Target="https://www.pw.live/" TargetMode="External"/><Relationship Id="rId4266" Type="http://schemas.openxmlformats.org/officeDocument/2006/relationships/hyperlink" Target="https://plana.earth/" TargetMode="External"/><Relationship Id="rId4265" Type="http://schemas.openxmlformats.org/officeDocument/2006/relationships/hyperlink" Target="https://pixxel.space/" TargetMode="External"/><Relationship Id="rId4268" Type="http://schemas.openxmlformats.org/officeDocument/2006/relationships/hyperlink" Target="https://plexistor.com/" TargetMode="External"/><Relationship Id="rId4267" Type="http://schemas.openxmlformats.org/officeDocument/2006/relationships/hyperlink" Target="https://playdom.com/" TargetMode="External"/><Relationship Id="rId4269" Type="http://schemas.openxmlformats.org/officeDocument/2006/relationships/hyperlink" Target="https://plexxi.com/" TargetMode="External"/><Relationship Id="rId4251" Type="http://schemas.openxmlformats.org/officeDocument/2006/relationships/hyperlink" Target="https://patronus.ai/" TargetMode="External"/><Relationship Id="rId4250" Type="http://schemas.openxmlformats.org/officeDocument/2006/relationships/hyperlink" Target="https://particle.news/" TargetMode="External"/><Relationship Id="rId4253" Type="http://schemas.openxmlformats.org/officeDocument/2006/relationships/hyperlink" Target="https://pebblelife.com/" TargetMode="External"/><Relationship Id="rId4252" Type="http://schemas.openxmlformats.org/officeDocument/2006/relationships/hyperlink" Target="https://payitoff.io/" TargetMode="External"/><Relationship Id="rId4255" Type="http://schemas.openxmlformats.org/officeDocument/2006/relationships/hyperlink" Target="https://people.ai/" TargetMode="External"/><Relationship Id="rId4254" Type="http://schemas.openxmlformats.org/officeDocument/2006/relationships/hyperlink" Target="https://pensando.io/" TargetMode="External"/><Relationship Id="rId4257" Type="http://schemas.openxmlformats.org/officeDocument/2006/relationships/hyperlink" Target="https://percolate.com/" TargetMode="External"/><Relationship Id="rId4256" Type="http://schemas.openxmlformats.org/officeDocument/2006/relationships/hyperlink" Target="https://peppercontent.in/" TargetMode="External"/><Relationship Id="rId4259" Type="http://schemas.openxmlformats.org/officeDocument/2006/relationships/hyperlink" Target="https://personalis.com/" TargetMode="External"/><Relationship Id="rId4258" Type="http://schemas.openxmlformats.org/officeDocument/2006/relationships/hyperlink" Target="https://pernixdata.com/" TargetMode="External"/><Relationship Id="rId3810" Type="http://schemas.openxmlformats.org/officeDocument/2006/relationships/hyperlink" Target="https://www.backflip.ai/" TargetMode="External"/><Relationship Id="rId3812" Type="http://schemas.openxmlformats.org/officeDocument/2006/relationships/hyperlink" Target="https://www.beehiiv.com/" TargetMode="External"/><Relationship Id="rId3811" Type="http://schemas.openxmlformats.org/officeDocument/2006/relationships/hyperlink" Target="https://sportsrocket.com/" TargetMode="External"/><Relationship Id="rId3814" Type="http://schemas.openxmlformats.org/officeDocument/2006/relationships/hyperlink" Target="https://www.benchprep.com/" TargetMode="External"/><Relationship Id="rId3813" Type="http://schemas.openxmlformats.org/officeDocument/2006/relationships/hyperlink" Target="https://belong-health.com/" TargetMode="External"/><Relationship Id="rId3816" Type="http://schemas.openxmlformats.org/officeDocument/2006/relationships/hyperlink" Target="https://www.bliq.app/" TargetMode="External"/><Relationship Id="rId3815" Type="http://schemas.openxmlformats.org/officeDocument/2006/relationships/hyperlink" Target="https://www.beyondidentity.com/" TargetMode="External"/><Relationship Id="rId3818" Type="http://schemas.openxmlformats.org/officeDocument/2006/relationships/hyperlink" Target="https://www.bcanalog.com/" TargetMode="External"/><Relationship Id="rId3817" Type="http://schemas.openxmlformats.org/officeDocument/2006/relationships/hyperlink" Target="https://www.bloomreach.com/en" TargetMode="External"/><Relationship Id="rId3819" Type="http://schemas.openxmlformats.org/officeDocument/2006/relationships/hyperlink" Target="https://www.branch.io/" TargetMode="External"/><Relationship Id="rId3801" Type="http://schemas.openxmlformats.org/officeDocument/2006/relationships/hyperlink" Target="https://www.antimatter.io/" TargetMode="External"/><Relationship Id="rId3800" Type="http://schemas.openxmlformats.org/officeDocument/2006/relationships/hyperlink" Target="https://www.anterior.com/" TargetMode="External"/><Relationship Id="rId3803" Type="http://schemas.openxmlformats.org/officeDocument/2006/relationships/hyperlink" Target="https://arkestro.com/" TargetMode="External"/><Relationship Id="rId3802" Type="http://schemas.openxmlformats.org/officeDocument/2006/relationships/hyperlink" Target="https://www.anyscale.com/" TargetMode="External"/><Relationship Id="rId3805" Type="http://schemas.openxmlformats.org/officeDocument/2006/relationships/hyperlink" Target="https://www.assembled.com/" TargetMode="External"/><Relationship Id="rId3804" Type="http://schemas.openxmlformats.org/officeDocument/2006/relationships/hyperlink" Target="https://arriscomposites.com/" TargetMode="External"/><Relationship Id="rId3807" Type="http://schemas.openxmlformats.org/officeDocument/2006/relationships/hyperlink" Target="https://www.automationanywhere.com/" TargetMode="External"/><Relationship Id="rId3806" Type="http://schemas.openxmlformats.org/officeDocument/2006/relationships/hyperlink" Target="https://www.askattest.com/" TargetMode="External"/><Relationship Id="rId3809" Type="http://schemas.openxmlformats.org/officeDocument/2006/relationships/hyperlink" Target="https://aviadobio.com/" TargetMode="External"/><Relationship Id="rId3808" Type="http://schemas.openxmlformats.org/officeDocument/2006/relationships/hyperlink" Target="http://www.availink.com/" TargetMode="External"/><Relationship Id="rId1213" Type="http://schemas.openxmlformats.org/officeDocument/2006/relationships/hyperlink" Target="http://vizcom.ai" TargetMode="External"/><Relationship Id="rId2544" Type="http://schemas.openxmlformats.org/officeDocument/2006/relationships/hyperlink" Target="http://mvmnt.io" TargetMode="External"/><Relationship Id="rId3876" Type="http://schemas.openxmlformats.org/officeDocument/2006/relationships/hyperlink" Target="https://www.glamsquad.com/" TargetMode="External"/><Relationship Id="rId1214" Type="http://schemas.openxmlformats.org/officeDocument/2006/relationships/hyperlink" Target="http://phaidra.ai" TargetMode="External"/><Relationship Id="rId2545" Type="http://schemas.openxmlformats.org/officeDocument/2006/relationships/hyperlink" Target="http://neuralmagic.com" TargetMode="External"/><Relationship Id="rId3875" Type="http://schemas.openxmlformats.org/officeDocument/2006/relationships/hyperlink" Target="https://www.gladly.com/" TargetMode="External"/><Relationship Id="rId1215" Type="http://schemas.openxmlformats.org/officeDocument/2006/relationships/hyperlink" Target="http://wetravel.com" TargetMode="External"/><Relationship Id="rId2546" Type="http://schemas.openxmlformats.org/officeDocument/2006/relationships/hyperlink" Target="http://mystenlabs.com" TargetMode="External"/><Relationship Id="rId3878" Type="http://schemas.openxmlformats.org/officeDocument/2006/relationships/hyperlink" Target="https://goop.com/" TargetMode="External"/><Relationship Id="rId1216" Type="http://schemas.openxmlformats.org/officeDocument/2006/relationships/hyperlink" Target="http://sofiasalud.com" TargetMode="External"/><Relationship Id="rId2547" Type="http://schemas.openxmlformats.org/officeDocument/2006/relationships/hyperlink" Target="http://mythicalgames.com" TargetMode="External"/><Relationship Id="rId3877" Type="http://schemas.openxmlformats.org/officeDocument/2006/relationships/hyperlink" Target="https://www.ongoody.com/" TargetMode="External"/><Relationship Id="rId1217" Type="http://schemas.openxmlformats.org/officeDocument/2006/relationships/hyperlink" Target="http://ramp.com" TargetMode="External"/><Relationship Id="rId2548" Type="http://schemas.openxmlformats.org/officeDocument/2006/relationships/hyperlink" Target="http://tflabs.io" TargetMode="External"/><Relationship Id="rId1218" Type="http://schemas.openxmlformats.org/officeDocument/2006/relationships/hyperlink" Target="http://sylvera.com" TargetMode="External"/><Relationship Id="rId2549" Type="http://schemas.openxmlformats.org/officeDocument/2006/relationships/hyperlink" Target="http://nansen.ai" TargetMode="External"/><Relationship Id="rId3879" Type="http://schemas.openxmlformats.org/officeDocument/2006/relationships/hyperlink" Target="https://goqii.com/in-en" TargetMode="External"/><Relationship Id="rId1219" Type="http://schemas.openxmlformats.org/officeDocument/2006/relationships/hyperlink" Target="http://konghq.com" TargetMode="External"/><Relationship Id="rId3870" Type="http://schemas.openxmlformats.org/officeDocument/2006/relationships/hyperlink" Target="https://www.galeratx.com/" TargetMode="External"/><Relationship Id="rId2540" Type="http://schemas.openxmlformats.org/officeDocument/2006/relationships/hyperlink" Target="http://mountaintop.gg" TargetMode="External"/><Relationship Id="rId3872" Type="http://schemas.openxmlformats.org/officeDocument/2006/relationships/hyperlink" Target="https://genies.com/" TargetMode="External"/><Relationship Id="rId1210" Type="http://schemas.openxmlformats.org/officeDocument/2006/relationships/hyperlink" Target="http://elementl.com" TargetMode="External"/><Relationship Id="rId2541" Type="http://schemas.openxmlformats.org/officeDocument/2006/relationships/hyperlink" Target="http://netlify.com" TargetMode="External"/><Relationship Id="rId3871" Type="http://schemas.openxmlformats.org/officeDocument/2006/relationships/hyperlink" Target="https://geng.gg/" TargetMode="External"/><Relationship Id="rId1211" Type="http://schemas.openxmlformats.org/officeDocument/2006/relationships/hyperlink" Target="http://swile.co" TargetMode="External"/><Relationship Id="rId2542" Type="http://schemas.openxmlformats.org/officeDocument/2006/relationships/hyperlink" Target="http://musesessions.co" TargetMode="External"/><Relationship Id="rId3874" Type="http://schemas.openxmlformats.org/officeDocument/2006/relationships/hyperlink" Target="https://endwaste.io/" TargetMode="External"/><Relationship Id="rId1212" Type="http://schemas.openxmlformats.org/officeDocument/2006/relationships/hyperlink" Target="http://outbrain.com" TargetMode="External"/><Relationship Id="rId2543" Type="http://schemas.openxmlformats.org/officeDocument/2006/relationships/hyperlink" Target="http://netography.com" TargetMode="External"/><Relationship Id="rId3873" Type="http://schemas.openxmlformats.org/officeDocument/2006/relationships/hyperlink" Target="https://www.genmo.ai/" TargetMode="External"/><Relationship Id="rId1202" Type="http://schemas.openxmlformats.org/officeDocument/2006/relationships/hyperlink" Target="http://tekion.com" TargetMode="External"/><Relationship Id="rId2533" Type="http://schemas.openxmlformats.org/officeDocument/2006/relationships/hyperlink" Target="http://near.org" TargetMode="External"/><Relationship Id="rId3865" Type="http://schemas.openxmlformats.org/officeDocument/2006/relationships/hyperlink" Target="https://www.mayhem.security/" TargetMode="External"/><Relationship Id="rId1203" Type="http://schemas.openxmlformats.org/officeDocument/2006/relationships/hyperlink" Target="http://weaviate.io" TargetMode="External"/><Relationship Id="rId2534" Type="http://schemas.openxmlformats.org/officeDocument/2006/relationships/hyperlink" Target="http://morpho.xyz" TargetMode="External"/><Relationship Id="rId3864" Type="http://schemas.openxmlformats.org/officeDocument/2006/relationships/hyperlink" Target="https://www.folloze.com/" TargetMode="External"/><Relationship Id="rId1204" Type="http://schemas.openxmlformats.org/officeDocument/2006/relationships/hyperlink" Target="http://toolbx.com" TargetMode="External"/><Relationship Id="rId2535" Type="http://schemas.openxmlformats.org/officeDocument/2006/relationships/hyperlink" Target="http://neighbor.com" TargetMode="External"/><Relationship Id="rId3867" Type="http://schemas.openxmlformats.org/officeDocument/2006/relationships/hyperlink" Target="https://formlabs.com/" TargetMode="External"/><Relationship Id="rId1205" Type="http://schemas.openxmlformats.org/officeDocument/2006/relationships/hyperlink" Target="http://montonio.com" TargetMode="External"/><Relationship Id="rId2536" Type="http://schemas.openxmlformats.org/officeDocument/2006/relationships/hyperlink" Target="http://mosaic.us" TargetMode="External"/><Relationship Id="rId3866" Type="http://schemas.openxmlformats.org/officeDocument/2006/relationships/hyperlink" Target="https://www.forethought.ai/" TargetMode="External"/><Relationship Id="rId1206" Type="http://schemas.openxmlformats.org/officeDocument/2006/relationships/hyperlink" Target="http://workbounce.com" TargetMode="External"/><Relationship Id="rId2537" Type="http://schemas.openxmlformats.org/officeDocument/2006/relationships/hyperlink" Target="http://neonpay.com" TargetMode="External"/><Relationship Id="rId3869" Type="http://schemas.openxmlformats.org/officeDocument/2006/relationships/hyperlink" Target="https://thefoundry.com/" TargetMode="External"/><Relationship Id="rId1207" Type="http://schemas.openxmlformats.org/officeDocument/2006/relationships/hyperlink" Target="http://openx.com" TargetMode="External"/><Relationship Id="rId2538" Type="http://schemas.openxmlformats.org/officeDocument/2006/relationships/hyperlink" Target="http://motherduck.com" TargetMode="External"/><Relationship Id="rId3868" Type="http://schemas.openxmlformats.org/officeDocument/2006/relationships/hyperlink" Target="https://www.forter.com/" TargetMode="External"/><Relationship Id="rId1208" Type="http://schemas.openxmlformats.org/officeDocument/2006/relationships/hyperlink" Target="http://xata.io" TargetMode="External"/><Relationship Id="rId2539" Type="http://schemas.openxmlformats.org/officeDocument/2006/relationships/hyperlink" Target="http://neonwild.com" TargetMode="External"/><Relationship Id="rId1209" Type="http://schemas.openxmlformats.org/officeDocument/2006/relationships/hyperlink" Target="http://savvywealth.com" TargetMode="External"/><Relationship Id="rId3861" Type="http://schemas.openxmlformats.org/officeDocument/2006/relationships/hyperlink" Target="https://thefoundry.com/home.html" TargetMode="External"/><Relationship Id="rId2530" Type="http://schemas.openxmlformats.org/officeDocument/2006/relationships/hyperlink" Target="http://withmoment.com" TargetMode="External"/><Relationship Id="rId3860" Type="http://schemas.openxmlformats.org/officeDocument/2006/relationships/hyperlink" Target="https://fabric8labs.com/" TargetMode="External"/><Relationship Id="rId1200" Type="http://schemas.openxmlformats.org/officeDocument/2006/relationships/hyperlink" Target="http://sylvera.com" TargetMode="External"/><Relationship Id="rId2531" Type="http://schemas.openxmlformats.org/officeDocument/2006/relationships/hyperlink" Target="http://navan.com" TargetMode="External"/><Relationship Id="rId3863" Type="http://schemas.openxmlformats.org/officeDocument/2006/relationships/hyperlink" Target="https://floxdev.com/" TargetMode="External"/><Relationship Id="rId1201" Type="http://schemas.openxmlformats.org/officeDocument/2006/relationships/hyperlink" Target="http://en.tacto.ai" TargetMode="External"/><Relationship Id="rId2532" Type="http://schemas.openxmlformats.org/officeDocument/2006/relationships/hyperlink" Target="http://moov.io" TargetMode="External"/><Relationship Id="rId3862" Type="http://schemas.openxmlformats.org/officeDocument/2006/relationships/hyperlink" Target="https://fizzsocial.app/" TargetMode="External"/><Relationship Id="rId1235" Type="http://schemas.openxmlformats.org/officeDocument/2006/relationships/hyperlink" Target="http://brightgo.com" TargetMode="External"/><Relationship Id="rId2566" Type="http://schemas.openxmlformats.org/officeDocument/2006/relationships/hyperlink" Target="http://offerup.com" TargetMode="External"/><Relationship Id="rId3898" Type="http://schemas.openxmlformats.org/officeDocument/2006/relationships/hyperlink" Target="https://faire.com/" TargetMode="External"/><Relationship Id="rId1236" Type="http://schemas.openxmlformats.org/officeDocument/2006/relationships/hyperlink" Target="http://ramp.com" TargetMode="External"/><Relationship Id="rId2567" Type="http://schemas.openxmlformats.org/officeDocument/2006/relationships/hyperlink" Target="http://omadahealth.com" TargetMode="External"/><Relationship Id="rId3897" Type="http://schemas.openxmlformats.org/officeDocument/2006/relationships/hyperlink" Target="https://epicgames.com/" TargetMode="External"/><Relationship Id="rId1237" Type="http://schemas.openxmlformats.org/officeDocument/2006/relationships/hyperlink" Target="http://coalitioninc.com" TargetMode="External"/><Relationship Id="rId2568" Type="http://schemas.openxmlformats.org/officeDocument/2006/relationships/hyperlink" Target="http://tflabs.io" TargetMode="External"/><Relationship Id="rId1238" Type="http://schemas.openxmlformats.org/officeDocument/2006/relationships/hyperlink" Target="http://konghq.com" TargetMode="External"/><Relationship Id="rId2569" Type="http://schemas.openxmlformats.org/officeDocument/2006/relationships/hyperlink" Target="http://onemoregame.com" TargetMode="External"/><Relationship Id="rId3899" Type="http://schemas.openxmlformats.org/officeDocument/2006/relationships/hyperlink" Target="https://fortyseveninc.com/" TargetMode="External"/><Relationship Id="rId1239" Type="http://schemas.openxmlformats.org/officeDocument/2006/relationships/hyperlink" Target="http://collibra.com" TargetMode="External"/><Relationship Id="rId409" Type="http://schemas.openxmlformats.org/officeDocument/2006/relationships/hyperlink" Target="http://cypherhq.io" TargetMode="External"/><Relationship Id="rId404" Type="http://schemas.openxmlformats.org/officeDocument/2006/relationships/hyperlink" Target="http://cratejoy.com" TargetMode="External"/><Relationship Id="rId403" Type="http://schemas.openxmlformats.org/officeDocument/2006/relationships/hyperlink" Target="http://customily.com" TargetMode="External"/><Relationship Id="rId402" Type="http://schemas.openxmlformats.org/officeDocument/2006/relationships/hyperlink" Target="http://coursedog.com" TargetMode="External"/><Relationship Id="rId401" Type="http://schemas.openxmlformats.org/officeDocument/2006/relationships/hyperlink" Target="http://customeros.ai" TargetMode="External"/><Relationship Id="rId408" Type="http://schemas.openxmlformats.org/officeDocument/2006/relationships/hyperlink" Target="http://credibook.com" TargetMode="External"/><Relationship Id="rId407" Type="http://schemas.openxmlformats.org/officeDocument/2006/relationships/hyperlink" Target="http://cymmetria.com" TargetMode="External"/><Relationship Id="rId406" Type="http://schemas.openxmlformats.org/officeDocument/2006/relationships/hyperlink" Target="http://creatoros.co" TargetMode="External"/><Relationship Id="rId405" Type="http://schemas.openxmlformats.org/officeDocument/2006/relationships/hyperlink" Target="http://custora.com" TargetMode="External"/><Relationship Id="rId3890" Type="http://schemas.openxmlformats.org/officeDocument/2006/relationships/hyperlink" Target="https://betterup.co/" TargetMode="External"/><Relationship Id="rId2560" Type="http://schemas.openxmlformats.org/officeDocument/2006/relationships/hyperlink" Target="http://neonwild.com" TargetMode="External"/><Relationship Id="rId3892" Type="http://schemas.openxmlformats.org/officeDocument/2006/relationships/hyperlink" Target="https://catonetworks.com/" TargetMode="External"/><Relationship Id="rId1230" Type="http://schemas.openxmlformats.org/officeDocument/2006/relationships/hyperlink" Target="http://swile.co" TargetMode="External"/><Relationship Id="rId2561" Type="http://schemas.openxmlformats.org/officeDocument/2006/relationships/hyperlink" Target="http://netlify.com" TargetMode="External"/><Relationship Id="rId3891" Type="http://schemas.openxmlformats.org/officeDocument/2006/relationships/hyperlink" Target="https://carta.com/" TargetMode="External"/><Relationship Id="rId400" Type="http://schemas.openxmlformats.org/officeDocument/2006/relationships/hyperlink" Target="http://courier.com" TargetMode="External"/><Relationship Id="rId1231" Type="http://schemas.openxmlformats.org/officeDocument/2006/relationships/hyperlink" Target="http://applyboard.com" TargetMode="External"/><Relationship Id="rId2562" Type="http://schemas.openxmlformats.org/officeDocument/2006/relationships/hyperlink" Target="http://withodyssey.com" TargetMode="External"/><Relationship Id="rId3894" Type="http://schemas.openxmlformats.org/officeDocument/2006/relationships/hyperlink" Target="https://www.daily-harvest.com/" TargetMode="External"/><Relationship Id="rId1232" Type="http://schemas.openxmlformats.org/officeDocument/2006/relationships/hyperlink" Target="http://vizcom.ai" TargetMode="External"/><Relationship Id="rId2563" Type="http://schemas.openxmlformats.org/officeDocument/2006/relationships/hyperlink" Target="http://netography.com" TargetMode="External"/><Relationship Id="rId3893" Type="http://schemas.openxmlformats.org/officeDocument/2006/relationships/hyperlink" Target="https://clickup.com/" TargetMode="External"/><Relationship Id="rId1233" Type="http://schemas.openxmlformats.org/officeDocument/2006/relationships/hyperlink" Target="http://behavox.com" TargetMode="External"/><Relationship Id="rId2564" Type="http://schemas.openxmlformats.org/officeDocument/2006/relationships/hyperlink" Target="http://odysseyinteractive.gg" TargetMode="External"/><Relationship Id="rId3896" Type="http://schemas.openxmlformats.org/officeDocument/2006/relationships/hyperlink" Target="https://eightfold.ai/" TargetMode="External"/><Relationship Id="rId1234" Type="http://schemas.openxmlformats.org/officeDocument/2006/relationships/hyperlink" Target="http://wetravel.com" TargetMode="External"/><Relationship Id="rId2565" Type="http://schemas.openxmlformats.org/officeDocument/2006/relationships/hyperlink" Target="http://neuralmagic.com" TargetMode="External"/><Relationship Id="rId3895" Type="http://schemas.openxmlformats.org/officeDocument/2006/relationships/hyperlink" Target="https://dexterity.ai/" TargetMode="External"/><Relationship Id="rId1224" Type="http://schemas.openxmlformats.org/officeDocument/2006/relationships/hyperlink" Target="http://montonio.com" TargetMode="External"/><Relationship Id="rId2555" Type="http://schemas.openxmlformats.org/officeDocument/2006/relationships/hyperlink" Target="http://near.org" TargetMode="External"/><Relationship Id="rId3887" Type="http://schemas.openxmlformats.org/officeDocument/2006/relationships/hyperlink" Target="https://arcticwolf.com/" TargetMode="External"/><Relationship Id="rId1225" Type="http://schemas.openxmlformats.org/officeDocument/2006/relationships/hyperlink" Target="http://transcend.io" TargetMode="External"/><Relationship Id="rId2556" Type="http://schemas.openxmlformats.org/officeDocument/2006/relationships/hyperlink" Target="http://neighbor.com" TargetMode="External"/><Relationship Id="rId3886" Type="http://schemas.openxmlformats.org/officeDocument/2006/relationships/hyperlink" Target="https://aquasec.com/" TargetMode="External"/><Relationship Id="rId1226" Type="http://schemas.openxmlformats.org/officeDocument/2006/relationships/hyperlink" Target="http://openx.com" TargetMode="External"/><Relationship Id="rId2557" Type="http://schemas.openxmlformats.org/officeDocument/2006/relationships/hyperlink" Target="http://nymtech.net" TargetMode="External"/><Relationship Id="rId3889" Type="http://schemas.openxmlformats.org/officeDocument/2006/relationships/hyperlink" Target="https://believer.gg/" TargetMode="External"/><Relationship Id="rId1227" Type="http://schemas.openxmlformats.org/officeDocument/2006/relationships/hyperlink" Target="http://abacus.ai" TargetMode="External"/><Relationship Id="rId2558" Type="http://schemas.openxmlformats.org/officeDocument/2006/relationships/hyperlink" Target="http://neonpay.com" TargetMode="External"/><Relationship Id="rId3888" Type="http://schemas.openxmlformats.org/officeDocument/2006/relationships/hyperlink" Target="https://axonius.com/" TargetMode="External"/><Relationship Id="rId1228" Type="http://schemas.openxmlformats.org/officeDocument/2006/relationships/hyperlink" Target="http://savvywealth.com" TargetMode="External"/><Relationship Id="rId2559" Type="http://schemas.openxmlformats.org/officeDocument/2006/relationships/hyperlink" Target="http://oasislabs.com" TargetMode="External"/><Relationship Id="rId1229" Type="http://schemas.openxmlformats.org/officeDocument/2006/relationships/hyperlink" Target="http://adaptive-ml.com" TargetMode="External"/><Relationship Id="rId3881" Type="http://schemas.openxmlformats.org/officeDocument/2006/relationships/hyperlink" Target="https://www.greythr.com/" TargetMode="External"/><Relationship Id="rId2550" Type="http://schemas.openxmlformats.org/officeDocument/2006/relationships/hyperlink" Target="http://nodgames.com" TargetMode="External"/><Relationship Id="rId3880" Type="http://schemas.openxmlformats.org/officeDocument/2006/relationships/hyperlink" Target="https://gravel.co.id/" TargetMode="External"/><Relationship Id="rId1220" Type="http://schemas.openxmlformats.org/officeDocument/2006/relationships/hyperlink" Target="http://en.tacto.ai" TargetMode="External"/><Relationship Id="rId2551" Type="http://schemas.openxmlformats.org/officeDocument/2006/relationships/hyperlink" Target="http://nationbuilder.com" TargetMode="External"/><Relationship Id="rId3883" Type="http://schemas.openxmlformats.org/officeDocument/2006/relationships/hyperlink" Target="https://affirm.com/" TargetMode="External"/><Relationship Id="rId1221" Type="http://schemas.openxmlformats.org/officeDocument/2006/relationships/hyperlink" Target="http://personio.com" TargetMode="External"/><Relationship Id="rId2552" Type="http://schemas.openxmlformats.org/officeDocument/2006/relationships/hyperlink" Target="http://northwoodspace.io" TargetMode="External"/><Relationship Id="rId3882" Type="http://schemas.openxmlformats.org/officeDocument/2006/relationships/hyperlink" Target="https://grid.is/" TargetMode="External"/><Relationship Id="rId1222" Type="http://schemas.openxmlformats.org/officeDocument/2006/relationships/hyperlink" Target="http://weaviate.io" TargetMode="External"/><Relationship Id="rId2553" Type="http://schemas.openxmlformats.org/officeDocument/2006/relationships/hyperlink" Target="http://navan.com" TargetMode="External"/><Relationship Id="rId3885" Type="http://schemas.openxmlformats.org/officeDocument/2006/relationships/hyperlink" Target="https://appdynamics.com/" TargetMode="External"/><Relationship Id="rId1223" Type="http://schemas.openxmlformats.org/officeDocument/2006/relationships/hyperlink" Target="http://servicetitan.com" TargetMode="External"/><Relationship Id="rId2554" Type="http://schemas.openxmlformats.org/officeDocument/2006/relationships/hyperlink" Target="http://nova.xyz" TargetMode="External"/><Relationship Id="rId3884" Type="http://schemas.openxmlformats.org/officeDocument/2006/relationships/hyperlink" Target="https://alloy.com/" TargetMode="External"/><Relationship Id="rId2500" Type="http://schemas.openxmlformats.org/officeDocument/2006/relationships/hyperlink" Target="http://miluhealth.com" TargetMode="External"/><Relationship Id="rId3832" Type="http://schemas.openxmlformats.org/officeDocument/2006/relationships/hyperlink" Target="http://www.cistadesign.com/" TargetMode="External"/><Relationship Id="rId2501" Type="http://schemas.openxmlformats.org/officeDocument/2006/relationships/hyperlink" Target="http://meitre.com" TargetMode="External"/><Relationship Id="rId3831" Type="http://schemas.openxmlformats.org/officeDocument/2006/relationships/hyperlink" Target="https://www.chromacode.com/" TargetMode="External"/><Relationship Id="rId2502" Type="http://schemas.openxmlformats.org/officeDocument/2006/relationships/hyperlink" Target="http://mem.ai" TargetMode="External"/><Relationship Id="rId3834" Type="http://schemas.openxmlformats.org/officeDocument/2006/relationships/hyperlink" Target="https://cleavetherapeutics.com/" TargetMode="External"/><Relationship Id="rId2503" Type="http://schemas.openxmlformats.org/officeDocument/2006/relationships/hyperlink" Target="http://mixpanel.com" TargetMode="External"/><Relationship Id="rId3833" Type="http://schemas.openxmlformats.org/officeDocument/2006/relationships/hyperlink" Target="https://www.clearmotion.com/" TargetMode="External"/><Relationship Id="rId2504" Type="http://schemas.openxmlformats.org/officeDocument/2006/relationships/hyperlink" Target="http://mem.co" TargetMode="External"/><Relationship Id="rId3836" Type="http://schemas.openxmlformats.org/officeDocument/2006/relationships/hyperlink" Target="https://www.clockwork.io/" TargetMode="External"/><Relationship Id="rId2505" Type="http://schemas.openxmlformats.org/officeDocument/2006/relationships/hyperlink" Target="http://ml4t.org" TargetMode="External"/><Relationship Id="rId3835" Type="http://schemas.openxmlformats.org/officeDocument/2006/relationships/hyperlink" Target="https://hicleo.com/" TargetMode="External"/><Relationship Id="rId2506" Type="http://schemas.openxmlformats.org/officeDocument/2006/relationships/hyperlink" Target="http://mercury.com" TargetMode="External"/><Relationship Id="rId3838" Type="http://schemas.openxmlformats.org/officeDocument/2006/relationships/hyperlink" Target="https://www.codebiotx.com/" TargetMode="External"/><Relationship Id="rId2507" Type="http://schemas.openxmlformats.org/officeDocument/2006/relationships/hyperlink" Target="http://modernfi.com" TargetMode="External"/><Relationship Id="rId3837" Type="http://schemas.openxmlformats.org/officeDocument/2006/relationships/hyperlink" Target="https://coda.io/" TargetMode="External"/><Relationship Id="rId2508" Type="http://schemas.openxmlformats.org/officeDocument/2006/relationships/hyperlink" Target="http://merits.com" TargetMode="External"/><Relationship Id="rId2509" Type="http://schemas.openxmlformats.org/officeDocument/2006/relationships/hyperlink" Target="http://withmoment.com" TargetMode="External"/><Relationship Id="rId3839" Type="http://schemas.openxmlformats.org/officeDocument/2006/relationships/hyperlink" Target="https://www.cohere-tech.com/" TargetMode="External"/><Relationship Id="rId3830" Type="http://schemas.openxmlformats.org/officeDocument/2006/relationships/hyperlink" Target="http://www.chelsio.com/" TargetMode="External"/><Relationship Id="rId3821" Type="http://schemas.openxmlformats.org/officeDocument/2006/relationships/hyperlink" Target="https://www.builtrobotics.com/" TargetMode="External"/><Relationship Id="rId3820" Type="http://schemas.openxmlformats.org/officeDocument/2006/relationships/hyperlink" Target="https://broadly.com/" TargetMode="External"/><Relationship Id="rId3823" Type="http://schemas.openxmlformats.org/officeDocument/2006/relationships/hyperlink" Target="https://www.bytedance.com/" TargetMode="External"/><Relationship Id="rId3822" Type="http://schemas.openxmlformats.org/officeDocument/2006/relationships/hyperlink" Target="https://burrow.com/" TargetMode="External"/><Relationship Id="rId3825" Type="http://schemas.openxmlformats.org/officeDocument/2006/relationships/hyperlink" Target="https://www.getcanopy.com/" TargetMode="External"/><Relationship Id="rId3824" Type="http://schemas.openxmlformats.org/officeDocument/2006/relationships/hyperlink" Target="https://www.candy.com/" TargetMode="External"/><Relationship Id="rId3827" Type="http://schemas.openxmlformats.org/officeDocument/2006/relationships/hyperlink" Target="https://cardurion.com/" TargetMode="External"/><Relationship Id="rId3826" Type="http://schemas.openxmlformats.org/officeDocument/2006/relationships/hyperlink" Target="https://www.cardionomicinc.com/" TargetMode="External"/><Relationship Id="rId3829" Type="http://schemas.openxmlformats.org/officeDocument/2006/relationships/hyperlink" Target="https://centrexion.com/" TargetMode="External"/><Relationship Id="rId3828" Type="http://schemas.openxmlformats.org/officeDocument/2006/relationships/hyperlink" Target="https://catalogdna.com/" TargetMode="External"/><Relationship Id="rId2522" Type="http://schemas.openxmlformats.org/officeDocument/2006/relationships/hyperlink" Target="http://mvmnt.io" TargetMode="External"/><Relationship Id="rId3854" Type="http://schemas.openxmlformats.org/officeDocument/2006/relationships/hyperlink" Target="https://enigma.com/" TargetMode="External"/><Relationship Id="rId2523" Type="http://schemas.openxmlformats.org/officeDocument/2006/relationships/hyperlink" Target="http://mystenlabs.com" TargetMode="External"/><Relationship Id="rId3853" Type="http://schemas.openxmlformats.org/officeDocument/2006/relationships/hyperlink" Target="https://embrace.io/" TargetMode="External"/><Relationship Id="rId2524" Type="http://schemas.openxmlformats.org/officeDocument/2006/relationships/hyperlink" Target="http://mixpanel.com" TargetMode="External"/><Relationship Id="rId3856" Type="http://schemas.openxmlformats.org/officeDocument/2006/relationships/hyperlink" Target="https://everactive.com/" TargetMode="External"/><Relationship Id="rId2525" Type="http://schemas.openxmlformats.org/officeDocument/2006/relationships/hyperlink" Target="http://mythicalgames.com" TargetMode="External"/><Relationship Id="rId3855" Type="http://schemas.openxmlformats.org/officeDocument/2006/relationships/hyperlink" Target="https://www.evenly.com/" TargetMode="External"/><Relationship Id="rId2526" Type="http://schemas.openxmlformats.org/officeDocument/2006/relationships/hyperlink" Target="http://ml4t.org" TargetMode="External"/><Relationship Id="rId3858" Type="http://schemas.openxmlformats.org/officeDocument/2006/relationships/hyperlink" Target="http://www.exent.com/" TargetMode="External"/><Relationship Id="rId2527" Type="http://schemas.openxmlformats.org/officeDocument/2006/relationships/hyperlink" Target="http://nansen.ai" TargetMode="External"/><Relationship Id="rId3857" Type="http://schemas.openxmlformats.org/officeDocument/2006/relationships/hyperlink" Target="https://www.evidentid.com/" TargetMode="External"/><Relationship Id="rId2528" Type="http://schemas.openxmlformats.org/officeDocument/2006/relationships/hyperlink" Target="http://modernfi.com" TargetMode="External"/><Relationship Id="rId2529" Type="http://schemas.openxmlformats.org/officeDocument/2006/relationships/hyperlink" Target="http://nationbuilder.com" TargetMode="External"/><Relationship Id="rId3859" Type="http://schemas.openxmlformats.org/officeDocument/2006/relationships/hyperlink" Target="https://expel.com/" TargetMode="External"/><Relationship Id="rId3850" Type="http://schemas.openxmlformats.org/officeDocument/2006/relationships/hyperlink" Target="https://www.joindrop.com/" TargetMode="External"/><Relationship Id="rId2520" Type="http://schemas.openxmlformats.org/officeDocument/2006/relationships/hyperlink" Target="http://musesessions.co" TargetMode="External"/><Relationship Id="rId3852" Type="http://schemas.openxmlformats.org/officeDocument/2006/relationships/hyperlink" Target="https://elevenlabs.io/" TargetMode="External"/><Relationship Id="rId2521" Type="http://schemas.openxmlformats.org/officeDocument/2006/relationships/hyperlink" Target="http://miluhealth.com" TargetMode="External"/><Relationship Id="rId3851" Type="http://schemas.openxmlformats.org/officeDocument/2006/relationships/hyperlink" Target="https://earlens.com/" TargetMode="External"/><Relationship Id="rId2511" Type="http://schemas.openxmlformats.org/officeDocument/2006/relationships/hyperlink" Target="http://moov.io" TargetMode="External"/><Relationship Id="rId3843" Type="http://schemas.openxmlformats.org/officeDocument/2006/relationships/hyperlink" Target="https://www.crowdbotics.com/" TargetMode="External"/><Relationship Id="rId2512" Type="http://schemas.openxmlformats.org/officeDocument/2006/relationships/hyperlink" Target="http://morpho.xyz" TargetMode="External"/><Relationship Id="rId3842" Type="http://schemas.openxmlformats.org/officeDocument/2006/relationships/hyperlink" Target="https://www.conviva.com/" TargetMode="External"/><Relationship Id="rId2513" Type="http://schemas.openxmlformats.org/officeDocument/2006/relationships/hyperlink" Target="http://metaphor.io" TargetMode="External"/><Relationship Id="rId3845" Type="http://schemas.openxmlformats.org/officeDocument/2006/relationships/hyperlink" Target="https://www.databricks.com/" TargetMode="External"/><Relationship Id="rId2514" Type="http://schemas.openxmlformats.org/officeDocument/2006/relationships/hyperlink" Target="http://mosaic.us" TargetMode="External"/><Relationship Id="rId3844" Type="http://schemas.openxmlformats.org/officeDocument/2006/relationships/hyperlink" Target="https://www.global-savings-group.com/" TargetMode="External"/><Relationship Id="rId2515" Type="http://schemas.openxmlformats.org/officeDocument/2006/relationships/hyperlink" Target="http://metatheory.gg" TargetMode="External"/><Relationship Id="rId3847" Type="http://schemas.openxmlformats.org/officeDocument/2006/relationships/hyperlink" Target="https://www.didiglobal.com/news/newsCenter" TargetMode="External"/><Relationship Id="rId2516" Type="http://schemas.openxmlformats.org/officeDocument/2006/relationships/hyperlink" Target="http://motherduck.com" TargetMode="External"/><Relationship Id="rId3846" Type="http://schemas.openxmlformats.org/officeDocument/2006/relationships/hyperlink" Target="https://www.datarobot.com/" TargetMode="External"/><Relationship Id="rId2517" Type="http://schemas.openxmlformats.org/officeDocument/2006/relationships/hyperlink" Target="http://methodfi.com" TargetMode="External"/><Relationship Id="rId3849" Type="http://schemas.openxmlformats.org/officeDocument/2006/relationships/hyperlink" Target="http://www.dotscorp.com/" TargetMode="External"/><Relationship Id="rId2518" Type="http://schemas.openxmlformats.org/officeDocument/2006/relationships/hyperlink" Target="http://mountaintop.gg" TargetMode="External"/><Relationship Id="rId3848" Type="http://schemas.openxmlformats.org/officeDocument/2006/relationships/hyperlink" Target="https://www.djust.io/" TargetMode="External"/><Relationship Id="rId2519" Type="http://schemas.openxmlformats.org/officeDocument/2006/relationships/hyperlink" Target="http://metronome.com" TargetMode="External"/><Relationship Id="rId3841" Type="http://schemas.openxmlformats.org/officeDocument/2006/relationships/hyperlink" Target="https://contra.com/" TargetMode="External"/><Relationship Id="rId2510" Type="http://schemas.openxmlformats.org/officeDocument/2006/relationships/hyperlink" Target="http://farcaster.xyz" TargetMode="External"/><Relationship Id="rId3840" Type="http://schemas.openxmlformats.org/officeDocument/2006/relationships/hyperlink" Target="https://collectivehealth.com/" TargetMode="External"/><Relationship Id="rId4327" Type="http://schemas.openxmlformats.org/officeDocument/2006/relationships/hyperlink" Target="https://sharechat.com/" TargetMode="External"/><Relationship Id="rId4326" Type="http://schemas.openxmlformats.org/officeDocument/2006/relationships/hyperlink" Target="https://platform.shapes.inc/" TargetMode="External"/><Relationship Id="rId4329" Type="http://schemas.openxmlformats.org/officeDocument/2006/relationships/hyperlink" Target="https://shivalikbank.com/" TargetMode="External"/><Relationship Id="rId4328" Type="http://schemas.openxmlformats.org/officeDocument/2006/relationships/hyperlink" Target="https://shipper.id/" TargetMode="External"/><Relationship Id="rId469" Type="http://schemas.openxmlformats.org/officeDocument/2006/relationships/hyperlink" Target="http://dynamo.ai" TargetMode="External"/><Relationship Id="rId468" Type="http://schemas.openxmlformats.org/officeDocument/2006/relationships/hyperlink" Target="http://dittowords.com" TargetMode="External"/><Relationship Id="rId467" Type="http://schemas.openxmlformats.org/officeDocument/2006/relationships/hyperlink" Target="http://duffel.com" TargetMode="External"/><Relationship Id="rId1290" Type="http://schemas.openxmlformats.org/officeDocument/2006/relationships/hyperlink" Target="http://quantive.com" TargetMode="External"/><Relationship Id="rId1291" Type="http://schemas.openxmlformats.org/officeDocument/2006/relationships/hyperlink" Target="http://strapi.io" TargetMode="External"/><Relationship Id="rId1292" Type="http://schemas.openxmlformats.org/officeDocument/2006/relationships/hyperlink" Target="http://readyset.io" TargetMode="External"/><Relationship Id="rId462" Type="http://schemas.openxmlformats.org/officeDocument/2006/relationships/hyperlink" Target="http://devcycle.com" TargetMode="External"/><Relationship Id="rId1293" Type="http://schemas.openxmlformats.org/officeDocument/2006/relationships/hyperlink" Target="http://thatch.ai" TargetMode="External"/><Relationship Id="rId461" Type="http://schemas.openxmlformats.org/officeDocument/2006/relationships/hyperlink" Target="http://doublerobotics.com" TargetMode="External"/><Relationship Id="rId1294" Type="http://schemas.openxmlformats.org/officeDocument/2006/relationships/hyperlink" Target="http://remote.com" TargetMode="External"/><Relationship Id="rId460" Type="http://schemas.openxmlformats.org/officeDocument/2006/relationships/hyperlink" Target="http://depict.ai" TargetMode="External"/><Relationship Id="rId1295" Type="http://schemas.openxmlformats.org/officeDocument/2006/relationships/hyperlink" Target="http://typeform.com" TargetMode="External"/><Relationship Id="rId4321" Type="http://schemas.openxmlformats.org/officeDocument/2006/relationships/hyperlink" Target="https://semgrep.dev/" TargetMode="External"/><Relationship Id="rId1296" Type="http://schemas.openxmlformats.org/officeDocument/2006/relationships/hyperlink" Target="http://revenuecat.com" TargetMode="External"/><Relationship Id="rId4320" Type="http://schemas.openxmlformats.org/officeDocument/2006/relationships/hyperlink" Target="https://selectstar.com/" TargetMode="External"/><Relationship Id="rId466" Type="http://schemas.openxmlformats.org/officeDocument/2006/relationships/hyperlink" Target="http://disqus.com" TargetMode="External"/><Relationship Id="rId1297" Type="http://schemas.openxmlformats.org/officeDocument/2006/relationships/hyperlink" Target="http://upollo.ai" TargetMode="External"/><Relationship Id="rId4323" Type="http://schemas.openxmlformats.org/officeDocument/2006/relationships/hyperlink" Target="https://serverless.com/" TargetMode="External"/><Relationship Id="rId465" Type="http://schemas.openxmlformats.org/officeDocument/2006/relationships/hyperlink" Target="http://draftbit.com" TargetMode="External"/><Relationship Id="rId1298" Type="http://schemas.openxmlformats.org/officeDocument/2006/relationships/hyperlink" Target="http://scale.com" TargetMode="External"/><Relationship Id="rId4322" Type="http://schemas.openxmlformats.org/officeDocument/2006/relationships/hyperlink" Target="https://sentio.xyz/" TargetMode="External"/><Relationship Id="rId464" Type="http://schemas.openxmlformats.org/officeDocument/2006/relationships/hyperlink" Target="http://dimorder.com" TargetMode="External"/><Relationship Id="rId1299" Type="http://schemas.openxmlformats.org/officeDocument/2006/relationships/hyperlink" Target="http://valdera.com" TargetMode="External"/><Relationship Id="rId4325" Type="http://schemas.openxmlformats.org/officeDocument/2006/relationships/hyperlink" Target="https://seventhspark.com/" TargetMode="External"/><Relationship Id="rId463" Type="http://schemas.openxmlformats.org/officeDocument/2006/relationships/hyperlink" Target="http://draftwise.com" TargetMode="External"/><Relationship Id="rId4324" Type="http://schemas.openxmlformats.org/officeDocument/2006/relationships/hyperlink" Target="https://setu.co/" TargetMode="External"/><Relationship Id="rId4316" Type="http://schemas.openxmlformats.org/officeDocument/2006/relationships/hyperlink" Target="https://scrut.io/" TargetMode="External"/><Relationship Id="rId4315" Type="http://schemas.openxmlformats.org/officeDocument/2006/relationships/hyperlink" Target="https://scorpiontx.vom/" TargetMode="External"/><Relationship Id="rId4318" Type="http://schemas.openxmlformats.org/officeDocument/2006/relationships/hyperlink" Target="https://seismictx.com/" TargetMode="External"/><Relationship Id="rId4317" Type="http://schemas.openxmlformats.org/officeDocument/2006/relationships/hyperlink" Target="https://seel.com/" TargetMode="External"/><Relationship Id="rId4319" Type="http://schemas.openxmlformats.org/officeDocument/2006/relationships/hyperlink" Target="https://seismictx.com/" TargetMode="External"/><Relationship Id="rId459" Type="http://schemas.openxmlformats.org/officeDocument/2006/relationships/hyperlink" Target="http://doppler.com" TargetMode="External"/><Relationship Id="rId458" Type="http://schemas.openxmlformats.org/officeDocument/2006/relationships/hyperlink" Target="http://demandsphere.com" TargetMode="External"/><Relationship Id="rId457" Type="http://schemas.openxmlformats.org/officeDocument/2006/relationships/hyperlink" Target="http://dojah.io" TargetMode="External"/><Relationship Id="rId456" Type="http://schemas.openxmlformats.org/officeDocument/2006/relationships/hyperlink" Target="http://delineate.pro" TargetMode="External"/><Relationship Id="rId1280" Type="http://schemas.openxmlformats.org/officeDocument/2006/relationships/hyperlink" Target="http://novus.com" TargetMode="External"/><Relationship Id="rId1281" Type="http://schemas.openxmlformats.org/officeDocument/2006/relationships/hyperlink" Target="http://seedlegals.com" TargetMode="External"/><Relationship Id="rId451" Type="http://schemas.openxmlformats.org/officeDocument/2006/relationships/hyperlink" Target="http://dimorder.com" TargetMode="External"/><Relationship Id="rId1282" Type="http://schemas.openxmlformats.org/officeDocument/2006/relationships/hyperlink" Target="http://pentaho.com" TargetMode="External"/><Relationship Id="rId450" Type="http://schemas.openxmlformats.org/officeDocument/2006/relationships/hyperlink" Target="http://devcycle.com" TargetMode="External"/><Relationship Id="rId1283" Type="http://schemas.openxmlformats.org/officeDocument/2006/relationships/hyperlink" Target="http://shopmonkey.io" TargetMode="External"/><Relationship Id="rId1284" Type="http://schemas.openxmlformats.org/officeDocument/2006/relationships/hyperlink" Target="http://pitch.com" TargetMode="External"/><Relationship Id="rId4310" Type="http://schemas.openxmlformats.org/officeDocument/2006/relationships/hyperlink" Target="https://saronic.com/" TargetMode="External"/><Relationship Id="rId1285" Type="http://schemas.openxmlformats.org/officeDocument/2006/relationships/hyperlink" Target="http://silverfin.com" TargetMode="External"/><Relationship Id="rId455" Type="http://schemas.openxmlformats.org/officeDocument/2006/relationships/hyperlink" Target="http://dittowords.com" TargetMode="External"/><Relationship Id="rId1286" Type="http://schemas.openxmlformats.org/officeDocument/2006/relationships/hyperlink" Target="http://pomelo.la" TargetMode="External"/><Relationship Id="rId4312" Type="http://schemas.openxmlformats.org/officeDocument/2006/relationships/hyperlink" Target="https://satellite.bio/" TargetMode="External"/><Relationship Id="rId454" Type="http://schemas.openxmlformats.org/officeDocument/2006/relationships/hyperlink" Target="http://deepsource.com" TargetMode="External"/><Relationship Id="rId1287" Type="http://schemas.openxmlformats.org/officeDocument/2006/relationships/hyperlink" Target="http://socialbakers.com" TargetMode="External"/><Relationship Id="rId4311" Type="http://schemas.openxmlformats.org/officeDocument/2006/relationships/hyperlink" Target="https://www.sarvam.ai/" TargetMode="External"/><Relationship Id="rId453" Type="http://schemas.openxmlformats.org/officeDocument/2006/relationships/hyperlink" Target="http://disqus.com" TargetMode="External"/><Relationship Id="rId1288" Type="http://schemas.openxmlformats.org/officeDocument/2006/relationships/hyperlink" Target="http://productboard.com" TargetMode="External"/><Relationship Id="rId4314" Type="http://schemas.openxmlformats.org/officeDocument/2006/relationships/hyperlink" Target="https://scodix.com/" TargetMode="External"/><Relationship Id="rId452" Type="http://schemas.openxmlformats.org/officeDocument/2006/relationships/hyperlink" Target="http://joindeed.com" TargetMode="External"/><Relationship Id="rId1289" Type="http://schemas.openxmlformats.org/officeDocument/2006/relationships/hyperlink" Target="http://starburstdata.com" TargetMode="External"/><Relationship Id="rId4313" Type="http://schemas.openxmlformats.org/officeDocument/2006/relationships/hyperlink" Target="https://scaleops.com/" TargetMode="External"/><Relationship Id="rId3018" Type="http://schemas.openxmlformats.org/officeDocument/2006/relationships/hyperlink" Target="http://zushealth.com" TargetMode="External"/><Relationship Id="rId4349" Type="http://schemas.openxmlformats.org/officeDocument/2006/relationships/hyperlink" Target="https://starfieldcn.com/" TargetMode="External"/><Relationship Id="rId3017" Type="http://schemas.openxmlformats.org/officeDocument/2006/relationships/hyperlink" Target="http://yubico.com" TargetMode="External"/><Relationship Id="rId4348" Type="http://schemas.openxmlformats.org/officeDocument/2006/relationships/hyperlink" Target="https://staranalytics.com/" TargetMode="External"/><Relationship Id="rId3019" Type="http://schemas.openxmlformats.org/officeDocument/2006/relationships/hyperlink" Target="http://yugalabs.io" TargetMode="External"/><Relationship Id="rId491" Type="http://schemas.openxmlformats.org/officeDocument/2006/relationships/hyperlink" Target="http://embrace.io" TargetMode="External"/><Relationship Id="rId490" Type="http://schemas.openxmlformats.org/officeDocument/2006/relationships/hyperlink" Target="http://easol.com" TargetMode="External"/><Relationship Id="rId489" Type="http://schemas.openxmlformats.org/officeDocument/2006/relationships/hyperlink" Target="http://embeddables.com" TargetMode="External"/><Relationship Id="rId484" Type="http://schemas.openxmlformats.org/officeDocument/2006/relationships/hyperlink" Target="http://dyspatch.io" TargetMode="External"/><Relationship Id="rId3010" Type="http://schemas.openxmlformats.org/officeDocument/2006/relationships/hyperlink" Target="http://effects.zibra.ai" TargetMode="External"/><Relationship Id="rId4341" Type="http://schemas.openxmlformats.org/officeDocument/2006/relationships/hyperlink" Target="https://solaredge.com/" TargetMode="External"/><Relationship Id="rId483" Type="http://schemas.openxmlformats.org/officeDocument/2006/relationships/hyperlink" Target="http://eivod.com" TargetMode="External"/><Relationship Id="rId4340" Type="http://schemas.openxmlformats.org/officeDocument/2006/relationships/hyperlink" Target="https://solana.com/" TargetMode="External"/><Relationship Id="rId482" Type="http://schemas.openxmlformats.org/officeDocument/2006/relationships/hyperlink" Target="http://dynamo.ai" TargetMode="External"/><Relationship Id="rId3012" Type="http://schemas.openxmlformats.org/officeDocument/2006/relationships/hyperlink" Target="http://flyzipline.com" TargetMode="External"/><Relationship Id="rId4343" Type="http://schemas.openxmlformats.org/officeDocument/2006/relationships/hyperlink" Target="https://spiff.com/" TargetMode="External"/><Relationship Id="rId481" Type="http://schemas.openxmlformats.org/officeDocument/2006/relationships/hyperlink" Target="http://edenworkplace.com" TargetMode="External"/><Relationship Id="rId3011" Type="http://schemas.openxmlformats.org/officeDocument/2006/relationships/hyperlink" Target="http://xmtp.com" TargetMode="External"/><Relationship Id="rId4342" Type="http://schemas.openxmlformats.org/officeDocument/2006/relationships/hyperlink" Target="https://www.solarsquare.in/" TargetMode="External"/><Relationship Id="rId488" Type="http://schemas.openxmlformats.org/officeDocument/2006/relationships/hyperlink" Target="http://earbits.com" TargetMode="External"/><Relationship Id="rId3014" Type="http://schemas.openxmlformats.org/officeDocument/2006/relationships/hyperlink" Target="http://zulily.com" TargetMode="External"/><Relationship Id="rId4345" Type="http://schemas.openxmlformats.org/officeDocument/2006/relationships/hyperlink" Target="https://stability.ai/" TargetMode="External"/><Relationship Id="rId487" Type="http://schemas.openxmlformats.org/officeDocument/2006/relationships/hyperlink" Target="http://getelucify.com" TargetMode="External"/><Relationship Id="rId3013" Type="http://schemas.openxmlformats.org/officeDocument/2006/relationships/hyperlink" Target="http://yellow3d.com" TargetMode="External"/><Relationship Id="rId4344" Type="http://schemas.openxmlformats.org/officeDocument/2006/relationships/hyperlink" Target="https://split.io/" TargetMode="External"/><Relationship Id="rId486" Type="http://schemas.openxmlformats.org/officeDocument/2006/relationships/hyperlink" Target="http://dyte.io" TargetMode="External"/><Relationship Id="rId3016" Type="http://schemas.openxmlformats.org/officeDocument/2006/relationships/hyperlink" Target="http://getzuma.com" TargetMode="External"/><Relationship Id="rId4347" Type="http://schemas.openxmlformats.org/officeDocument/2006/relationships/hyperlink" Target="https://standard-robots.com/" TargetMode="External"/><Relationship Id="rId485" Type="http://schemas.openxmlformats.org/officeDocument/2006/relationships/hyperlink" Target="http://elementary-data.com" TargetMode="External"/><Relationship Id="rId3015" Type="http://schemas.openxmlformats.org/officeDocument/2006/relationships/hyperlink" Target="http://yieldguild.io" TargetMode="External"/><Relationship Id="rId4346" Type="http://schemas.openxmlformats.org/officeDocument/2006/relationships/hyperlink" Target="https://stablemoney.in/" TargetMode="External"/><Relationship Id="rId3007" Type="http://schemas.openxmlformats.org/officeDocument/2006/relationships/hyperlink" Target="http://zenefits.com" TargetMode="External"/><Relationship Id="rId4338" Type="http://schemas.openxmlformats.org/officeDocument/2006/relationships/hyperlink" Target="https://soba.xyz/" TargetMode="External"/><Relationship Id="rId3006" Type="http://schemas.openxmlformats.org/officeDocument/2006/relationships/hyperlink" Target="http://wrapbook.com" TargetMode="External"/><Relationship Id="rId4337" Type="http://schemas.openxmlformats.org/officeDocument/2006/relationships/hyperlink" Target="https://snaproute.com/" TargetMode="External"/><Relationship Id="rId3009" Type="http://schemas.openxmlformats.org/officeDocument/2006/relationships/hyperlink" Target="http://zeromark.com" TargetMode="External"/><Relationship Id="rId3008" Type="http://schemas.openxmlformats.org/officeDocument/2006/relationships/hyperlink" Target="http://x.ai" TargetMode="External"/><Relationship Id="rId4339" Type="http://schemas.openxmlformats.org/officeDocument/2006/relationships/hyperlink" Target="https://sodahealth.com/" TargetMode="External"/><Relationship Id="rId480" Type="http://schemas.openxmlformats.org/officeDocument/2006/relationships/hyperlink" Target="http://duffel.com" TargetMode="External"/><Relationship Id="rId479" Type="http://schemas.openxmlformats.org/officeDocument/2006/relationships/hyperlink" Target="http://easypost.com" TargetMode="External"/><Relationship Id="rId478" Type="http://schemas.openxmlformats.org/officeDocument/2006/relationships/hyperlink" Target="http://draftbit.com" TargetMode="External"/><Relationship Id="rId473" Type="http://schemas.openxmlformats.org/officeDocument/2006/relationships/hyperlink" Target="http://dyte.io" TargetMode="External"/><Relationship Id="rId4330" Type="http://schemas.openxmlformats.org/officeDocument/2006/relationships/hyperlink" Target="https://shoedazzle.com/" TargetMode="External"/><Relationship Id="rId472" Type="http://schemas.openxmlformats.org/officeDocument/2006/relationships/hyperlink" Target="http://doppler.com" TargetMode="External"/><Relationship Id="rId471" Type="http://schemas.openxmlformats.org/officeDocument/2006/relationships/hyperlink" Target="http://dyspatch.io" TargetMode="External"/><Relationship Id="rId3001" Type="http://schemas.openxmlformats.org/officeDocument/2006/relationships/hyperlink" Target="http://zleague.gg" TargetMode="External"/><Relationship Id="rId4332" Type="http://schemas.openxmlformats.org/officeDocument/2006/relationships/hyperlink" Target="https://sycamorenet.com/" TargetMode="External"/><Relationship Id="rId470" Type="http://schemas.openxmlformats.org/officeDocument/2006/relationships/hyperlink" Target="http://dojah.io" TargetMode="External"/><Relationship Id="rId3000" Type="http://schemas.openxmlformats.org/officeDocument/2006/relationships/hyperlink" Target="http://workrise.com" TargetMode="External"/><Relationship Id="rId4331" Type="http://schemas.openxmlformats.org/officeDocument/2006/relationships/hyperlink" Target="https://shortwave.com/" TargetMode="External"/><Relationship Id="rId477" Type="http://schemas.openxmlformats.org/officeDocument/2006/relationships/hyperlink" Target="http://easol.com" TargetMode="External"/><Relationship Id="rId3003" Type="http://schemas.openxmlformats.org/officeDocument/2006/relationships/hyperlink" Target="http://vhslab.com" TargetMode="External"/><Relationship Id="rId4334" Type="http://schemas.openxmlformats.org/officeDocument/2006/relationships/hyperlink" Target="https://skyfire.com/" TargetMode="External"/><Relationship Id="rId476" Type="http://schemas.openxmlformats.org/officeDocument/2006/relationships/hyperlink" Target="http://draftwise.com" TargetMode="External"/><Relationship Id="rId3002" Type="http://schemas.openxmlformats.org/officeDocument/2006/relationships/hyperlink" Target="http://worldlabs.ai" TargetMode="External"/><Relationship Id="rId4333" Type="http://schemas.openxmlformats.org/officeDocument/2006/relationships/hyperlink" Target="https://skild.com/" TargetMode="External"/><Relationship Id="rId475" Type="http://schemas.openxmlformats.org/officeDocument/2006/relationships/hyperlink" Target="http://earbits.com" TargetMode="External"/><Relationship Id="rId3005" Type="http://schemas.openxmlformats.org/officeDocument/2006/relationships/hyperlink" Target="http://linera.io" TargetMode="External"/><Relationship Id="rId4336" Type="http://schemas.openxmlformats.org/officeDocument/2006/relationships/hyperlink" Target="https://smartex.ai/" TargetMode="External"/><Relationship Id="rId474" Type="http://schemas.openxmlformats.org/officeDocument/2006/relationships/hyperlink" Target="http://doublerobotics.com" TargetMode="External"/><Relationship Id="rId3004" Type="http://schemas.openxmlformats.org/officeDocument/2006/relationships/hyperlink" Target="http://worldcoin.org" TargetMode="External"/><Relationship Id="rId4335" Type="http://schemas.openxmlformats.org/officeDocument/2006/relationships/hyperlink" Target="https://slice.com/" TargetMode="External"/><Relationship Id="rId1257" Type="http://schemas.openxmlformats.org/officeDocument/2006/relationships/hyperlink" Target="http://collibra.com" TargetMode="External"/><Relationship Id="rId2588" Type="http://schemas.openxmlformats.org/officeDocument/2006/relationships/hyperlink" Target="http://onemoregame.com" TargetMode="External"/><Relationship Id="rId1258" Type="http://schemas.openxmlformats.org/officeDocument/2006/relationships/hyperlink" Target="http://loop.com" TargetMode="External"/><Relationship Id="rId2589" Type="http://schemas.openxmlformats.org/officeDocument/2006/relationships/hyperlink" Target="http://orderful.com" TargetMode="External"/><Relationship Id="rId1259" Type="http://schemas.openxmlformats.org/officeDocument/2006/relationships/hyperlink" Target="http://complyadvantage.com" TargetMode="External"/><Relationship Id="rId426" Type="http://schemas.openxmlformats.org/officeDocument/2006/relationships/hyperlink" Target="http://dagger.io" TargetMode="External"/><Relationship Id="rId425" Type="http://schemas.openxmlformats.org/officeDocument/2006/relationships/hyperlink" Target="http://dataform.co" TargetMode="External"/><Relationship Id="rId424" Type="http://schemas.openxmlformats.org/officeDocument/2006/relationships/hyperlink" Target="http://d-id.com" TargetMode="External"/><Relationship Id="rId423" Type="http://schemas.openxmlformats.org/officeDocument/2006/relationships/hyperlink" Target="http://datafold.com" TargetMode="External"/><Relationship Id="rId429" Type="http://schemas.openxmlformats.org/officeDocument/2006/relationships/hyperlink" Target="http://datarank.com" TargetMode="External"/><Relationship Id="rId428" Type="http://schemas.openxmlformats.org/officeDocument/2006/relationships/hyperlink" Target="http://daily.co" TargetMode="External"/><Relationship Id="rId427" Type="http://schemas.openxmlformats.org/officeDocument/2006/relationships/hyperlink" Target="http://dataherald.com" TargetMode="External"/><Relationship Id="rId2580" Type="http://schemas.openxmlformats.org/officeDocument/2006/relationships/hyperlink" Target="http://optimism.io" TargetMode="External"/><Relationship Id="rId1250" Type="http://schemas.openxmlformats.org/officeDocument/2006/relationships/hyperlink" Target="http://evervault.com" TargetMode="External"/><Relationship Id="rId2581" Type="http://schemas.openxmlformats.org/officeDocument/2006/relationships/hyperlink" Target="http://optimizerai.xyz" TargetMode="External"/><Relationship Id="rId1251" Type="http://schemas.openxmlformats.org/officeDocument/2006/relationships/hyperlink" Target="http://behavox.com" TargetMode="External"/><Relationship Id="rId2582" Type="http://schemas.openxmlformats.org/officeDocument/2006/relationships/hyperlink" Target="http://withodyssey.com" TargetMode="External"/><Relationship Id="rId1252" Type="http://schemas.openxmlformats.org/officeDocument/2006/relationships/hyperlink" Target="http://fonoa.com" TargetMode="External"/><Relationship Id="rId2583" Type="http://schemas.openxmlformats.org/officeDocument/2006/relationships/hyperlink" Target="http://odysseyinteractive.gg" TargetMode="External"/><Relationship Id="rId422" Type="http://schemas.openxmlformats.org/officeDocument/2006/relationships/hyperlink" Target="http://cypherhq.io" TargetMode="External"/><Relationship Id="rId1253" Type="http://schemas.openxmlformats.org/officeDocument/2006/relationships/hyperlink" Target="http://brightgo.com" TargetMode="External"/><Relationship Id="rId2584" Type="http://schemas.openxmlformats.org/officeDocument/2006/relationships/hyperlink" Target="http://orbitaltx.com" TargetMode="External"/><Relationship Id="rId421" Type="http://schemas.openxmlformats.org/officeDocument/2006/relationships/hyperlink" Target="http://datamechanics.co" TargetMode="External"/><Relationship Id="rId1254" Type="http://schemas.openxmlformats.org/officeDocument/2006/relationships/hyperlink" Target="http://instabase.com" TargetMode="External"/><Relationship Id="rId2585" Type="http://schemas.openxmlformats.org/officeDocument/2006/relationships/hyperlink" Target="http://offerup.com" TargetMode="External"/><Relationship Id="rId420" Type="http://schemas.openxmlformats.org/officeDocument/2006/relationships/hyperlink" Target="http://cymmetria.com" TargetMode="External"/><Relationship Id="rId1255" Type="http://schemas.openxmlformats.org/officeDocument/2006/relationships/hyperlink" Target="http://coalitioninc.com" TargetMode="External"/><Relationship Id="rId2586" Type="http://schemas.openxmlformats.org/officeDocument/2006/relationships/hyperlink" Target="http://omadahealth.com" TargetMode="External"/><Relationship Id="rId1256" Type="http://schemas.openxmlformats.org/officeDocument/2006/relationships/hyperlink" Target="http://lookout.com" TargetMode="External"/><Relationship Id="rId2587" Type="http://schemas.openxmlformats.org/officeDocument/2006/relationships/hyperlink" Target="http://orchid.com" TargetMode="External"/><Relationship Id="rId1246" Type="http://schemas.openxmlformats.org/officeDocument/2006/relationships/hyperlink" Target="http://cultureamp.com" TargetMode="External"/><Relationship Id="rId2577" Type="http://schemas.openxmlformats.org/officeDocument/2006/relationships/hyperlink" Target="http://nymtech.net" TargetMode="External"/><Relationship Id="rId1247" Type="http://schemas.openxmlformats.org/officeDocument/2006/relationships/hyperlink" Target="http://adaptive-ml.com" TargetMode="External"/><Relationship Id="rId2578" Type="http://schemas.openxmlformats.org/officeDocument/2006/relationships/hyperlink" Target="http://opensea.io" TargetMode="External"/><Relationship Id="rId1248" Type="http://schemas.openxmlformats.org/officeDocument/2006/relationships/hyperlink" Target="http://edited.com" TargetMode="External"/><Relationship Id="rId2579" Type="http://schemas.openxmlformats.org/officeDocument/2006/relationships/hyperlink" Target="http://oasislabs.com" TargetMode="External"/><Relationship Id="rId1249" Type="http://schemas.openxmlformats.org/officeDocument/2006/relationships/hyperlink" Target="http://applyboard.com" TargetMode="External"/><Relationship Id="rId415" Type="http://schemas.openxmlformats.org/officeDocument/2006/relationships/hyperlink" Target="http://daily.co" TargetMode="External"/><Relationship Id="rId414" Type="http://schemas.openxmlformats.org/officeDocument/2006/relationships/hyperlink" Target="http://customeros.ai" TargetMode="External"/><Relationship Id="rId413" Type="http://schemas.openxmlformats.org/officeDocument/2006/relationships/hyperlink" Target="http://dagger.io" TargetMode="External"/><Relationship Id="rId412" Type="http://schemas.openxmlformats.org/officeDocument/2006/relationships/hyperlink" Target="http://cuboh.com" TargetMode="External"/><Relationship Id="rId419" Type="http://schemas.openxmlformats.org/officeDocument/2006/relationships/hyperlink" Target="http://datanitro.com" TargetMode="External"/><Relationship Id="rId418" Type="http://schemas.openxmlformats.org/officeDocument/2006/relationships/hyperlink" Target="http://custora.com" TargetMode="External"/><Relationship Id="rId417" Type="http://schemas.openxmlformats.org/officeDocument/2006/relationships/hyperlink" Target="http://darrow.ai" TargetMode="External"/><Relationship Id="rId416" Type="http://schemas.openxmlformats.org/officeDocument/2006/relationships/hyperlink" Target="http://customily.com" TargetMode="External"/><Relationship Id="rId2570" Type="http://schemas.openxmlformats.org/officeDocument/2006/relationships/hyperlink" Target="http://nodgames.com" TargetMode="External"/><Relationship Id="rId1240" Type="http://schemas.openxmlformats.org/officeDocument/2006/relationships/hyperlink" Target="http://personio.com" TargetMode="External"/><Relationship Id="rId2571" Type="http://schemas.openxmlformats.org/officeDocument/2006/relationships/hyperlink" Target="http://opensouls.org" TargetMode="External"/><Relationship Id="rId1241" Type="http://schemas.openxmlformats.org/officeDocument/2006/relationships/hyperlink" Target="http://complyadvantage.com" TargetMode="External"/><Relationship Id="rId2572" Type="http://schemas.openxmlformats.org/officeDocument/2006/relationships/hyperlink" Target="http://northwoodspace.io" TargetMode="External"/><Relationship Id="rId411" Type="http://schemas.openxmlformats.org/officeDocument/2006/relationships/hyperlink" Target="http://d-id.com" TargetMode="External"/><Relationship Id="rId1242" Type="http://schemas.openxmlformats.org/officeDocument/2006/relationships/hyperlink" Target="http://servicetitan.com" TargetMode="External"/><Relationship Id="rId2573" Type="http://schemas.openxmlformats.org/officeDocument/2006/relationships/hyperlink" Target="http://openai.com" TargetMode="External"/><Relationship Id="rId410" Type="http://schemas.openxmlformats.org/officeDocument/2006/relationships/hyperlink" Target="http://crowdai.com" TargetMode="External"/><Relationship Id="rId1243" Type="http://schemas.openxmlformats.org/officeDocument/2006/relationships/hyperlink" Target="http://covariant.ai" TargetMode="External"/><Relationship Id="rId2574" Type="http://schemas.openxmlformats.org/officeDocument/2006/relationships/hyperlink" Target="http://nova.xyz" TargetMode="External"/><Relationship Id="rId1244" Type="http://schemas.openxmlformats.org/officeDocument/2006/relationships/hyperlink" Target="http://transcend.io" TargetMode="External"/><Relationship Id="rId2575" Type="http://schemas.openxmlformats.org/officeDocument/2006/relationships/hyperlink" Target="http://openbazaar.org" TargetMode="External"/><Relationship Id="rId1245" Type="http://schemas.openxmlformats.org/officeDocument/2006/relationships/hyperlink" Target="http://abacus.ai" TargetMode="External"/><Relationship Id="rId2576" Type="http://schemas.openxmlformats.org/officeDocument/2006/relationships/hyperlink" Target="http://opengov.com" TargetMode="External"/><Relationship Id="rId1279" Type="http://schemas.openxmlformats.org/officeDocument/2006/relationships/hyperlink" Target="http://scale.com" TargetMode="External"/><Relationship Id="rId4305" Type="http://schemas.openxmlformats.org/officeDocument/2006/relationships/hyperlink" Target="https://roofstock.com/" TargetMode="External"/><Relationship Id="rId4304" Type="http://schemas.openxmlformats.org/officeDocument/2006/relationships/hyperlink" Target="https://roofstock.com/" TargetMode="External"/><Relationship Id="rId4307" Type="http://schemas.openxmlformats.org/officeDocument/2006/relationships/hyperlink" Target="https://runway.com/" TargetMode="External"/><Relationship Id="rId4306" Type="http://schemas.openxmlformats.org/officeDocument/2006/relationships/hyperlink" Target="https://rothys.com/" TargetMode="External"/><Relationship Id="rId4309" Type="http://schemas.openxmlformats.org/officeDocument/2006/relationships/hyperlink" Target="https://salto.io/" TargetMode="External"/><Relationship Id="rId4308" Type="http://schemas.openxmlformats.org/officeDocument/2006/relationships/hyperlink" Target="https://sailpoint.com/" TargetMode="External"/><Relationship Id="rId448" Type="http://schemas.openxmlformats.org/officeDocument/2006/relationships/hyperlink" Target="http://depict.ai" TargetMode="External"/><Relationship Id="rId447" Type="http://schemas.openxmlformats.org/officeDocument/2006/relationships/hyperlink" Target="http://datree.io" TargetMode="External"/><Relationship Id="rId446" Type="http://schemas.openxmlformats.org/officeDocument/2006/relationships/hyperlink" Target="http://demandsphere.com" TargetMode="External"/><Relationship Id="rId445" Type="http://schemas.openxmlformats.org/officeDocument/2006/relationships/hyperlink" Target="http://datlo.com" TargetMode="External"/><Relationship Id="rId449" Type="http://schemas.openxmlformats.org/officeDocument/2006/relationships/hyperlink" Target="http://dealls.com" TargetMode="External"/><Relationship Id="rId1270" Type="http://schemas.openxmlformats.org/officeDocument/2006/relationships/hyperlink" Target="http://fonoa.com" TargetMode="External"/><Relationship Id="rId440" Type="http://schemas.openxmlformats.org/officeDocument/2006/relationships/hyperlink" Target="http://joindeed.com" TargetMode="External"/><Relationship Id="rId1271" Type="http://schemas.openxmlformats.org/officeDocument/2006/relationships/hyperlink" Target="http://quantive.com" TargetMode="External"/><Relationship Id="rId1272" Type="http://schemas.openxmlformats.org/officeDocument/2006/relationships/hyperlink" Target="http://instabase.com" TargetMode="External"/><Relationship Id="rId1273" Type="http://schemas.openxmlformats.org/officeDocument/2006/relationships/hyperlink" Target="http://readyset.io" TargetMode="External"/><Relationship Id="rId1274" Type="http://schemas.openxmlformats.org/officeDocument/2006/relationships/hyperlink" Target="http://lookout.com" TargetMode="External"/><Relationship Id="rId444" Type="http://schemas.openxmlformats.org/officeDocument/2006/relationships/hyperlink" Target="http://delineate.pro" TargetMode="External"/><Relationship Id="rId1275" Type="http://schemas.openxmlformats.org/officeDocument/2006/relationships/hyperlink" Target="http://remote.com" TargetMode="External"/><Relationship Id="rId4301" Type="http://schemas.openxmlformats.org/officeDocument/2006/relationships/hyperlink" Target="https://rippling.com/" TargetMode="External"/><Relationship Id="rId443" Type="http://schemas.openxmlformats.org/officeDocument/2006/relationships/hyperlink" Target="http://datasaur.ai" TargetMode="External"/><Relationship Id="rId1276" Type="http://schemas.openxmlformats.org/officeDocument/2006/relationships/hyperlink" Target="http://loop.com" TargetMode="External"/><Relationship Id="rId4300" Type="http://schemas.openxmlformats.org/officeDocument/2006/relationships/hyperlink" Target="https://ripple.com/" TargetMode="External"/><Relationship Id="rId442" Type="http://schemas.openxmlformats.org/officeDocument/2006/relationships/hyperlink" Target="http://deepsource.com" TargetMode="External"/><Relationship Id="rId1277" Type="http://schemas.openxmlformats.org/officeDocument/2006/relationships/hyperlink" Target="http://revenuecat.com" TargetMode="External"/><Relationship Id="rId4303" Type="http://schemas.openxmlformats.org/officeDocument/2006/relationships/hyperlink" Target="https://robco.de/" TargetMode="External"/><Relationship Id="rId441" Type="http://schemas.openxmlformats.org/officeDocument/2006/relationships/hyperlink" Target="http://datarank.com" TargetMode="External"/><Relationship Id="rId1278" Type="http://schemas.openxmlformats.org/officeDocument/2006/relationships/hyperlink" Target="http://keeptruckin.com" TargetMode="External"/><Relationship Id="rId4302" Type="http://schemas.openxmlformats.org/officeDocument/2006/relationships/hyperlink" Target="https://riverbed.com/" TargetMode="External"/><Relationship Id="rId1268" Type="http://schemas.openxmlformats.org/officeDocument/2006/relationships/hyperlink" Target="http://evervault.com" TargetMode="External"/><Relationship Id="rId2599" Type="http://schemas.openxmlformats.org/officeDocument/2006/relationships/hyperlink" Target="http://pahdolabs.com" TargetMode="External"/><Relationship Id="rId1269" Type="http://schemas.openxmlformats.org/officeDocument/2006/relationships/hyperlink" Target="http://productboard.com" TargetMode="External"/><Relationship Id="rId437" Type="http://schemas.openxmlformats.org/officeDocument/2006/relationships/hyperlink" Target="http://dealls.com" TargetMode="External"/><Relationship Id="rId436" Type="http://schemas.openxmlformats.org/officeDocument/2006/relationships/hyperlink" Target="http://datafold.com" TargetMode="External"/><Relationship Id="rId435" Type="http://schemas.openxmlformats.org/officeDocument/2006/relationships/hyperlink" Target="http://datree.io" TargetMode="External"/><Relationship Id="rId434" Type="http://schemas.openxmlformats.org/officeDocument/2006/relationships/hyperlink" Target="http://datamechanics.co" TargetMode="External"/><Relationship Id="rId439" Type="http://schemas.openxmlformats.org/officeDocument/2006/relationships/hyperlink" Target="http://dataherald.com" TargetMode="External"/><Relationship Id="rId438" Type="http://schemas.openxmlformats.org/officeDocument/2006/relationships/hyperlink" Target="http://dataform.co" TargetMode="External"/><Relationship Id="rId2590" Type="http://schemas.openxmlformats.org/officeDocument/2006/relationships/hyperlink" Target="http://opensouls.org" TargetMode="External"/><Relationship Id="rId1260" Type="http://schemas.openxmlformats.org/officeDocument/2006/relationships/hyperlink" Target="http://keeptruckin.com" TargetMode="External"/><Relationship Id="rId2591" Type="http://schemas.openxmlformats.org/officeDocument/2006/relationships/hyperlink" Target="http://originalgames.io" TargetMode="External"/><Relationship Id="rId1261" Type="http://schemas.openxmlformats.org/officeDocument/2006/relationships/hyperlink" Target="http://covariant.ai" TargetMode="External"/><Relationship Id="rId2592" Type="http://schemas.openxmlformats.org/officeDocument/2006/relationships/hyperlink" Target="http://openai.com" TargetMode="External"/><Relationship Id="rId1262" Type="http://schemas.openxmlformats.org/officeDocument/2006/relationships/hyperlink" Target="http://novus.com" TargetMode="External"/><Relationship Id="rId2593" Type="http://schemas.openxmlformats.org/officeDocument/2006/relationships/hyperlink" Target="http://joinouting.com" TargetMode="External"/><Relationship Id="rId1263" Type="http://schemas.openxmlformats.org/officeDocument/2006/relationships/hyperlink" Target="http://pentaho.com" TargetMode="External"/><Relationship Id="rId2594" Type="http://schemas.openxmlformats.org/officeDocument/2006/relationships/hyperlink" Target="http://openbazaar.org" TargetMode="External"/><Relationship Id="rId433" Type="http://schemas.openxmlformats.org/officeDocument/2006/relationships/hyperlink" Target="http://datlo.com" TargetMode="External"/><Relationship Id="rId1264" Type="http://schemas.openxmlformats.org/officeDocument/2006/relationships/hyperlink" Target="http://cultureamp.com" TargetMode="External"/><Relationship Id="rId2595" Type="http://schemas.openxmlformats.org/officeDocument/2006/relationships/hyperlink" Target="http://overtime.tv" TargetMode="External"/><Relationship Id="rId432" Type="http://schemas.openxmlformats.org/officeDocument/2006/relationships/hyperlink" Target="http://datanitro.com" TargetMode="External"/><Relationship Id="rId1265" Type="http://schemas.openxmlformats.org/officeDocument/2006/relationships/hyperlink" Target="http://pitch.com" TargetMode="External"/><Relationship Id="rId2596" Type="http://schemas.openxmlformats.org/officeDocument/2006/relationships/hyperlink" Target="http://opengov.com" TargetMode="External"/><Relationship Id="rId431" Type="http://schemas.openxmlformats.org/officeDocument/2006/relationships/hyperlink" Target="http://datasaur.ai" TargetMode="External"/><Relationship Id="rId1266" Type="http://schemas.openxmlformats.org/officeDocument/2006/relationships/hyperlink" Target="http://edited.com" TargetMode="External"/><Relationship Id="rId2597" Type="http://schemas.openxmlformats.org/officeDocument/2006/relationships/hyperlink" Target="http://overwolf.com" TargetMode="External"/><Relationship Id="rId430" Type="http://schemas.openxmlformats.org/officeDocument/2006/relationships/hyperlink" Target="http://darrow.ai" TargetMode="External"/><Relationship Id="rId1267" Type="http://schemas.openxmlformats.org/officeDocument/2006/relationships/hyperlink" Target="http://pomelo.la" TargetMode="External"/><Relationship Id="rId2598" Type="http://schemas.openxmlformats.org/officeDocument/2006/relationships/hyperlink" Target="http://opensea.io" TargetMode="External"/><Relationship Id="rId3070" Type="http://schemas.openxmlformats.org/officeDocument/2006/relationships/hyperlink" Target="http://berkshiregrey.com" TargetMode="External"/><Relationship Id="rId3072" Type="http://schemas.openxmlformats.org/officeDocument/2006/relationships/hyperlink" Target="http://nomagic.ai" TargetMode="External"/><Relationship Id="rId3071" Type="http://schemas.openxmlformats.org/officeDocument/2006/relationships/hyperlink" Target="http://lexion.ai" TargetMode="External"/><Relationship Id="rId3074" Type="http://schemas.openxmlformats.org/officeDocument/2006/relationships/hyperlink" Target="http://symbolica.ai" TargetMode="External"/><Relationship Id="rId3073" Type="http://schemas.openxmlformats.org/officeDocument/2006/relationships/hyperlink" Target="http://guardanthealth.com" TargetMode="External"/><Relationship Id="rId3076" Type="http://schemas.openxmlformats.org/officeDocument/2006/relationships/hyperlink" Target="http://bluerivertechnology.com" TargetMode="External"/><Relationship Id="rId3075" Type="http://schemas.openxmlformats.org/officeDocument/2006/relationships/hyperlink" Target="http://siphox.com" TargetMode="External"/><Relationship Id="rId3078" Type="http://schemas.openxmlformats.org/officeDocument/2006/relationships/hyperlink" Target="http://redoxblox.com" TargetMode="External"/><Relationship Id="rId3077" Type="http://schemas.openxmlformats.org/officeDocument/2006/relationships/hyperlink" Target="http://doordash.com" TargetMode="External"/><Relationship Id="rId3079" Type="http://schemas.openxmlformats.org/officeDocument/2006/relationships/hyperlink" Target="http://playback.tv" TargetMode="External"/><Relationship Id="rId4390" Type="http://schemas.openxmlformats.org/officeDocument/2006/relationships/hyperlink" Target="https://tripledotstudios.com/" TargetMode="External"/><Relationship Id="rId3061" Type="http://schemas.openxmlformats.org/officeDocument/2006/relationships/hyperlink" Target="http://opentrons.com" TargetMode="External"/><Relationship Id="rId4392" Type="http://schemas.openxmlformats.org/officeDocument/2006/relationships/hyperlink" Target="https://tutorvista.com/" TargetMode="External"/><Relationship Id="rId3060" Type="http://schemas.openxmlformats.org/officeDocument/2006/relationships/hyperlink" Target="http://parallel.ai" TargetMode="External"/><Relationship Id="rId4391" Type="http://schemas.openxmlformats.org/officeDocument/2006/relationships/hyperlink" Target="https://trust.co/" TargetMode="External"/><Relationship Id="rId3063" Type="http://schemas.openxmlformats.org/officeDocument/2006/relationships/hyperlink" Target="http://pearlbio.com" TargetMode="External"/><Relationship Id="rId4394" Type="http://schemas.openxmlformats.org/officeDocument/2006/relationships/hyperlink" Target="https://landing.ula.app/en/" TargetMode="External"/><Relationship Id="rId3062" Type="http://schemas.openxmlformats.org/officeDocument/2006/relationships/hyperlink" Target="http://ringcentral.com" TargetMode="External"/><Relationship Id="rId4393" Type="http://schemas.openxmlformats.org/officeDocument/2006/relationships/hyperlink" Target="https://udaan.com/" TargetMode="External"/><Relationship Id="rId3065" Type="http://schemas.openxmlformats.org/officeDocument/2006/relationships/hyperlink" Target="http://zordi.com" TargetMode="External"/><Relationship Id="rId4396" Type="http://schemas.openxmlformats.org/officeDocument/2006/relationships/hyperlink" Target="https://uniteddwelling.com/" TargetMode="External"/><Relationship Id="rId3064" Type="http://schemas.openxmlformats.org/officeDocument/2006/relationships/hyperlink" Target="http://rubrik.com" TargetMode="External"/><Relationship Id="rId4395" Type="http://schemas.openxmlformats.org/officeDocument/2006/relationships/hyperlink" Target="https://uni.club/" TargetMode="External"/><Relationship Id="rId3067" Type="http://schemas.openxmlformats.org/officeDocument/2006/relationships/hyperlink" Target="http://nitricity.co" TargetMode="External"/><Relationship Id="rId4398" Type="http://schemas.openxmlformats.org/officeDocument/2006/relationships/hyperlink" Target="https://varada.io/" TargetMode="External"/><Relationship Id="rId3066" Type="http://schemas.openxmlformats.org/officeDocument/2006/relationships/hyperlink" Target="http://skyflow.com" TargetMode="External"/><Relationship Id="rId4397" Type="http://schemas.openxmlformats.org/officeDocument/2006/relationships/hyperlink" Target="https://unstract.com/" TargetMode="External"/><Relationship Id="rId3069" Type="http://schemas.openxmlformats.org/officeDocument/2006/relationships/hyperlink" Target="http://arkifi.ai" TargetMode="External"/><Relationship Id="rId3068" Type="http://schemas.openxmlformats.org/officeDocument/2006/relationships/hyperlink" Target="http://roofstock.com" TargetMode="External"/><Relationship Id="rId4399" Type="http://schemas.openxmlformats.org/officeDocument/2006/relationships/hyperlink" Target="https://varagesale.com/" TargetMode="External"/><Relationship Id="rId3090" Type="http://schemas.openxmlformats.org/officeDocument/2006/relationships/hyperlink" Target="http://nitricity.co" TargetMode="External"/><Relationship Id="rId3092" Type="http://schemas.openxmlformats.org/officeDocument/2006/relationships/hyperlink" Target="http://arkifi.ai" TargetMode="External"/><Relationship Id="rId3091" Type="http://schemas.openxmlformats.org/officeDocument/2006/relationships/hyperlink" Target="http://analog-inference.com" TargetMode="External"/><Relationship Id="rId3094" Type="http://schemas.openxmlformats.org/officeDocument/2006/relationships/hyperlink" Target="http://lexion.ai" TargetMode="External"/><Relationship Id="rId3093" Type="http://schemas.openxmlformats.org/officeDocument/2006/relationships/hyperlink" Target="http://vayurobotics.com" TargetMode="External"/><Relationship Id="rId3096" Type="http://schemas.openxmlformats.org/officeDocument/2006/relationships/hyperlink" Target="http://guardanthealth.com" TargetMode="External"/><Relationship Id="rId3095" Type="http://schemas.openxmlformats.org/officeDocument/2006/relationships/hyperlink" Target="http://li-ind.com" TargetMode="External"/><Relationship Id="rId3098" Type="http://schemas.openxmlformats.org/officeDocument/2006/relationships/hyperlink" Target="http://helloheart.com" TargetMode="External"/><Relationship Id="rId3097" Type="http://schemas.openxmlformats.org/officeDocument/2006/relationships/hyperlink" Target="http://siphox.com" TargetMode="External"/><Relationship Id="rId3099" Type="http://schemas.openxmlformats.org/officeDocument/2006/relationships/hyperlink" Target="http://doordash.com" TargetMode="External"/><Relationship Id="rId3081" Type="http://schemas.openxmlformats.org/officeDocument/2006/relationships/hyperlink" Target="http://replika.ai" TargetMode="External"/><Relationship Id="rId3080" Type="http://schemas.openxmlformats.org/officeDocument/2006/relationships/hyperlink" Target="http://limbic.ai" TargetMode="External"/><Relationship Id="rId3083" Type="http://schemas.openxmlformats.org/officeDocument/2006/relationships/hyperlink" Target="http://athena.com" TargetMode="External"/><Relationship Id="rId3082" Type="http://schemas.openxmlformats.org/officeDocument/2006/relationships/hyperlink" Target="http://vista.ai" TargetMode="External"/><Relationship Id="rId3085" Type="http://schemas.openxmlformats.org/officeDocument/2006/relationships/hyperlink" Target="http://chipstack.ai" TargetMode="External"/><Relationship Id="rId3084" Type="http://schemas.openxmlformats.org/officeDocument/2006/relationships/hyperlink" Target="http://opentrons.com" TargetMode="External"/><Relationship Id="rId3087" Type="http://schemas.openxmlformats.org/officeDocument/2006/relationships/hyperlink" Target="http://loft.sh" TargetMode="External"/><Relationship Id="rId3086" Type="http://schemas.openxmlformats.org/officeDocument/2006/relationships/hyperlink" Target="http://pearlbio.com" TargetMode="External"/><Relationship Id="rId3089" Type="http://schemas.openxmlformats.org/officeDocument/2006/relationships/hyperlink" Target="http://fundbox.com" TargetMode="External"/><Relationship Id="rId3088" Type="http://schemas.openxmlformats.org/officeDocument/2006/relationships/hyperlink" Target="http://zordi.com" TargetMode="External"/><Relationship Id="rId3039" Type="http://schemas.openxmlformats.org/officeDocument/2006/relationships/hyperlink" Target="http://zushealth.com" TargetMode="External"/><Relationship Id="rId1" Type="http://schemas.openxmlformats.org/officeDocument/2006/relationships/hyperlink" Target="http://vapi.ai" TargetMode="External"/><Relationship Id="rId2" Type="http://schemas.openxmlformats.org/officeDocument/2006/relationships/hyperlink" Target="http://vapi.ai" TargetMode="External"/><Relationship Id="rId3" Type="http://schemas.openxmlformats.org/officeDocument/2006/relationships/hyperlink" Target="http://fieldproxy.com" TargetMode="External"/><Relationship Id="rId4" Type="http://schemas.openxmlformats.org/officeDocument/2006/relationships/hyperlink" Target="http://fieldproxy.com" TargetMode="External"/><Relationship Id="rId3030" Type="http://schemas.openxmlformats.org/officeDocument/2006/relationships/hyperlink" Target="http://zeromark.com" TargetMode="External"/><Relationship Id="rId4361" Type="http://schemas.openxmlformats.org/officeDocument/2006/relationships/hyperlink" Target="https://synctera.com/" TargetMode="External"/><Relationship Id="rId4360" Type="http://schemas.openxmlformats.org/officeDocument/2006/relationships/hyperlink" Target="https://gosupercritical.com/" TargetMode="External"/><Relationship Id="rId9" Type="http://schemas.openxmlformats.org/officeDocument/2006/relationships/hyperlink" Target="http://writesonic.com" TargetMode="External"/><Relationship Id="rId3032" Type="http://schemas.openxmlformats.org/officeDocument/2006/relationships/hyperlink" Target="http://effects.zibra.ai" TargetMode="External"/><Relationship Id="rId4363" Type="http://schemas.openxmlformats.org/officeDocument/2006/relationships/hyperlink" Target="https://tabs.inc/" TargetMode="External"/><Relationship Id="rId3031" Type="http://schemas.openxmlformats.org/officeDocument/2006/relationships/hyperlink" Target="http://astrus.ai" TargetMode="External"/><Relationship Id="rId4362" Type="http://schemas.openxmlformats.org/officeDocument/2006/relationships/hyperlink" Target="https://table22.com/" TargetMode="External"/><Relationship Id="rId3034" Type="http://schemas.openxmlformats.org/officeDocument/2006/relationships/hyperlink" Target="http://flyzipline.com" TargetMode="External"/><Relationship Id="rId4365" Type="http://schemas.openxmlformats.org/officeDocument/2006/relationships/hyperlink" Target="https://tana.inc/" TargetMode="External"/><Relationship Id="rId3033" Type="http://schemas.openxmlformats.org/officeDocument/2006/relationships/hyperlink" Target="http://cognition.ai" TargetMode="External"/><Relationship Id="rId4364" Type="http://schemas.openxmlformats.org/officeDocument/2006/relationships/hyperlink" Target="https://talon-sec.com/" TargetMode="External"/><Relationship Id="rId5" Type="http://schemas.openxmlformats.org/officeDocument/2006/relationships/hyperlink" Target="http://mozartdata.com" TargetMode="External"/><Relationship Id="rId3036" Type="http://schemas.openxmlformats.org/officeDocument/2006/relationships/hyperlink" Target="http://zulily.com" TargetMode="External"/><Relationship Id="rId4367" Type="http://schemas.openxmlformats.org/officeDocument/2006/relationships/hyperlink" Target="https://teachmint.com/" TargetMode="External"/><Relationship Id="rId6" Type="http://schemas.openxmlformats.org/officeDocument/2006/relationships/hyperlink" Target="http://mozartdata.com" TargetMode="External"/><Relationship Id="rId3035" Type="http://schemas.openxmlformats.org/officeDocument/2006/relationships/hyperlink" Target="http://kognitos.com" TargetMode="External"/><Relationship Id="rId4366" Type="http://schemas.openxmlformats.org/officeDocument/2006/relationships/hyperlink" Target="https://taskrabbit.com/" TargetMode="External"/><Relationship Id="rId7" Type="http://schemas.openxmlformats.org/officeDocument/2006/relationships/hyperlink" Target="http://dailybot.com" TargetMode="External"/><Relationship Id="rId3038" Type="http://schemas.openxmlformats.org/officeDocument/2006/relationships/hyperlink" Target="http://parallel.ai" TargetMode="External"/><Relationship Id="rId4369" Type="http://schemas.openxmlformats.org/officeDocument/2006/relationships/hyperlink" Target="https://telegram.org/" TargetMode="External"/><Relationship Id="rId8" Type="http://schemas.openxmlformats.org/officeDocument/2006/relationships/hyperlink" Target="http://dailybot.com" TargetMode="External"/><Relationship Id="rId3037" Type="http://schemas.openxmlformats.org/officeDocument/2006/relationships/hyperlink" Target="http://getzuma.com" TargetMode="External"/><Relationship Id="rId4368" Type="http://schemas.openxmlformats.org/officeDocument/2006/relationships/hyperlink" Target="https://teads.tv/" TargetMode="External"/><Relationship Id="rId3029" Type="http://schemas.openxmlformats.org/officeDocument/2006/relationships/hyperlink" Target="http://popgun.ai" TargetMode="External"/><Relationship Id="rId3028" Type="http://schemas.openxmlformats.org/officeDocument/2006/relationships/hyperlink" Target="http://zenefits.com" TargetMode="External"/><Relationship Id="rId4359" Type="http://schemas.openxmlformats.org/officeDocument/2006/relationships/hyperlink" Target="https://supabase.com/" TargetMode="External"/><Relationship Id="rId4350" Type="http://schemas.openxmlformats.org/officeDocument/2006/relationships/hyperlink" Target="https://stickies.wtf/" TargetMode="External"/><Relationship Id="rId3021" Type="http://schemas.openxmlformats.org/officeDocument/2006/relationships/hyperlink" Target="http://sketchpro.ai" TargetMode="External"/><Relationship Id="rId4352" Type="http://schemas.openxmlformats.org/officeDocument/2006/relationships/hyperlink" Target="https://streaml.io/" TargetMode="External"/><Relationship Id="rId3020" Type="http://schemas.openxmlformats.org/officeDocument/2006/relationships/hyperlink" Target="http://fireflies.ai" TargetMode="External"/><Relationship Id="rId4351" Type="http://schemas.openxmlformats.org/officeDocument/2006/relationships/hyperlink" Target="https://storicard.com/" TargetMode="External"/><Relationship Id="rId3023" Type="http://schemas.openxmlformats.org/officeDocument/2006/relationships/hyperlink" Target="http://sciphermedicine.com" TargetMode="External"/><Relationship Id="rId4354" Type="http://schemas.openxmlformats.org/officeDocument/2006/relationships/hyperlink" Target="https://styleseat.com/" TargetMode="External"/><Relationship Id="rId3022" Type="http://schemas.openxmlformats.org/officeDocument/2006/relationships/hyperlink" Target="http://zleague.gg" TargetMode="External"/><Relationship Id="rId4353" Type="http://schemas.openxmlformats.org/officeDocument/2006/relationships/hyperlink" Target="https://streamonce.com/" TargetMode="External"/><Relationship Id="rId3025" Type="http://schemas.openxmlformats.org/officeDocument/2006/relationships/hyperlink" Target="http://eightsleep.com" TargetMode="External"/><Relationship Id="rId4356" Type="http://schemas.openxmlformats.org/officeDocument/2006/relationships/hyperlink" Target="https://gosummer.com/" TargetMode="External"/><Relationship Id="rId3024" Type="http://schemas.openxmlformats.org/officeDocument/2006/relationships/hyperlink" Target="http://vhslab.com" TargetMode="External"/><Relationship Id="rId4355" Type="http://schemas.openxmlformats.org/officeDocument/2006/relationships/hyperlink" Target="https://substrate.run/" TargetMode="External"/><Relationship Id="rId3027" Type="http://schemas.openxmlformats.org/officeDocument/2006/relationships/hyperlink" Target="http://honeyhomes.com" TargetMode="External"/><Relationship Id="rId4358" Type="http://schemas.openxmlformats.org/officeDocument/2006/relationships/hyperlink" Target="https://suno.com/" TargetMode="External"/><Relationship Id="rId3026" Type="http://schemas.openxmlformats.org/officeDocument/2006/relationships/hyperlink" Target="http://linera.io" TargetMode="External"/><Relationship Id="rId4357" Type="http://schemas.openxmlformats.org/officeDocument/2006/relationships/hyperlink" Target="https://sunmi.com/" TargetMode="External"/><Relationship Id="rId3050" Type="http://schemas.openxmlformats.org/officeDocument/2006/relationships/hyperlink" Target="http://nomagic.ai" TargetMode="External"/><Relationship Id="rId4381" Type="http://schemas.openxmlformats.org/officeDocument/2006/relationships/hyperlink" Target="https://thunkable.com/" TargetMode="External"/><Relationship Id="rId4380" Type="http://schemas.openxmlformats.org/officeDocument/2006/relationships/hyperlink" Target="https://thetalake.com/" TargetMode="External"/><Relationship Id="rId3052" Type="http://schemas.openxmlformats.org/officeDocument/2006/relationships/hyperlink" Target="http://symbolica.ai" TargetMode="External"/><Relationship Id="rId4383" Type="http://schemas.openxmlformats.org/officeDocument/2006/relationships/hyperlink" Target="https://beta.tome.app/" TargetMode="External"/><Relationship Id="rId3051" Type="http://schemas.openxmlformats.org/officeDocument/2006/relationships/hyperlink" Target="http://popgun.ai" TargetMode="External"/><Relationship Id="rId4382" Type="http://schemas.openxmlformats.org/officeDocument/2006/relationships/hyperlink" Target="https://tollbit.com/" TargetMode="External"/><Relationship Id="rId3054" Type="http://schemas.openxmlformats.org/officeDocument/2006/relationships/hyperlink" Target="http://bluerivertechnology.com" TargetMode="External"/><Relationship Id="rId4385" Type="http://schemas.openxmlformats.org/officeDocument/2006/relationships/hyperlink" Target="https://toonimo.com/" TargetMode="External"/><Relationship Id="rId3053" Type="http://schemas.openxmlformats.org/officeDocument/2006/relationships/hyperlink" Target="http://astrus.ai" TargetMode="External"/><Relationship Id="rId4384" Type="http://schemas.openxmlformats.org/officeDocument/2006/relationships/hyperlink" Target="https://tonkean.com/" TargetMode="External"/><Relationship Id="rId3056" Type="http://schemas.openxmlformats.org/officeDocument/2006/relationships/hyperlink" Target="http://redoxblox.com" TargetMode="External"/><Relationship Id="rId4387" Type="http://schemas.openxmlformats.org/officeDocument/2006/relationships/hyperlink" Target="https://trendsi.com/" TargetMode="External"/><Relationship Id="rId3055" Type="http://schemas.openxmlformats.org/officeDocument/2006/relationships/hyperlink" Target="http://cognition.ai" TargetMode="External"/><Relationship Id="rId4386" Type="http://schemas.openxmlformats.org/officeDocument/2006/relationships/hyperlink" Target="https://tourhero.com/" TargetMode="External"/><Relationship Id="rId3058" Type="http://schemas.openxmlformats.org/officeDocument/2006/relationships/hyperlink" Target="http://limbic.ai" TargetMode="External"/><Relationship Id="rId4389" Type="http://schemas.openxmlformats.org/officeDocument/2006/relationships/hyperlink" Target="https://www.triomics.com/" TargetMode="External"/><Relationship Id="rId3057" Type="http://schemas.openxmlformats.org/officeDocument/2006/relationships/hyperlink" Target="http://kognitos.com" TargetMode="External"/><Relationship Id="rId4388" Type="http://schemas.openxmlformats.org/officeDocument/2006/relationships/hyperlink" Target="https://trianabio.com/" TargetMode="External"/><Relationship Id="rId3059" Type="http://schemas.openxmlformats.org/officeDocument/2006/relationships/hyperlink" Target="http://vista.ai" TargetMode="External"/><Relationship Id="rId4370" Type="http://schemas.openxmlformats.org/officeDocument/2006/relationships/hyperlink" Target="https://ti.com/" TargetMode="External"/><Relationship Id="rId3041" Type="http://schemas.openxmlformats.org/officeDocument/2006/relationships/hyperlink" Target="http://fireflies.ai" TargetMode="External"/><Relationship Id="rId4372" Type="http://schemas.openxmlformats.org/officeDocument/2006/relationships/hyperlink" Target="https://terminal.io/" TargetMode="External"/><Relationship Id="rId3040" Type="http://schemas.openxmlformats.org/officeDocument/2006/relationships/hyperlink" Target="http://ringcentral.com" TargetMode="External"/><Relationship Id="rId4371" Type="http://schemas.openxmlformats.org/officeDocument/2006/relationships/hyperlink" Target="https://tennr.com/" TargetMode="External"/><Relationship Id="rId3043" Type="http://schemas.openxmlformats.org/officeDocument/2006/relationships/hyperlink" Target="http://sketchpro.ai" TargetMode="External"/><Relationship Id="rId4374" Type="http://schemas.openxmlformats.org/officeDocument/2006/relationships/hyperlink" Target="https://testim.io/" TargetMode="External"/><Relationship Id="rId3042" Type="http://schemas.openxmlformats.org/officeDocument/2006/relationships/hyperlink" Target="http://rubrik.com" TargetMode="External"/><Relationship Id="rId4373" Type="http://schemas.openxmlformats.org/officeDocument/2006/relationships/hyperlink" Target="https://tessell.com/" TargetMode="External"/><Relationship Id="rId3045" Type="http://schemas.openxmlformats.org/officeDocument/2006/relationships/hyperlink" Target="http://sciphermedicine.com" TargetMode="External"/><Relationship Id="rId4376" Type="http://schemas.openxmlformats.org/officeDocument/2006/relationships/hyperlink" Target="https://thehouseoflrc.com/" TargetMode="External"/><Relationship Id="rId3044" Type="http://schemas.openxmlformats.org/officeDocument/2006/relationships/hyperlink" Target="http://skyflow.com" TargetMode="External"/><Relationship Id="rId4375" Type="http://schemas.openxmlformats.org/officeDocument/2006/relationships/hyperlink" Target="https://honest.com/" TargetMode="External"/><Relationship Id="rId3047" Type="http://schemas.openxmlformats.org/officeDocument/2006/relationships/hyperlink" Target="http://eightsleep.com" TargetMode="External"/><Relationship Id="rId4378" Type="http://schemas.openxmlformats.org/officeDocument/2006/relationships/hyperlink" Target="https://www.thena.ai/" TargetMode="External"/><Relationship Id="rId3046" Type="http://schemas.openxmlformats.org/officeDocument/2006/relationships/hyperlink" Target="http://roofstock.com" TargetMode="External"/><Relationship Id="rId4377" Type="http://schemas.openxmlformats.org/officeDocument/2006/relationships/hyperlink" Target="https://nudgetext.com/" TargetMode="External"/><Relationship Id="rId3049" Type="http://schemas.openxmlformats.org/officeDocument/2006/relationships/hyperlink" Target="http://honeyhomes.com" TargetMode="External"/><Relationship Id="rId3048" Type="http://schemas.openxmlformats.org/officeDocument/2006/relationships/hyperlink" Target="http://berkshiregrey.com" TargetMode="External"/><Relationship Id="rId4379" Type="http://schemas.openxmlformats.org/officeDocument/2006/relationships/hyperlink" Target="https://theranica.com/" TargetMode="External"/><Relationship Id="rId3911" Type="http://schemas.openxmlformats.org/officeDocument/2006/relationships/hyperlink" Target="https://multiverse.io/" TargetMode="External"/><Relationship Id="rId3910" Type="http://schemas.openxmlformats.org/officeDocument/2006/relationships/hyperlink" Target="https://moveworks.ai/" TargetMode="External"/><Relationship Id="rId3913" Type="http://schemas.openxmlformats.org/officeDocument/2006/relationships/hyperlink" Target="https://nest.com/" TargetMode="External"/><Relationship Id="rId3912" Type="http://schemas.openxmlformats.org/officeDocument/2006/relationships/hyperlink" Target="https://navan.com/" TargetMode="External"/><Relationship Id="rId3915" Type="http://schemas.openxmlformats.org/officeDocument/2006/relationships/hyperlink" Target="https://nonamesecurity.com/" TargetMode="External"/><Relationship Id="rId3914" Type="http://schemas.openxmlformats.org/officeDocument/2006/relationships/hyperlink" Target="https://netskope.com/" TargetMode="External"/><Relationship Id="rId3917" Type="http://schemas.openxmlformats.org/officeDocument/2006/relationships/hyperlink" Target="https://offchainlabs.com/" TargetMode="External"/><Relationship Id="rId3916" Type="http://schemas.openxmlformats.org/officeDocument/2006/relationships/hyperlink" Target="https://nutanix.com/" TargetMode="External"/><Relationship Id="rId3919" Type="http://schemas.openxmlformats.org/officeDocument/2006/relationships/hyperlink" Target="https://payhawk.com/" TargetMode="External"/><Relationship Id="rId3918" Type="http://schemas.openxmlformats.org/officeDocument/2006/relationships/hyperlink" Target="https://orcabio.com/" TargetMode="External"/><Relationship Id="rId3900" Type="http://schemas.openxmlformats.org/officeDocument/2006/relationships/hyperlink" Target="https://found.com/" TargetMode="External"/><Relationship Id="rId3902" Type="http://schemas.openxmlformats.org/officeDocument/2006/relationships/hyperlink" Target="https://grafana.com/" TargetMode="External"/><Relationship Id="rId3901" Type="http://schemas.openxmlformats.org/officeDocument/2006/relationships/hyperlink" Target="https://glean.com/" TargetMode="External"/><Relationship Id="rId3904" Type="http://schemas.openxmlformats.org/officeDocument/2006/relationships/hyperlink" Target="https://hauslabs.com/" TargetMode="External"/><Relationship Id="rId3903" Type="http://schemas.openxmlformats.org/officeDocument/2006/relationships/hyperlink" Target="https://guardanthealth.com/" TargetMode="External"/><Relationship Id="rId3906" Type="http://schemas.openxmlformats.org/officeDocument/2006/relationships/hyperlink" Target="https://magiceden.io/" TargetMode="External"/><Relationship Id="rId3905" Type="http://schemas.openxmlformats.org/officeDocument/2006/relationships/hyperlink" Target="https://inworld.ai/" TargetMode="External"/><Relationship Id="rId3908" Type="http://schemas.openxmlformats.org/officeDocument/2006/relationships/hyperlink" Target="https://methodical.com/" TargetMode="External"/><Relationship Id="rId3907" Type="http://schemas.openxmlformats.org/officeDocument/2006/relationships/hyperlink" Target="https://matillion.com/" TargetMode="External"/><Relationship Id="rId3909" Type="http://schemas.openxmlformats.org/officeDocument/2006/relationships/hyperlink" Target="https://mistral.ai/" TargetMode="External"/><Relationship Id="rId3931" Type="http://schemas.openxmlformats.org/officeDocument/2006/relationships/hyperlink" Target="https://ultimagenomics.com/" TargetMode="External"/><Relationship Id="rId2600" Type="http://schemas.openxmlformats.org/officeDocument/2006/relationships/hyperlink" Target="http://optimism.io" TargetMode="External"/><Relationship Id="rId3930" Type="http://schemas.openxmlformats.org/officeDocument/2006/relationships/hyperlink" Target="https://typeface.ai/" TargetMode="External"/><Relationship Id="rId2601" Type="http://schemas.openxmlformats.org/officeDocument/2006/relationships/hyperlink" Target="http://optimizerai.xyz" TargetMode="External"/><Relationship Id="rId3933" Type="http://schemas.openxmlformats.org/officeDocument/2006/relationships/hyperlink" Target="https://wheel.com/" TargetMode="External"/><Relationship Id="rId2602" Type="http://schemas.openxmlformats.org/officeDocument/2006/relationships/hyperlink" Target="http://withpantheon.ai" TargetMode="External"/><Relationship Id="rId3932" Type="http://schemas.openxmlformats.org/officeDocument/2006/relationships/hyperlink" Target="https://vinted.com/" TargetMode="External"/><Relationship Id="rId2603" Type="http://schemas.openxmlformats.org/officeDocument/2006/relationships/hyperlink" Target="http://gaudiumstudio.com" TargetMode="External"/><Relationship Id="rId3935" Type="http://schemas.openxmlformats.org/officeDocument/2006/relationships/hyperlink" Target="https://yugabyte.com/" TargetMode="External"/><Relationship Id="rId2604" Type="http://schemas.openxmlformats.org/officeDocument/2006/relationships/hyperlink" Target="http://orbitaltx.com" TargetMode="External"/><Relationship Id="rId3934" Type="http://schemas.openxmlformats.org/officeDocument/2006/relationships/hyperlink" Target="https://wiz.io/" TargetMode="External"/><Relationship Id="rId2605" Type="http://schemas.openxmlformats.org/officeDocument/2006/relationships/hyperlink" Target="http://patch.io" TargetMode="External"/><Relationship Id="rId3937" Type="http://schemas.openxmlformats.org/officeDocument/2006/relationships/hyperlink" Target="https://1047games.com/" TargetMode="External"/><Relationship Id="rId2606" Type="http://schemas.openxmlformats.org/officeDocument/2006/relationships/hyperlink" Target="http://orchid.com" TargetMode="External"/><Relationship Id="rId3936" Type="http://schemas.openxmlformats.org/officeDocument/2006/relationships/hyperlink" Target="https://zola.com/" TargetMode="External"/><Relationship Id="rId808" Type="http://schemas.openxmlformats.org/officeDocument/2006/relationships/hyperlink" Target="http://modernloop.io" TargetMode="External"/><Relationship Id="rId2607" Type="http://schemas.openxmlformats.org/officeDocument/2006/relationships/hyperlink" Target="http://patinahealth.com" TargetMode="External"/><Relationship Id="rId3939" Type="http://schemas.openxmlformats.org/officeDocument/2006/relationships/hyperlink" Target="https://51hitech.com/" TargetMode="External"/><Relationship Id="rId807" Type="http://schemas.openxmlformats.org/officeDocument/2006/relationships/hyperlink" Target="http://mutinyhq.com" TargetMode="External"/><Relationship Id="rId2608" Type="http://schemas.openxmlformats.org/officeDocument/2006/relationships/hyperlink" Target="http://orderful.com" TargetMode="External"/><Relationship Id="rId3938" Type="http://schemas.openxmlformats.org/officeDocument/2006/relationships/hyperlink" Target="https://1password.com/" TargetMode="External"/><Relationship Id="rId806" Type="http://schemas.openxmlformats.org/officeDocument/2006/relationships/hyperlink" Target="http://modalup.com" TargetMode="External"/><Relationship Id="rId2609" Type="http://schemas.openxmlformats.org/officeDocument/2006/relationships/hyperlink" Target="http://payall.com" TargetMode="External"/><Relationship Id="rId805" Type="http://schemas.openxmlformats.org/officeDocument/2006/relationships/hyperlink" Target="http://munily.com" TargetMode="External"/><Relationship Id="rId809" Type="http://schemas.openxmlformats.org/officeDocument/2006/relationships/hyperlink" Target="http://mux.com" TargetMode="External"/><Relationship Id="rId800" Type="http://schemas.openxmlformats.org/officeDocument/2006/relationships/hyperlink" Target="http://mobileboost.io" TargetMode="External"/><Relationship Id="rId804" Type="http://schemas.openxmlformats.org/officeDocument/2006/relationships/hyperlink" Target="http://mobydish.com" TargetMode="External"/><Relationship Id="rId803" Type="http://schemas.openxmlformats.org/officeDocument/2006/relationships/hyperlink" Target="http://mthsense.com" TargetMode="External"/><Relationship Id="rId802" Type="http://schemas.openxmlformats.org/officeDocument/2006/relationships/hyperlink" Target="http://mobot.io" TargetMode="External"/><Relationship Id="rId801" Type="http://schemas.openxmlformats.org/officeDocument/2006/relationships/hyperlink" Target="http://motionlead.com" TargetMode="External"/><Relationship Id="rId3920" Type="http://schemas.openxmlformats.org/officeDocument/2006/relationships/hyperlink" Target="https://personio.de/" TargetMode="External"/><Relationship Id="rId3922" Type="http://schemas.openxmlformats.org/officeDocument/2006/relationships/hyperlink" Target="https://resilienceinsurance.com/" TargetMode="External"/><Relationship Id="rId3921" Type="http://schemas.openxmlformats.org/officeDocument/2006/relationships/hyperlink" Target="https://pika.art/" TargetMode="External"/><Relationship Id="rId3924" Type="http://schemas.openxmlformats.org/officeDocument/2006/relationships/hyperlink" Target="https://skild.ai/" TargetMode="External"/><Relationship Id="rId3923" Type="http://schemas.openxmlformats.org/officeDocument/2006/relationships/hyperlink" Target="https://rubrik.com/" TargetMode="External"/><Relationship Id="rId3926" Type="http://schemas.openxmlformats.org/officeDocument/2006/relationships/hyperlink" Target="https://snorkel.ai/company/" TargetMode="External"/><Relationship Id="rId3925" Type="http://schemas.openxmlformats.org/officeDocument/2006/relationships/hyperlink" Target="https://snapchat.com/" TargetMode="External"/><Relationship Id="rId3928" Type="http://schemas.openxmlformats.org/officeDocument/2006/relationships/hyperlink" Target="https://teneobio.com/" TargetMode="External"/><Relationship Id="rId3927" Type="http://schemas.openxmlformats.org/officeDocument/2006/relationships/hyperlink" Target="https://stripe.com/" TargetMode="External"/><Relationship Id="rId3929" Type="http://schemas.openxmlformats.org/officeDocument/2006/relationships/hyperlink" Target="https://thoughtspot.com/" TargetMode="External"/><Relationship Id="rId1334" Type="http://schemas.openxmlformats.org/officeDocument/2006/relationships/hyperlink" Target="http://bitpay.com" TargetMode="External"/><Relationship Id="rId2665" Type="http://schemas.openxmlformats.org/officeDocument/2006/relationships/hyperlink" Target="http://preset.io" TargetMode="External"/><Relationship Id="rId3997" Type="http://schemas.openxmlformats.org/officeDocument/2006/relationships/hyperlink" Target="https://blinkops.com/" TargetMode="External"/><Relationship Id="rId1335" Type="http://schemas.openxmlformats.org/officeDocument/2006/relationships/hyperlink" Target="http://signalsciences.com" TargetMode="External"/><Relationship Id="rId2666" Type="http://schemas.openxmlformats.org/officeDocument/2006/relationships/hyperlink" Target="http://pynhq.com" TargetMode="External"/><Relationship Id="rId3996" Type="http://schemas.openxmlformats.org/officeDocument/2006/relationships/hyperlink" Target="https://blend.com/" TargetMode="External"/><Relationship Id="rId1336" Type="http://schemas.openxmlformats.org/officeDocument/2006/relationships/hyperlink" Target="http://capitolis.com" TargetMode="External"/><Relationship Id="rId2667" Type="http://schemas.openxmlformats.org/officeDocument/2006/relationships/hyperlink" Target="http://primodium.com" TargetMode="External"/><Relationship Id="rId3999" Type="http://schemas.openxmlformats.org/officeDocument/2006/relationships/hyperlink" Target="https://bloomreach.com/" TargetMode="External"/><Relationship Id="rId1337" Type="http://schemas.openxmlformats.org/officeDocument/2006/relationships/hyperlink" Target="http://superlinked.com" TargetMode="External"/><Relationship Id="rId2668" Type="http://schemas.openxmlformats.org/officeDocument/2006/relationships/hyperlink" Target="http://prismsvr.com" TargetMode="External"/><Relationship Id="rId3998" Type="http://schemas.openxmlformats.org/officeDocument/2006/relationships/hyperlink" Target="https://blockchain.com/" TargetMode="External"/><Relationship Id="rId1338" Type="http://schemas.openxmlformats.org/officeDocument/2006/relationships/hyperlink" Target="http://captions.ai" TargetMode="External"/><Relationship Id="rId2669" Type="http://schemas.openxmlformats.org/officeDocument/2006/relationships/hyperlink" Target="http://quago.io" TargetMode="External"/><Relationship Id="rId1339" Type="http://schemas.openxmlformats.org/officeDocument/2006/relationships/hyperlink" Target="http://twelvelabs.io" TargetMode="External"/><Relationship Id="rId745" Type="http://schemas.openxmlformats.org/officeDocument/2006/relationships/hyperlink" Target="http://makrwatch.com" TargetMode="External"/><Relationship Id="rId744" Type="http://schemas.openxmlformats.org/officeDocument/2006/relationships/hyperlink" Target="http://lumibot.com" TargetMode="External"/><Relationship Id="rId743" Type="http://schemas.openxmlformats.org/officeDocument/2006/relationships/hyperlink" Target="http://mailgun.net" TargetMode="External"/><Relationship Id="rId742" Type="http://schemas.openxmlformats.org/officeDocument/2006/relationships/hyperlink" Target="http://lumi.com" TargetMode="External"/><Relationship Id="rId749" Type="http://schemas.openxmlformats.org/officeDocument/2006/relationships/hyperlink" Target="http://mach9.ai" TargetMode="External"/><Relationship Id="rId748" Type="http://schemas.openxmlformats.org/officeDocument/2006/relationships/hyperlink" Target="http://mantys.io" TargetMode="External"/><Relationship Id="rId747" Type="http://schemas.openxmlformats.org/officeDocument/2006/relationships/hyperlink" Target="http://lyrebird.ai" TargetMode="External"/><Relationship Id="rId746" Type="http://schemas.openxmlformats.org/officeDocument/2006/relationships/hyperlink" Target="http://luminai.com" TargetMode="External"/><Relationship Id="rId3991" Type="http://schemas.openxmlformats.org/officeDocument/2006/relationships/hyperlink" Target="https://bigsur.ai/" TargetMode="External"/><Relationship Id="rId2660" Type="http://schemas.openxmlformats.org/officeDocument/2006/relationships/hyperlink" Target="http://proven.com" TargetMode="External"/><Relationship Id="rId3990" Type="http://schemas.openxmlformats.org/officeDocument/2006/relationships/hyperlink" Target="https://bhanzu.com/" TargetMode="External"/><Relationship Id="rId741" Type="http://schemas.openxmlformats.org/officeDocument/2006/relationships/hyperlink" Target="http://mailtime.com" TargetMode="External"/><Relationship Id="rId1330" Type="http://schemas.openxmlformats.org/officeDocument/2006/relationships/hyperlink" Target="http://flatfair.co.uk" TargetMode="External"/><Relationship Id="rId2661" Type="http://schemas.openxmlformats.org/officeDocument/2006/relationships/hyperlink" Target="http://practice.do" TargetMode="External"/><Relationship Id="rId3993" Type="http://schemas.openxmlformats.org/officeDocument/2006/relationships/hyperlink" Target="https://bitmain.com/" TargetMode="External"/><Relationship Id="rId740" Type="http://schemas.openxmlformats.org/officeDocument/2006/relationships/hyperlink" Target="http://locent.com" TargetMode="External"/><Relationship Id="rId1331" Type="http://schemas.openxmlformats.org/officeDocument/2006/relationships/hyperlink" Target="http://nexos.ai" TargetMode="External"/><Relationship Id="rId2662" Type="http://schemas.openxmlformats.org/officeDocument/2006/relationships/hyperlink" Target="http://pug.ai" TargetMode="External"/><Relationship Id="rId3992" Type="http://schemas.openxmlformats.org/officeDocument/2006/relationships/hyperlink" Target="https://binaris.com/" TargetMode="External"/><Relationship Id="rId1332" Type="http://schemas.openxmlformats.org/officeDocument/2006/relationships/hyperlink" Target="http://beamimpact.com" TargetMode="External"/><Relationship Id="rId2663" Type="http://schemas.openxmlformats.org/officeDocument/2006/relationships/hyperlink" Target="http://prepared911.com" TargetMode="External"/><Relationship Id="rId3995" Type="http://schemas.openxmlformats.org/officeDocument/2006/relationships/hyperlink" Target="https://blameless.com/" TargetMode="External"/><Relationship Id="rId1333" Type="http://schemas.openxmlformats.org/officeDocument/2006/relationships/hyperlink" Target="http://novacredit.com" TargetMode="External"/><Relationship Id="rId2664" Type="http://schemas.openxmlformats.org/officeDocument/2006/relationships/hyperlink" Target="http://usepylon.com" TargetMode="External"/><Relationship Id="rId3994" Type="http://schemas.openxmlformats.org/officeDocument/2006/relationships/hyperlink" Target="https://blacklake.cn/" TargetMode="External"/><Relationship Id="rId1323" Type="http://schemas.openxmlformats.org/officeDocument/2006/relationships/hyperlink" Target="http://getapron.com" TargetMode="External"/><Relationship Id="rId2654" Type="http://schemas.openxmlformats.org/officeDocument/2006/relationships/hyperlink" Target="http://point.com" TargetMode="External"/><Relationship Id="rId3986" Type="http://schemas.openxmlformats.org/officeDocument/2006/relationships/hyperlink" Target="https://betawm.com/" TargetMode="External"/><Relationship Id="rId1324" Type="http://schemas.openxmlformats.org/officeDocument/2006/relationships/hyperlink" Target="http://arista.com" TargetMode="External"/><Relationship Id="rId2655" Type="http://schemas.openxmlformats.org/officeDocument/2006/relationships/hyperlink" Target="http://proofofplay.com" TargetMode="External"/><Relationship Id="rId3985" Type="http://schemas.openxmlformats.org/officeDocument/2006/relationships/hyperlink" Target="https://ourberry.io/" TargetMode="External"/><Relationship Id="rId1325" Type="http://schemas.openxmlformats.org/officeDocument/2006/relationships/hyperlink" Target="http://bighealth.com" TargetMode="External"/><Relationship Id="rId2656" Type="http://schemas.openxmlformats.org/officeDocument/2006/relationships/hyperlink" Target="http://joinpropel.com" TargetMode="External"/><Relationship Id="rId3988" Type="http://schemas.openxmlformats.org/officeDocument/2006/relationships/hyperlink" Target="https://bettylabs.io/" TargetMode="External"/><Relationship Id="rId1326" Type="http://schemas.openxmlformats.org/officeDocument/2006/relationships/hyperlink" Target="http://centrify.com" TargetMode="External"/><Relationship Id="rId2657" Type="http://schemas.openxmlformats.org/officeDocument/2006/relationships/hyperlink" Target="http://polywork.com" TargetMode="External"/><Relationship Id="rId3987" Type="http://schemas.openxmlformats.org/officeDocument/2006/relationships/hyperlink" Target="https://betdex.com/" TargetMode="External"/><Relationship Id="rId1327" Type="http://schemas.openxmlformats.org/officeDocument/2006/relationships/hyperlink" Target="http://codesignal.com" TargetMode="External"/><Relationship Id="rId2658" Type="http://schemas.openxmlformats.org/officeDocument/2006/relationships/hyperlink" Target="http://protocol.ai" TargetMode="External"/><Relationship Id="rId1328" Type="http://schemas.openxmlformats.org/officeDocument/2006/relationships/hyperlink" Target="http://elastic.co" TargetMode="External"/><Relationship Id="rId2659" Type="http://schemas.openxmlformats.org/officeDocument/2006/relationships/hyperlink" Target="http://pomelocare.com" TargetMode="External"/><Relationship Id="rId3989" Type="http://schemas.openxmlformats.org/officeDocument/2006/relationships/hyperlink" Target="https://emversity.com/" TargetMode="External"/><Relationship Id="rId1329" Type="http://schemas.openxmlformats.org/officeDocument/2006/relationships/hyperlink" Target="http://kayrros.com" TargetMode="External"/><Relationship Id="rId739" Type="http://schemas.openxmlformats.org/officeDocument/2006/relationships/hyperlink" Target="http://maderight.com" TargetMode="External"/><Relationship Id="rId734" Type="http://schemas.openxmlformats.org/officeDocument/2006/relationships/hyperlink" Target="http://linkana.com" TargetMode="External"/><Relationship Id="rId733" Type="http://schemas.openxmlformats.org/officeDocument/2006/relationships/hyperlink" Target="http://luminai.com" TargetMode="External"/><Relationship Id="rId732" Type="http://schemas.openxmlformats.org/officeDocument/2006/relationships/hyperlink" Target="http://liftigniter.com" TargetMode="External"/><Relationship Id="rId731" Type="http://schemas.openxmlformats.org/officeDocument/2006/relationships/hyperlink" Target="http://lumibot.com" TargetMode="External"/><Relationship Id="rId738" Type="http://schemas.openxmlformats.org/officeDocument/2006/relationships/hyperlink" Target="http://boletomovil.com" TargetMode="External"/><Relationship Id="rId737" Type="http://schemas.openxmlformats.org/officeDocument/2006/relationships/hyperlink" Target="http://mach9.ai" TargetMode="External"/><Relationship Id="rId736" Type="http://schemas.openxmlformats.org/officeDocument/2006/relationships/hyperlink" Target="http://liveflow.com" TargetMode="External"/><Relationship Id="rId735" Type="http://schemas.openxmlformats.org/officeDocument/2006/relationships/hyperlink" Target="http://lyrebird.ai" TargetMode="External"/><Relationship Id="rId3980" Type="http://schemas.openxmlformats.org/officeDocument/2006/relationships/hyperlink" Target="https://getbalance.com/" TargetMode="External"/><Relationship Id="rId730" Type="http://schemas.openxmlformats.org/officeDocument/2006/relationships/hyperlink" Target="http://lumi.com" TargetMode="External"/><Relationship Id="rId2650" Type="http://schemas.openxmlformats.org/officeDocument/2006/relationships/hyperlink" Target="http://promisestudios.com" TargetMode="External"/><Relationship Id="rId3982" Type="http://schemas.openxmlformats.org/officeDocument/2006/relationships/hyperlink" Target="https://beehiiv.com/" TargetMode="External"/><Relationship Id="rId1320" Type="http://schemas.openxmlformats.org/officeDocument/2006/relationships/hyperlink" Target="http://wordsmith.ai" TargetMode="External"/><Relationship Id="rId2651" Type="http://schemas.openxmlformats.org/officeDocument/2006/relationships/hyperlink" Target="http://planetscale.com" TargetMode="External"/><Relationship Id="rId3981" Type="http://schemas.openxmlformats.org/officeDocument/2006/relationships/hyperlink" Target="https://barefootnetworks.com/" TargetMode="External"/><Relationship Id="rId1321" Type="http://schemas.openxmlformats.org/officeDocument/2006/relationships/hyperlink" Target="http://twelvelabs.io" TargetMode="External"/><Relationship Id="rId2652" Type="http://schemas.openxmlformats.org/officeDocument/2006/relationships/hyperlink" Target="http://plutus.gg" TargetMode="External"/><Relationship Id="rId3984" Type="http://schemas.openxmlformats.org/officeDocument/2006/relationships/hyperlink" Target="https://beme.com/" TargetMode="External"/><Relationship Id="rId1322" Type="http://schemas.openxmlformats.org/officeDocument/2006/relationships/hyperlink" Target="http://worldover.io" TargetMode="External"/><Relationship Id="rId2653" Type="http://schemas.openxmlformats.org/officeDocument/2006/relationships/hyperlink" Target="http://proof.xyz" TargetMode="External"/><Relationship Id="rId3983" Type="http://schemas.openxmlformats.org/officeDocument/2006/relationships/hyperlink" Target="https://beek.io/en" TargetMode="External"/><Relationship Id="rId1356" Type="http://schemas.openxmlformats.org/officeDocument/2006/relationships/hyperlink" Target="http://captions.ai" TargetMode="External"/><Relationship Id="rId2687" Type="http://schemas.openxmlformats.org/officeDocument/2006/relationships/hyperlink" Target="http://pynhq.com" TargetMode="External"/><Relationship Id="rId1357" Type="http://schemas.openxmlformats.org/officeDocument/2006/relationships/hyperlink" Target="http://navabi.tv" TargetMode="External"/><Relationship Id="rId2688" Type="http://schemas.openxmlformats.org/officeDocument/2006/relationships/hyperlink" Target="http://raspberry.ai" TargetMode="External"/><Relationship Id="rId1358" Type="http://schemas.openxmlformats.org/officeDocument/2006/relationships/hyperlink" Target="http://climate.com" TargetMode="External"/><Relationship Id="rId2689" Type="http://schemas.openxmlformats.org/officeDocument/2006/relationships/hyperlink" Target="http://playonray.com" TargetMode="External"/><Relationship Id="rId1359" Type="http://schemas.openxmlformats.org/officeDocument/2006/relationships/hyperlink" Target="http://multiverse.io" TargetMode="External"/><Relationship Id="rId767" Type="http://schemas.openxmlformats.org/officeDocument/2006/relationships/hyperlink" Target="http://metal.so" TargetMode="External"/><Relationship Id="rId766" Type="http://schemas.openxmlformats.org/officeDocument/2006/relationships/hyperlink" Target="http://mattermark.com" TargetMode="External"/><Relationship Id="rId765" Type="http://schemas.openxmlformats.org/officeDocument/2006/relationships/hyperlink" Target="http://mesh.ai" TargetMode="External"/><Relationship Id="rId764" Type="http://schemas.openxmlformats.org/officeDocument/2006/relationships/hyperlink" Target="http://meru.com" TargetMode="External"/><Relationship Id="rId769" Type="http://schemas.openxmlformats.org/officeDocument/2006/relationships/hyperlink" Target="http://getmeadow.com" TargetMode="External"/><Relationship Id="rId768" Type="http://schemas.openxmlformats.org/officeDocument/2006/relationships/hyperlink" Target="http://mayan.co" TargetMode="External"/><Relationship Id="rId2680" Type="http://schemas.openxmlformats.org/officeDocument/2006/relationships/hyperlink" Target="http://rapidapi.com" TargetMode="External"/><Relationship Id="rId1350" Type="http://schemas.openxmlformats.org/officeDocument/2006/relationships/hyperlink" Target="http://beamimpact.com" TargetMode="External"/><Relationship Id="rId2681" Type="http://schemas.openxmlformats.org/officeDocument/2006/relationships/hyperlink" Target="http://proven.com" TargetMode="External"/><Relationship Id="rId1351" Type="http://schemas.openxmlformats.org/officeDocument/2006/relationships/hyperlink" Target="http://humu.com" TargetMode="External"/><Relationship Id="rId2682" Type="http://schemas.openxmlformats.org/officeDocument/2006/relationships/hyperlink" Target="http://about.rappi.com" TargetMode="External"/><Relationship Id="rId763" Type="http://schemas.openxmlformats.org/officeDocument/2006/relationships/hyperlink" Target="http://bymason.com" TargetMode="External"/><Relationship Id="rId1352" Type="http://schemas.openxmlformats.org/officeDocument/2006/relationships/hyperlink" Target="http://bitpay.com" TargetMode="External"/><Relationship Id="rId2683" Type="http://schemas.openxmlformats.org/officeDocument/2006/relationships/hyperlink" Target="http://pug.ai" TargetMode="External"/><Relationship Id="rId762" Type="http://schemas.openxmlformats.org/officeDocument/2006/relationships/hyperlink" Target="http://usemeru.com" TargetMode="External"/><Relationship Id="rId1353" Type="http://schemas.openxmlformats.org/officeDocument/2006/relationships/hyperlink" Target="http://izettle.com" TargetMode="External"/><Relationship Id="rId2684" Type="http://schemas.openxmlformats.org/officeDocument/2006/relationships/hyperlink" Target="http://rasa.com" TargetMode="External"/><Relationship Id="rId761" Type="http://schemas.openxmlformats.org/officeDocument/2006/relationships/hyperlink" Target="http://mashgin.com" TargetMode="External"/><Relationship Id="rId1354" Type="http://schemas.openxmlformats.org/officeDocument/2006/relationships/hyperlink" Target="http://capitolis.com" TargetMode="External"/><Relationship Id="rId2685" Type="http://schemas.openxmlformats.org/officeDocument/2006/relationships/hyperlink" Target="http://usepylon.com" TargetMode="External"/><Relationship Id="rId760" Type="http://schemas.openxmlformats.org/officeDocument/2006/relationships/hyperlink" Target="http://memfault.com" TargetMode="External"/><Relationship Id="rId1355" Type="http://schemas.openxmlformats.org/officeDocument/2006/relationships/hyperlink" Target="http://lightning.ai" TargetMode="External"/><Relationship Id="rId2686" Type="http://schemas.openxmlformats.org/officeDocument/2006/relationships/hyperlink" Target="http://rascalgames.com" TargetMode="External"/><Relationship Id="rId1345" Type="http://schemas.openxmlformats.org/officeDocument/2006/relationships/hyperlink" Target="http://codesignal.com" TargetMode="External"/><Relationship Id="rId2676" Type="http://schemas.openxmlformats.org/officeDocument/2006/relationships/hyperlink" Target="http://radiantnuclear.com" TargetMode="External"/><Relationship Id="rId1346" Type="http://schemas.openxmlformats.org/officeDocument/2006/relationships/hyperlink" Target="http://discordapp.com" TargetMode="External"/><Relationship Id="rId2677" Type="http://schemas.openxmlformats.org/officeDocument/2006/relationships/hyperlink" Target="http://joinpropel.com" TargetMode="External"/><Relationship Id="rId1347" Type="http://schemas.openxmlformats.org/officeDocument/2006/relationships/hyperlink" Target="http://kayrros.com" TargetMode="External"/><Relationship Id="rId2678" Type="http://schemas.openxmlformats.org/officeDocument/2006/relationships/hyperlink" Target="http://raidbase.com" TargetMode="External"/><Relationship Id="rId1348" Type="http://schemas.openxmlformats.org/officeDocument/2006/relationships/hyperlink" Target="http://dotproduct.xyz" TargetMode="External"/><Relationship Id="rId2679" Type="http://schemas.openxmlformats.org/officeDocument/2006/relationships/hyperlink" Target="http://protocol.ai" TargetMode="External"/><Relationship Id="rId1349" Type="http://schemas.openxmlformats.org/officeDocument/2006/relationships/hyperlink" Target="http://gatsbyjs.com" TargetMode="External"/><Relationship Id="rId756" Type="http://schemas.openxmlformats.org/officeDocument/2006/relationships/hyperlink" Target="http://makrwatch.com" TargetMode="External"/><Relationship Id="rId755" Type="http://schemas.openxmlformats.org/officeDocument/2006/relationships/hyperlink" Target="http://mattermark.com" TargetMode="External"/><Relationship Id="rId754" Type="http://schemas.openxmlformats.org/officeDocument/2006/relationships/hyperlink" Target="http://mailgun.net" TargetMode="External"/><Relationship Id="rId753" Type="http://schemas.openxmlformats.org/officeDocument/2006/relationships/hyperlink" Target="http://mailtime.com" TargetMode="External"/><Relationship Id="rId759" Type="http://schemas.openxmlformats.org/officeDocument/2006/relationships/hyperlink" Target="http://mantys.io" TargetMode="External"/><Relationship Id="rId758" Type="http://schemas.openxmlformats.org/officeDocument/2006/relationships/hyperlink" Target="http://getmeadow.com" TargetMode="External"/><Relationship Id="rId757" Type="http://schemas.openxmlformats.org/officeDocument/2006/relationships/hyperlink" Target="http://mayan.co" TargetMode="External"/><Relationship Id="rId2670" Type="http://schemas.openxmlformats.org/officeDocument/2006/relationships/hyperlink" Target="http://promisestudios.com" TargetMode="External"/><Relationship Id="rId1340" Type="http://schemas.openxmlformats.org/officeDocument/2006/relationships/hyperlink" Target="http://climate.com" TargetMode="External"/><Relationship Id="rId2671" Type="http://schemas.openxmlformats.org/officeDocument/2006/relationships/hyperlink" Target="http://quora.com" TargetMode="External"/><Relationship Id="rId752" Type="http://schemas.openxmlformats.org/officeDocument/2006/relationships/hyperlink" Target="http://bymason.com" TargetMode="External"/><Relationship Id="rId1341" Type="http://schemas.openxmlformats.org/officeDocument/2006/relationships/hyperlink" Target="http://getapron.com" TargetMode="External"/><Relationship Id="rId2672" Type="http://schemas.openxmlformats.org/officeDocument/2006/relationships/hyperlink" Target="http://rabb.it" TargetMode="External"/><Relationship Id="rId751" Type="http://schemas.openxmlformats.org/officeDocument/2006/relationships/hyperlink" Target="http://maderight.com" TargetMode="External"/><Relationship Id="rId1342" Type="http://schemas.openxmlformats.org/officeDocument/2006/relationships/hyperlink" Target="http://codecademy.com" TargetMode="External"/><Relationship Id="rId2673" Type="http://schemas.openxmlformats.org/officeDocument/2006/relationships/hyperlink" Target="http://proof.xyz" TargetMode="External"/><Relationship Id="rId750" Type="http://schemas.openxmlformats.org/officeDocument/2006/relationships/hyperlink" Target="http://mashgin.com" TargetMode="External"/><Relationship Id="rId1343" Type="http://schemas.openxmlformats.org/officeDocument/2006/relationships/hyperlink" Target="http://bighealth.com" TargetMode="External"/><Relationship Id="rId2674" Type="http://schemas.openxmlformats.org/officeDocument/2006/relationships/hyperlink" Target="http://rademploy.com" TargetMode="External"/><Relationship Id="rId1344" Type="http://schemas.openxmlformats.org/officeDocument/2006/relationships/hyperlink" Target="http://deepl.com" TargetMode="External"/><Relationship Id="rId2675" Type="http://schemas.openxmlformats.org/officeDocument/2006/relationships/hyperlink" Target="http://proofofplay.com" TargetMode="External"/><Relationship Id="rId2621" Type="http://schemas.openxmlformats.org/officeDocument/2006/relationships/hyperlink" Target="http://pietrastudio.com" TargetMode="External"/><Relationship Id="rId3953" Type="http://schemas.openxmlformats.org/officeDocument/2006/relationships/hyperlink" Target="https://a9oncology.com/" TargetMode="External"/><Relationship Id="rId2622" Type="http://schemas.openxmlformats.org/officeDocument/2006/relationships/hyperlink" Target="http://gaudiumstudio.com" TargetMode="External"/><Relationship Id="rId3952" Type="http://schemas.openxmlformats.org/officeDocument/2006/relationships/hyperlink" Target="https://alooma.com/" TargetMode="External"/><Relationship Id="rId2623" Type="http://schemas.openxmlformats.org/officeDocument/2006/relationships/hyperlink" Target="http://pimlico.io" TargetMode="External"/><Relationship Id="rId3955" Type="http://schemas.openxmlformats.org/officeDocument/2006/relationships/hyperlink" Target="https://www.anduril.com/" TargetMode="External"/><Relationship Id="rId2624" Type="http://schemas.openxmlformats.org/officeDocument/2006/relationships/hyperlink" Target="http://pindrop.com" TargetMode="External"/><Relationship Id="rId3954" Type="http://schemas.openxmlformats.org/officeDocument/2006/relationships/hyperlink" Target="https://ancorabiotech.com/" TargetMode="External"/><Relationship Id="rId2625" Type="http://schemas.openxmlformats.org/officeDocument/2006/relationships/hyperlink" Target="http://patch.io" TargetMode="External"/><Relationship Id="rId3957" Type="http://schemas.openxmlformats.org/officeDocument/2006/relationships/hyperlink" Target="https://apna.co/" TargetMode="External"/><Relationship Id="rId2626" Type="http://schemas.openxmlformats.org/officeDocument/2006/relationships/hyperlink" Target="http://pinecone.io" TargetMode="External"/><Relationship Id="rId3956" Type="http://schemas.openxmlformats.org/officeDocument/2006/relationships/hyperlink" Target="https://apex.ai/" TargetMode="External"/><Relationship Id="rId2627" Type="http://schemas.openxmlformats.org/officeDocument/2006/relationships/hyperlink" Target="http://patinahealth.com" TargetMode="External"/><Relationship Id="rId3959" Type="http://schemas.openxmlformats.org/officeDocument/2006/relationships/hyperlink" Target="https://www.aquant.ai/" TargetMode="External"/><Relationship Id="rId2628" Type="http://schemas.openxmlformats.org/officeDocument/2006/relationships/hyperlink" Target="http://champions.io" TargetMode="External"/><Relationship Id="rId3958" Type="http://schemas.openxmlformats.org/officeDocument/2006/relationships/hyperlink" Target="https://appzen.com/" TargetMode="External"/><Relationship Id="rId709" Type="http://schemas.openxmlformats.org/officeDocument/2006/relationships/hyperlink" Target="http://keynua.com" TargetMode="External"/><Relationship Id="rId2629" Type="http://schemas.openxmlformats.org/officeDocument/2006/relationships/hyperlink" Target="http://payall.com" TargetMode="External"/><Relationship Id="rId708" Type="http://schemas.openxmlformats.org/officeDocument/2006/relationships/hyperlink" Target="http://getlago.com" TargetMode="External"/><Relationship Id="rId707" Type="http://schemas.openxmlformats.org/officeDocument/2006/relationships/hyperlink" Target="http://kular.ai" TargetMode="External"/><Relationship Id="rId706" Type="http://schemas.openxmlformats.org/officeDocument/2006/relationships/hyperlink" Target="http://kaso.ai" TargetMode="External"/><Relationship Id="rId701" Type="http://schemas.openxmlformats.org/officeDocument/2006/relationships/hyperlink" Target="http://juzibot.com" TargetMode="External"/><Relationship Id="rId700" Type="http://schemas.openxmlformats.org/officeDocument/2006/relationships/hyperlink" Target="http://kimonolabs.com" TargetMode="External"/><Relationship Id="rId705" Type="http://schemas.openxmlformats.org/officeDocument/2006/relationships/hyperlink" Target="http://konta.com" TargetMode="External"/><Relationship Id="rId704" Type="http://schemas.openxmlformats.org/officeDocument/2006/relationships/hyperlink" Target="http://kamion.co" TargetMode="External"/><Relationship Id="rId703" Type="http://schemas.openxmlformats.org/officeDocument/2006/relationships/hyperlink" Target="http://kalibrr.com" TargetMode="External"/><Relationship Id="rId702" Type="http://schemas.openxmlformats.org/officeDocument/2006/relationships/hyperlink" Target="http://kodexglobal.com" TargetMode="External"/><Relationship Id="rId3951" Type="http://schemas.openxmlformats.org/officeDocument/2006/relationships/hyperlink" Target="https://alldaykitchens.com/" TargetMode="External"/><Relationship Id="rId2620" Type="http://schemas.openxmlformats.org/officeDocument/2006/relationships/hyperlink" Target="http://withpantheon.ai" TargetMode="External"/><Relationship Id="rId3950" Type="http://schemas.openxmlformats.org/officeDocument/2006/relationships/hyperlink" Target="https://aledade.com/" TargetMode="External"/><Relationship Id="rId2610" Type="http://schemas.openxmlformats.org/officeDocument/2006/relationships/hyperlink" Target="http://originalgames.io" TargetMode="External"/><Relationship Id="rId3942" Type="http://schemas.openxmlformats.org/officeDocument/2006/relationships/hyperlink" Target="https://abstract.com/" TargetMode="External"/><Relationship Id="rId2611" Type="http://schemas.openxmlformats.org/officeDocument/2006/relationships/hyperlink" Target="http://payrails.com" TargetMode="External"/><Relationship Id="rId3941" Type="http://schemas.openxmlformats.org/officeDocument/2006/relationships/hyperlink" Target="https://abridge.com/" TargetMode="External"/><Relationship Id="rId2612" Type="http://schemas.openxmlformats.org/officeDocument/2006/relationships/hyperlink" Target="http://joinouting.com" TargetMode="External"/><Relationship Id="rId3944" Type="http://schemas.openxmlformats.org/officeDocument/2006/relationships/hyperlink" Target="https://acko.com/" TargetMode="External"/><Relationship Id="rId2613" Type="http://schemas.openxmlformats.org/officeDocument/2006/relationships/hyperlink" Target="http://pearlhealth.com" TargetMode="External"/><Relationship Id="rId3943" Type="http://schemas.openxmlformats.org/officeDocument/2006/relationships/hyperlink" Target="https://acceldata.io/" TargetMode="External"/><Relationship Id="rId2614" Type="http://schemas.openxmlformats.org/officeDocument/2006/relationships/hyperlink" Target="http://overtime.tv" TargetMode="External"/><Relationship Id="rId3946" Type="http://schemas.openxmlformats.org/officeDocument/2006/relationships/hyperlink" Target="https://affirmednetworks.com/" TargetMode="External"/><Relationship Id="rId2615" Type="http://schemas.openxmlformats.org/officeDocument/2006/relationships/hyperlink" Target="http://coinswitch.co" TargetMode="External"/><Relationship Id="rId3945" Type="http://schemas.openxmlformats.org/officeDocument/2006/relationships/hyperlink" Target="https://aerohive.com/" TargetMode="External"/><Relationship Id="rId2616" Type="http://schemas.openxmlformats.org/officeDocument/2006/relationships/hyperlink" Target="http://overwolf.com" TargetMode="External"/><Relationship Id="rId3948" Type="http://schemas.openxmlformats.org/officeDocument/2006/relationships/hyperlink" Target="https://airbound.co/" TargetMode="External"/><Relationship Id="rId2617" Type="http://schemas.openxmlformats.org/officeDocument/2006/relationships/hyperlink" Target="http://peerstreet.com" TargetMode="External"/><Relationship Id="rId3947" Type="http://schemas.openxmlformats.org/officeDocument/2006/relationships/hyperlink" Target="https://air-dr.com/" TargetMode="External"/><Relationship Id="rId2618" Type="http://schemas.openxmlformats.org/officeDocument/2006/relationships/hyperlink" Target="http://pahdolabs.com" TargetMode="External"/><Relationship Id="rId2619" Type="http://schemas.openxmlformats.org/officeDocument/2006/relationships/hyperlink" Target="http://people.ai" TargetMode="External"/><Relationship Id="rId3949" Type="http://schemas.openxmlformats.org/officeDocument/2006/relationships/hyperlink" Target="https://www.alchemy.com/" TargetMode="External"/><Relationship Id="rId3940" Type="http://schemas.openxmlformats.org/officeDocument/2006/relationships/hyperlink" Target="https://abatatx.com/" TargetMode="External"/><Relationship Id="rId1312" Type="http://schemas.openxmlformats.org/officeDocument/2006/relationships/hyperlink" Target="http://thatch.ai" TargetMode="External"/><Relationship Id="rId2643" Type="http://schemas.openxmlformats.org/officeDocument/2006/relationships/hyperlink" Target="http://pimlico.io" TargetMode="External"/><Relationship Id="rId3975" Type="http://schemas.openxmlformats.org/officeDocument/2006/relationships/hyperlink" Target="https://autograph.io/" TargetMode="External"/><Relationship Id="rId1313" Type="http://schemas.openxmlformats.org/officeDocument/2006/relationships/hyperlink" Target="http://nexos.ai" TargetMode="External"/><Relationship Id="rId2644" Type="http://schemas.openxmlformats.org/officeDocument/2006/relationships/hyperlink" Target="http://preset.io" TargetMode="External"/><Relationship Id="rId3974" Type="http://schemas.openxmlformats.org/officeDocument/2006/relationships/hyperlink" Target="https://aurora.tech/" TargetMode="External"/><Relationship Id="rId1314" Type="http://schemas.openxmlformats.org/officeDocument/2006/relationships/hyperlink" Target="http://typeform.com" TargetMode="External"/><Relationship Id="rId2645" Type="http://schemas.openxmlformats.org/officeDocument/2006/relationships/hyperlink" Target="http://pindrop.com" TargetMode="External"/><Relationship Id="rId3977" Type="http://schemas.openxmlformats.org/officeDocument/2006/relationships/hyperlink" Target="https://averesystems.com/" TargetMode="External"/><Relationship Id="rId1315" Type="http://schemas.openxmlformats.org/officeDocument/2006/relationships/hyperlink" Target="http://novacredit.com" TargetMode="External"/><Relationship Id="rId2646" Type="http://schemas.openxmlformats.org/officeDocument/2006/relationships/hyperlink" Target="http://primodium.com" TargetMode="External"/><Relationship Id="rId3976" Type="http://schemas.openxmlformats.org/officeDocument/2006/relationships/hyperlink" Target="https://avarra.ai/" TargetMode="External"/><Relationship Id="rId1316" Type="http://schemas.openxmlformats.org/officeDocument/2006/relationships/hyperlink" Target="http://upollo.ai" TargetMode="External"/><Relationship Id="rId2647" Type="http://schemas.openxmlformats.org/officeDocument/2006/relationships/hyperlink" Target="http://pinecone.io" TargetMode="External"/><Relationship Id="rId3979" Type="http://schemas.openxmlformats.org/officeDocument/2006/relationships/hyperlink" Target="https://awastudios.net/" TargetMode="External"/><Relationship Id="rId1317" Type="http://schemas.openxmlformats.org/officeDocument/2006/relationships/hyperlink" Target="http://signalsciences.com" TargetMode="External"/><Relationship Id="rId2648" Type="http://schemas.openxmlformats.org/officeDocument/2006/relationships/hyperlink" Target="http://prismsvr.com" TargetMode="External"/><Relationship Id="rId3978" Type="http://schemas.openxmlformats.org/officeDocument/2006/relationships/hyperlink" Target="https://avinetworks.com/" TargetMode="External"/><Relationship Id="rId1318" Type="http://schemas.openxmlformats.org/officeDocument/2006/relationships/hyperlink" Target="http://valdera.com" TargetMode="External"/><Relationship Id="rId2649" Type="http://schemas.openxmlformats.org/officeDocument/2006/relationships/hyperlink" Target="http://champions.io" TargetMode="External"/><Relationship Id="rId1319" Type="http://schemas.openxmlformats.org/officeDocument/2006/relationships/hyperlink" Target="http://superlinked.com" TargetMode="External"/><Relationship Id="rId729" Type="http://schemas.openxmlformats.org/officeDocument/2006/relationships/hyperlink" Target="http://lexter.ai" TargetMode="External"/><Relationship Id="rId728" Type="http://schemas.openxmlformats.org/officeDocument/2006/relationships/hyperlink" Target="http://locent.com" TargetMode="External"/><Relationship Id="rId723" Type="http://schemas.openxmlformats.org/officeDocument/2006/relationships/hyperlink" Target="http://laylo.com" TargetMode="External"/><Relationship Id="rId722" Type="http://schemas.openxmlformats.org/officeDocument/2006/relationships/hyperlink" Target="http://linkana.com" TargetMode="External"/><Relationship Id="rId721" Type="http://schemas.openxmlformats.org/officeDocument/2006/relationships/hyperlink" Target="http://lawyaw.com" TargetMode="External"/><Relationship Id="rId720" Type="http://schemas.openxmlformats.org/officeDocument/2006/relationships/hyperlink" Target="http://liftigniter.com" TargetMode="External"/><Relationship Id="rId727" Type="http://schemas.openxmlformats.org/officeDocument/2006/relationships/hyperlink" Target="http://letterdrop.com" TargetMode="External"/><Relationship Id="rId726" Type="http://schemas.openxmlformats.org/officeDocument/2006/relationships/hyperlink" Target="http://boletomovil.com" TargetMode="External"/><Relationship Id="rId725" Type="http://schemas.openxmlformats.org/officeDocument/2006/relationships/hyperlink" Target="http://leadgenius.com" TargetMode="External"/><Relationship Id="rId724" Type="http://schemas.openxmlformats.org/officeDocument/2006/relationships/hyperlink" Target="http://liveflow.com" TargetMode="External"/><Relationship Id="rId3971" Type="http://schemas.openxmlformats.org/officeDocument/2006/relationships/hyperlink" Target="https://audiomob.com/" TargetMode="External"/><Relationship Id="rId2640" Type="http://schemas.openxmlformats.org/officeDocument/2006/relationships/hyperlink" Target="http://practice.do" TargetMode="External"/><Relationship Id="rId3970" Type="http://schemas.openxmlformats.org/officeDocument/2006/relationships/hyperlink" Target="https://liveathos.com/" TargetMode="External"/><Relationship Id="rId1310" Type="http://schemas.openxmlformats.org/officeDocument/2006/relationships/hyperlink" Target="http://strapi.io" TargetMode="External"/><Relationship Id="rId2641" Type="http://schemas.openxmlformats.org/officeDocument/2006/relationships/hyperlink" Target="http://pietrastudio.com" TargetMode="External"/><Relationship Id="rId3973" Type="http://schemas.openxmlformats.org/officeDocument/2006/relationships/hyperlink" Target="https://augmentcode.com/" TargetMode="External"/><Relationship Id="rId1311" Type="http://schemas.openxmlformats.org/officeDocument/2006/relationships/hyperlink" Target="http://flatfair.co.uk" TargetMode="External"/><Relationship Id="rId2642" Type="http://schemas.openxmlformats.org/officeDocument/2006/relationships/hyperlink" Target="http://prepared911.com" TargetMode="External"/><Relationship Id="rId3972" Type="http://schemas.openxmlformats.org/officeDocument/2006/relationships/hyperlink" Target="https://audius.co/" TargetMode="External"/><Relationship Id="rId1301" Type="http://schemas.openxmlformats.org/officeDocument/2006/relationships/hyperlink" Target="http://wordsmith.ai" TargetMode="External"/><Relationship Id="rId2632" Type="http://schemas.openxmlformats.org/officeDocument/2006/relationships/hyperlink" Target="http://plutus.gg" TargetMode="External"/><Relationship Id="rId3964" Type="http://schemas.openxmlformats.org/officeDocument/2006/relationships/hyperlink" Target="https://arrcus.com/" TargetMode="External"/><Relationship Id="rId1302" Type="http://schemas.openxmlformats.org/officeDocument/2006/relationships/hyperlink" Target="http://shopmonkey.io" TargetMode="External"/><Relationship Id="rId2633" Type="http://schemas.openxmlformats.org/officeDocument/2006/relationships/hyperlink" Target="http://pearlhealth.com" TargetMode="External"/><Relationship Id="rId3963" Type="http://schemas.openxmlformats.org/officeDocument/2006/relationships/hyperlink" Target="https://arilinc.com/" TargetMode="External"/><Relationship Id="rId1303" Type="http://schemas.openxmlformats.org/officeDocument/2006/relationships/hyperlink" Target="http://worldover.io" TargetMode="External"/><Relationship Id="rId2634" Type="http://schemas.openxmlformats.org/officeDocument/2006/relationships/hyperlink" Target="http://point.com" TargetMode="External"/><Relationship Id="rId3966" Type="http://schemas.openxmlformats.org/officeDocument/2006/relationships/hyperlink" Target="https://aspireapp.com/" TargetMode="External"/><Relationship Id="rId1304" Type="http://schemas.openxmlformats.org/officeDocument/2006/relationships/hyperlink" Target="http://silverfin.com" TargetMode="External"/><Relationship Id="rId2635" Type="http://schemas.openxmlformats.org/officeDocument/2006/relationships/hyperlink" Target="http://coinswitch.co" TargetMode="External"/><Relationship Id="rId3965" Type="http://schemas.openxmlformats.org/officeDocument/2006/relationships/hyperlink" Target="https://artofsport.com/" TargetMode="External"/><Relationship Id="rId1305" Type="http://schemas.openxmlformats.org/officeDocument/2006/relationships/hyperlink" Target="http://arista.com" TargetMode="External"/><Relationship Id="rId2636" Type="http://schemas.openxmlformats.org/officeDocument/2006/relationships/hyperlink" Target="http://peerstreet.com" TargetMode="External"/><Relationship Id="rId3968" Type="http://schemas.openxmlformats.org/officeDocument/2006/relationships/hyperlink" Target="https://www.astronauts.id/" TargetMode="External"/><Relationship Id="rId1306" Type="http://schemas.openxmlformats.org/officeDocument/2006/relationships/hyperlink" Target="http://socialbakers.com" TargetMode="External"/><Relationship Id="rId2637" Type="http://schemas.openxmlformats.org/officeDocument/2006/relationships/hyperlink" Target="http://polywork.com" TargetMode="External"/><Relationship Id="rId3967" Type="http://schemas.openxmlformats.org/officeDocument/2006/relationships/hyperlink" Target="https://astro.build/" TargetMode="External"/><Relationship Id="rId1307" Type="http://schemas.openxmlformats.org/officeDocument/2006/relationships/hyperlink" Target="http://centrify.com" TargetMode="External"/><Relationship Id="rId2638" Type="http://schemas.openxmlformats.org/officeDocument/2006/relationships/hyperlink" Target="http://people.ai" TargetMode="External"/><Relationship Id="rId1308" Type="http://schemas.openxmlformats.org/officeDocument/2006/relationships/hyperlink" Target="http://starburstdata.com" TargetMode="External"/><Relationship Id="rId2639" Type="http://schemas.openxmlformats.org/officeDocument/2006/relationships/hyperlink" Target="http://pomelocare.com" TargetMode="External"/><Relationship Id="rId3969" Type="http://schemas.openxmlformats.org/officeDocument/2006/relationships/hyperlink" Target="https://at-bay.com/" TargetMode="External"/><Relationship Id="rId1309" Type="http://schemas.openxmlformats.org/officeDocument/2006/relationships/hyperlink" Target="http://elastic.co" TargetMode="External"/><Relationship Id="rId719" Type="http://schemas.openxmlformats.org/officeDocument/2006/relationships/hyperlink" Target="http://getlago.com" TargetMode="External"/><Relationship Id="rId718" Type="http://schemas.openxmlformats.org/officeDocument/2006/relationships/hyperlink" Target="http://kular.ai" TargetMode="External"/><Relationship Id="rId717" Type="http://schemas.openxmlformats.org/officeDocument/2006/relationships/hyperlink" Target="http://lexter.ai" TargetMode="External"/><Relationship Id="rId712" Type="http://schemas.openxmlformats.org/officeDocument/2006/relationships/hyperlink" Target="http://laylo.com" TargetMode="External"/><Relationship Id="rId711" Type="http://schemas.openxmlformats.org/officeDocument/2006/relationships/hyperlink" Target="http://kimonolabs.com" TargetMode="External"/><Relationship Id="rId710" Type="http://schemas.openxmlformats.org/officeDocument/2006/relationships/hyperlink" Target="http://lawyaw.com" TargetMode="External"/><Relationship Id="rId716" Type="http://schemas.openxmlformats.org/officeDocument/2006/relationships/hyperlink" Target="http://konta.com" TargetMode="External"/><Relationship Id="rId715" Type="http://schemas.openxmlformats.org/officeDocument/2006/relationships/hyperlink" Target="http://letterdrop.com" TargetMode="External"/><Relationship Id="rId714" Type="http://schemas.openxmlformats.org/officeDocument/2006/relationships/hyperlink" Target="http://leadgenius.com" TargetMode="External"/><Relationship Id="rId713" Type="http://schemas.openxmlformats.org/officeDocument/2006/relationships/hyperlink" Target="http://kodexglobal.com" TargetMode="External"/><Relationship Id="rId3960" Type="http://schemas.openxmlformats.org/officeDocument/2006/relationships/hyperlink" Target="https://aquantia.com/" TargetMode="External"/><Relationship Id="rId2630" Type="http://schemas.openxmlformats.org/officeDocument/2006/relationships/hyperlink" Target="http://planetscale.com" TargetMode="External"/><Relationship Id="rId3962" Type="http://schemas.openxmlformats.org/officeDocument/2006/relationships/hyperlink" Target="https://archiveresale.co/" TargetMode="External"/><Relationship Id="rId1300" Type="http://schemas.openxmlformats.org/officeDocument/2006/relationships/hyperlink" Target="http://seedlegals.com" TargetMode="External"/><Relationship Id="rId2631" Type="http://schemas.openxmlformats.org/officeDocument/2006/relationships/hyperlink" Target="http://payrails.com" TargetMode="External"/><Relationship Id="rId3961" Type="http://schemas.openxmlformats.org/officeDocument/2006/relationships/hyperlink" Target="https://arbornetworks.com/" TargetMode="External"/><Relationship Id="rId3117" Type="http://schemas.openxmlformats.org/officeDocument/2006/relationships/hyperlink" Target="http://moonhub.ai" TargetMode="External"/><Relationship Id="rId3116" Type="http://schemas.openxmlformats.org/officeDocument/2006/relationships/hyperlink" Target="http://li-ind.com" TargetMode="External"/><Relationship Id="rId3119" Type="http://schemas.openxmlformats.org/officeDocument/2006/relationships/hyperlink" Target="http://helloheart.com" TargetMode="External"/><Relationship Id="rId3118" Type="http://schemas.openxmlformats.org/officeDocument/2006/relationships/hyperlink" Target="http://nutanix.com" TargetMode="External"/><Relationship Id="rId3111" Type="http://schemas.openxmlformats.org/officeDocument/2006/relationships/hyperlink" Target="http://fundbox.com" TargetMode="External"/><Relationship Id="rId3110" Type="http://schemas.openxmlformats.org/officeDocument/2006/relationships/hyperlink" Target="http://inkitt.com" TargetMode="External"/><Relationship Id="rId3113" Type="http://schemas.openxmlformats.org/officeDocument/2006/relationships/hyperlink" Target="http://analog-inference.com" TargetMode="External"/><Relationship Id="rId3112" Type="http://schemas.openxmlformats.org/officeDocument/2006/relationships/hyperlink" Target="http://proclaimhealth.com" TargetMode="External"/><Relationship Id="rId3115" Type="http://schemas.openxmlformats.org/officeDocument/2006/relationships/hyperlink" Target="http://blackberry.com" TargetMode="External"/><Relationship Id="rId3114" Type="http://schemas.openxmlformats.org/officeDocument/2006/relationships/hyperlink" Target="http://vayurobotics.com" TargetMode="External"/><Relationship Id="rId3106" Type="http://schemas.openxmlformats.org/officeDocument/2006/relationships/hyperlink" Target="http://rubedolife.com" TargetMode="External"/><Relationship Id="rId4437" Type="http://schemas.openxmlformats.org/officeDocument/2006/relationships/drawing" Target="../drawings/drawing2.xml"/><Relationship Id="rId3105" Type="http://schemas.openxmlformats.org/officeDocument/2006/relationships/hyperlink" Target="http://athena.com" TargetMode="External"/><Relationship Id="rId4436" Type="http://schemas.openxmlformats.org/officeDocument/2006/relationships/hyperlink" Target="https://zyod.com/" TargetMode="External"/><Relationship Id="rId3108" Type="http://schemas.openxmlformats.org/officeDocument/2006/relationships/hyperlink" Target="http://faire.com" TargetMode="External"/><Relationship Id="rId3107" Type="http://schemas.openxmlformats.org/officeDocument/2006/relationships/hyperlink" Target="http://chipstack.ai" TargetMode="External"/><Relationship Id="rId3109" Type="http://schemas.openxmlformats.org/officeDocument/2006/relationships/hyperlink" Target="http://loft.sh" TargetMode="External"/><Relationship Id="rId3100" Type="http://schemas.openxmlformats.org/officeDocument/2006/relationships/hyperlink" Target="http://hioscar.com" TargetMode="External"/><Relationship Id="rId4431" Type="http://schemas.openxmlformats.org/officeDocument/2006/relationships/hyperlink" Target="https://zetwerk.com/" TargetMode="External"/><Relationship Id="rId4430" Type="http://schemas.openxmlformats.org/officeDocument/2006/relationships/hyperlink" Target="https://zest.ai/" TargetMode="External"/><Relationship Id="rId3102" Type="http://schemas.openxmlformats.org/officeDocument/2006/relationships/hyperlink" Target="http://inflammatix.com" TargetMode="External"/><Relationship Id="rId4433" Type="http://schemas.openxmlformats.org/officeDocument/2006/relationships/hyperlink" Target="https://www.zluri.com/" TargetMode="External"/><Relationship Id="rId3101" Type="http://schemas.openxmlformats.org/officeDocument/2006/relationships/hyperlink" Target="http://playback.tv" TargetMode="External"/><Relationship Id="rId4432" Type="http://schemas.openxmlformats.org/officeDocument/2006/relationships/hyperlink" Target="https://zipstack.com/" TargetMode="External"/><Relationship Id="rId3104" Type="http://schemas.openxmlformats.org/officeDocument/2006/relationships/hyperlink" Target="http://synchron.com" TargetMode="External"/><Relationship Id="rId4435" Type="http://schemas.openxmlformats.org/officeDocument/2006/relationships/hyperlink" Target="https://zscaler.com/" TargetMode="External"/><Relationship Id="rId3103" Type="http://schemas.openxmlformats.org/officeDocument/2006/relationships/hyperlink" Target="http://replika.ai" TargetMode="External"/><Relationship Id="rId4434" Type="http://schemas.openxmlformats.org/officeDocument/2006/relationships/hyperlink" Target="https://zolve.com/" TargetMode="External"/><Relationship Id="rId3139" Type="http://schemas.openxmlformats.org/officeDocument/2006/relationships/hyperlink" Target="http://nutanix.com" TargetMode="External"/><Relationship Id="rId3138" Type="http://schemas.openxmlformats.org/officeDocument/2006/relationships/hyperlink" Target="http://mainspringenergy.com" TargetMode="External"/><Relationship Id="rId3131" Type="http://schemas.openxmlformats.org/officeDocument/2006/relationships/hyperlink" Target="http://inkitt.com" TargetMode="External"/><Relationship Id="rId3130" Type="http://schemas.openxmlformats.org/officeDocument/2006/relationships/hyperlink" Target="http://upstart.com" TargetMode="External"/><Relationship Id="rId3133" Type="http://schemas.openxmlformats.org/officeDocument/2006/relationships/hyperlink" Target="http://proclaimhealth.com" TargetMode="External"/><Relationship Id="rId3132" Type="http://schemas.openxmlformats.org/officeDocument/2006/relationships/hyperlink" Target="http://hermeus.com" TargetMode="External"/><Relationship Id="rId3135" Type="http://schemas.openxmlformats.org/officeDocument/2006/relationships/hyperlink" Target="http://blackberry.com" TargetMode="External"/><Relationship Id="rId3134" Type="http://schemas.openxmlformats.org/officeDocument/2006/relationships/hyperlink" Target="http://caelux.com" TargetMode="External"/><Relationship Id="rId3137" Type="http://schemas.openxmlformats.org/officeDocument/2006/relationships/hyperlink" Target="http://moonhub.ai" TargetMode="External"/><Relationship Id="rId3136" Type="http://schemas.openxmlformats.org/officeDocument/2006/relationships/hyperlink" Target="http://lanzatech.com" TargetMode="External"/><Relationship Id="rId3128" Type="http://schemas.openxmlformats.org/officeDocument/2006/relationships/hyperlink" Target="http://at-bay.com" TargetMode="External"/><Relationship Id="rId3127" Type="http://schemas.openxmlformats.org/officeDocument/2006/relationships/hyperlink" Target="http://rubedolife.com" TargetMode="External"/><Relationship Id="rId3129" Type="http://schemas.openxmlformats.org/officeDocument/2006/relationships/hyperlink" Target="http://faire.com" TargetMode="External"/><Relationship Id="rId3120" Type="http://schemas.openxmlformats.org/officeDocument/2006/relationships/hyperlink" Target="http://polyai.com" TargetMode="External"/><Relationship Id="rId3122" Type="http://schemas.openxmlformats.org/officeDocument/2006/relationships/hyperlink" Target="http://sakana.ai" TargetMode="External"/><Relationship Id="rId3121" Type="http://schemas.openxmlformats.org/officeDocument/2006/relationships/hyperlink" Target="http://hioscar.com" TargetMode="External"/><Relationship Id="rId3124" Type="http://schemas.openxmlformats.org/officeDocument/2006/relationships/hyperlink" Target="http://sarvam.ai" TargetMode="External"/><Relationship Id="rId3123" Type="http://schemas.openxmlformats.org/officeDocument/2006/relationships/hyperlink" Target="http://inflammatix.com" TargetMode="External"/><Relationship Id="rId3126" Type="http://schemas.openxmlformats.org/officeDocument/2006/relationships/hyperlink" Target="http://vectranetworks.com" TargetMode="External"/><Relationship Id="rId3125" Type="http://schemas.openxmlformats.org/officeDocument/2006/relationships/hyperlink" Target="http://synchron.com" TargetMode="External"/><Relationship Id="rId1378" Type="http://schemas.openxmlformats.org/officeDocument/2006/relationships/hyperlink" Target="http://natoma.id" TargetMode="External"/><Relationship Id="rId4404" Type="http://schemas.openxmlformats.org/officeDocument/2006/relationships/hyperlink" Target="https://sap.com/" TargetMode="External"/><Relationship Id="rId1379" Type="http://schemas.openxmlformats.org/officeDocument/2006/relationships/hyperlink" Target="http://sourceful.com" TargetMode="External"/><Relationship Id="rId4403" Type="http://schemas.openxmlformats.org/officeDocument/2006/relationships/hyperlink" Target="https://vexata.com/" TargetMode="External"/><Relationship Id="rId4406" Type="http://schemas.openxmlformats.org/officeDocument/2006/relationships/hyperlink" Target="https://www.volleythat.com/" TargetMode="External"/><Relationship Id="rId4405" Type="http://schemas.openxmlformats.org/officeDocument/2006/relationships/hyperlink" Target="https://virtualinstruments.com/" TargetMode="External"/><Relationship Id="rId4408" Type="http://schemas.openxmlformats.org/officeDocument/2006/relationships/hyperlink" Target="https://www.wayz.ai/" TargetMode="External"/><Relationship Id="rId4407" Type="http://schemas.openxmlformats.org/officeDocument/2006/relationships/hyperlink" Target="https://voltrondata.com/" TargetMode="External"/><Relationship Id="rId4409" Type="http://schemas.openxmlformats.org/officeDocument/2006/relationships/hyperlink" Target="https://webull.com/" TargetMode="External"/><Relationship Id="rId789" Type="http://schemas.openxmlformats.org/officeDocument/2006/relationships/hyperlink" Target="http://mobot.io" TargetMode="External"/><Relationship Id="rId788" Type="http://schemas.openxmlformats.org/officeDocument/2006/relationships/hyperlink" Target="http://mindfi.co" TargetMode="External"/><Relationship Id="rId787" Type="http://schemas.openxmlformats.org/officeDocument/2006/relationships/hyperlink" Target="http://mobileboost.io" TargetMode="External"/><Relationship Id="rId786" Type="http://schemas.openxmlformats.org/officeDocument/2006/relationships/hyperlink" Target="http://miggos.com" TargetMode="External"/><Relationship Id="rId781" Type="http://schemas.openxmlformats.org/officeDocument/2006/relationships/hyperlink" Target="http://mintlify.com" TargetMode="External"/><Relationship Id="rId1370" Type="http://schemas.openxmlformats.org/officeDocument/2006/relationships/hyperlink" Target="http://gatsbyjs.com" TargetMode="External"/><Relationship Id="rId780" Type="http://schemas.openxmlformats.org/officeDocument/2006/relationships/hyperlink" Target="http://mindsdb.com" TargetMode="External"/><Relationship Id="rId1371" Type="http://schemas.openxmlformats.org/officeDocument/2006/relationships/hyperlink" Target="http://trello.com" TargetMode="External"/><Relationship Id="rId1372" Type="http://schemas.openxmlformats.org/officeDocument/2006/relationships/hyperlink" Target="http://humu.com" TargetMode="External"/><Relationship Id="rId1373" Type="http://schemas.openxmlformats.org/officeDocument/2006/relationships/hyperlink" Target="http://izettle.com" TargetMode="External"/><Relationship Id="rId785" Type="http://schemas.openxmlformats.org/officeDocument/2006/relationships/hyperlink" Target="http://mixrank.com" TargetMode="External"/><Relationship Id="rId1374" Type="http://schemas.openxmlformats.org/officeDocument/2006/relationships/hyperlink" Target="http://lightning.ai" TargetMode="External"/><Relationship Id="rId4400" Type="http://schemas.openxmlformats.org/officeDocument/2006/relationships/hyperlink" Target="https://vegrow.in/" TargetMode="External"/><Relationship Id="rId784" Type="http://schemas.openxmlformats.org/officeDocument/2006/relationships/hyperlink" Target="http://middleware.io" TargetMode="External"/><Relationship Id="rId1375" Type="http://schemas.openxmlformats.org/officeDocument/2006/relationships/hyperlink" Target="http://navabi.tv" TargetMode="External"/><Relationship Id="rId783" Type="http://schemas.openxmlformats.org/officeDocument/2006/relationships/hyperlink" Target="http://m.io" TargetMode="External"/><Relationship Id="rId1376" Type="http://schemas.openxmlformats.org/officeDocument/2006/relationships/hyperlink" Target="http://oanda.com" TargetMode="External"/><Relationship Id="rId4402" Type="http://schemas.openxmlformats.org/officeDocument/2006/relationships/hyperlink" Target="https://vestwell.com/" TargetMode="External"/><Relationship Id="rId782" Type="http://schemas.openxmlformats.org/officeDocument/2006/relationships/hyperlink" Target="http://middesk.com" TargetMode="External"/><Relationship Id="rId1377" Type="http://schemas.openxmlformats.org/officeDocument/2006/relationships/hyperlink" Target="http://multiverse.io" TargetMode="External"/><Relationship Id="rId4401" Type="http://schemas.openxmlformats.org/officeDocument/2006/relationships/hyperlink" Target="https://verkada.com/" TargetMode="External"/><Relationship Id="rId1367" Type="http://schemas.openxmlformats.org/officeDocument/2006/relationships/hyperlink" Target="http://pilot.com" TargetMode="External"/><Relationship Id="rId2698" Type="http://schemas.openxmlformats.org/officeDocument/2006/relationships/hyperlink" Target="http://radiantnuclear.com" TargetMode="External"/><Relationship Id="rId1368" Type="http://schemas.openxmlformats.org/officeDocument/2006/relationships/hyperlink" Target="http://duffel.com" TargetMode="External"/><Relationship Id="rId2699" Type="http://schemas.openxmlformats.org/officeDocument/2006/relationships/hyperlink" Target="http://regression.gg" TargetMode="External"/><Relationship Id="rId1369" Type="http://schemas.openxmlformats.org/officeDocument/2006/relationships/hyperlink" Target="http://sanlo.io" TargetMode="External"/><Relationship Id="rId778" Type="http://schemas.openxmlformats.org/officeDocument/2006/relationships/hyperlink" Target="http://mindee.com" TargetMode="External"/><Relationship Id="rId777" Type="http://schemas.openxmlformats.org/officeDocument/2006/relationships/hyperlink" Target="http://mesh.ai" TargetMode="External"/><Relationship Id="rId776" Type="http://schemas.openxmlformats.org/officeDocument/2006/relationships/hyperlink" Target="http://mindfi.co" TargetMode="External"/><Relationship Id="rId775" Type="http://schemas.openxmlformats.org/officeDocument/2006/relationships/hyperlink" Target="http://meru.com" TargetMode="External"/><Relationship Id="rId779" Type="http://schemas.openxmlformats.org/officeDocument/2006/relationships/hyperlink" Target="http://metal.so" TargetMode="External"/><Relationship Id="rId770" Type="http://schemas.openxmlformats.org/officeDocument/2006/relationships/hyperlink" Target="http://middesk.com" TargetMode="External"/><Relationship Id="rId2690" Type="http://schemas.openxmlformats.org/officeDocument/2006/relationships/hyperlink" Target="http://quago.io" TargetMode="External"/><Relationship Id="rId1360" Type="http://schemas.openxmlformats.org/officeDocument/2006/relationships/hyperlink" Target="http://codecademy.com" TargetMode="External"/><Relationship Id="rId2691" Type="http://schemas.openxmlformats.org/officeDocument/2006/relationships/hyperlink" Target="http://readyplayer.me" TargetMode="External"/><Relationship Id="rId1361" Type="http://schemas.openxmlformats.org/officeDocument/2006/relationships/hyperlink" Target="http://natoma.id" TargetMode="External"/><Relationship Id="rId2692" Type="http://schemas.openxmlformats.org/officeDocument/2006/relationships/hyperlink" Target="http://quora.com" TargetMode="External"/><Relationship Id="rId1362" Type="http://schemas.openxmlformats.org/officeDocument/2006/relationships/hyperlink" Target="http://deepl.com" TargetMode="External"/><Relationship Id="rId2693" Type="http://schemas.openxmlformats.org/officeDocument/2006/relationships/hyperlink" Target="http://reface.ai" TargetMode="External"/><Relationship Id="rId774" Type="http://schemas.openxmlformats.org/officeDocument/2006/relationships/hyperlink" Target="http://miggos.com" TargetMode="External"/><Relationship Id="rId1363" Type="http://schemas.openxmlformats.org/officeDocument/2006/relationships/hyperlink" Target="http://classcompanion.com" TargetMode="External"/><Relationship Id="rId2694" Type="http://schemas.openxmlformats.org/officeDocument/2006/relationships/hyperlink" Target="http://rabb.it" TargetMode="External"/><Relationship Id="rId773" Type="http://schemas.openxmlformats.org/officeDocument/2006/relationships/hyperlink" Target="http://usemeru.com" TargetMode="External"/><Relationship Id="rId1364" Type="http://schemas.openxmlformats.org/officeDocument/2006/relationships/hyperlink" Target="http://discordapp.com" TargetMode="External"/><Relationship Id="rId2695" Type="http://schemas.openxmlformats.org/officeDocument/2006/relationships/hyperlink" Target="http://reforge.com" TargetMode="External"/><Relationship Id="rId772" Type="http://schemas.openxmlformats.org/officeDocument/2006/relationships/hyperlink" Target="http://middleware.io" TargetMode="External"/><Relationship Id="rId1365" Type="http://schemas.openxmlformats.org/officeDocument/2006/relationships/hyperlink" Target="http://coverwallet.com" TargetMode="External"/><Relationship Id="rId2696" Type="http://schemas.openxmlformats.org/officeDocument/2006/relationships/hyperlink" Target="http://rademploy.com" TargetMode="External"/><Relationship Id="rId771" Type="http://schemas.openxmlformats.org/officeDocument/2006/relationships/hyperlink" Target="http://memfault.com" TargetMode="External"/><Relationship Id="rId1366" Type="http://schemas.openxmlformats.org/officeDocument/2006/relationships/hyperlink" Target="http://dotproduct.xyz" TargetMode="External"/><Relationship Id="rId2697" Type="http://schemas.openxmlformats.org/officeDocument/2006/relationships/hyperlink" Target="http://regrello.com" TargetMode="External"/><Relationship Id="rId4426" Type="http://schemas.openxmlformats.org/officeDocument/2006/relationships/hyperlink" Target="https://tryzapp.com/" TargetMode="External"/><Relationship Id="rId4425" Type="http://schemas.openxmlformats.org/officeDocument/2006/relationships/hyperlink" Target="https://yuga.com/" TargetMode="External"/><Relationship Id="rId4428" Type="http://schemas.openxmlformats.org/officeDocument/2006/relationships/hyperlink" Target="https://www.zeptonow.com/" TargetMode="External"/><Relationship Id="rId4427" Type="http://schemas.openxmlformats.org/officeDocument/2006/relationships/hyperlink" Target="https://zebec.io/" TargetMode="External"/><Relationship Id="rId4429" Type="http://schemas.openxmlformats.org/officeDocument/2006/relationships/hyperlink" Target="https://zerion.io/" TargetMode="External"/><Relationship Id="rId1390" Type="http://schemas.openxmlformats.org/officeDocument/2006/relationships/hyperlink" Target="http://creditbenchmark.com" TargetMode="External"/><Relationship Id="rId1391" Type="http://schemas.openxmlformats.org/officeDocument/2006/relationships/hyperlink" Target="http://nexthink.com" TargetMode="External"/><Relationship Id="rId1392" Type="http://schemas.openxmlformats.org/officeDocument/2006/relationships/hyperlink" Target="http://sesolabor.com" TargetMode="External"/><Relationship Id="rId1393" Type="http://schemas.openxmlformats.org/officeDocument/2006/relationships/hyperlink" Target="http://oanda.com" TargetMode="External"/><Relationship Id="rId1394" Type="http://schemas.openxmlformats.org/officeDocument/2006/relationships/hyperlink" Target="http://adyen.com" TargetMode="External"/><Relationship Id="rId4420" Type="http://schemas.openxmlformats.org/officeDocument/2006/relationships/hyperlink" Target="https://xflowpay.com/" TargetMode="External"/><Relationship Id="rId1395" Type="http://schemas.openxmlformats.org/officeDocument/2006/relationships/hyperlink" Target="http://boku.com" TargetMode="External"/><Relationship Id="rId1396" Type="http://schemas.openxmlformats.org/officeDocument/2006/relationships/hyperlink" Target="http://sourceful.com" TargetMode="External"/><Relationship Id="rId4422" Type="http://schemas.openxmlformats.org/officeDocument/2006/relationships/hyperlink" Target="https://yellowmessenger.com/" TargetMode="External"/><Relationship Id="rId1397" Type="http://schemas.openxmlformats.org/officeDocument/2006/relationships/hyperlink" Target="http://cartesia.ai" TargetMode="External"/><Relationship Id="rId4421" Type="http://schemas.openxmlformats.org/officeDocument/2006/relationships/hyperlink" Target="https://shopyaysay.com/" TargetMode="External"/><Relationship Id="rId1398" Type="http://schemas.openxmlformats.org/officeDocument/2006/relationships/hyperlink" Target="http://squarespace.com" TargetMode="External"/><Relationship Id="rId4424" Type="http://schemas.openxmlformats.org/officeDocument/2006/relationships/hyperlink" Target="https://www.go-yubi.com/" TargetMode="External"/><Relationship Id="rId1399" Type="http://schemas.openxmlformats.org/officeDocument/2006/relationships/hyperlink" Target="http://gruppomol.it" TargetMode="External"/><Relationship Id="rId4423" Type="http://schemas.openxmlformats.org/officeDocument/2006/relationships/hyperlink" Target="https://www.you.co/sg/" TargetMode="External"/><Relationship Id="rId1389" Type="http://schemas.openxmlformats.org/officeDocument/2006/relationships/hyperlink" Target="http://getbuilt.com" TargetMode="External"/><Relationship Id="rId4415" Type="http://schemas.openxmlformats.org/officeDocument/2006/relationships/hyperlink" Target="https://witag.co/" TargetMode="External"/><Relationship Id="rId4414" Type="http://schemas.openxmlformats.org/officeDocument/2006/relationships/hyperlink" Target="https://wintermute.com/" TargetMode="External"/><Relationship Id="rId4417" Type="http://schemas.openxmlformats.org/officeDocument/2006/relationships/hyperlink" Target="https://xaira.com/" TargetMode="External"/><Relationship Id="rId4416" Type="http://schemas.openxmlformats.org/officeDocument/2006/relationships/hyperlink" Target="https://workos.com/" TargetMode="External"/><Relationship Id="rId4419" Type="http://schemas.openxmlformats.org/officeDocument/2006/relationships/hyperlink" Target="https://xentral.com/" TargetMode="External"/><Relationship Id="rId4418" Type="http://schemas.openxmlformats.org/officeDocument/2006/relationships/hyperlink" Target="https://xembly.com/" TargetMode="External"/><Relationship Id="rId799" Type="http://schemas.openxmlformats.org/officeDocument/2006/relationships/hyperlink" Target="http://usemotion.com" TargetMode="External"/><Relationship Id="rId798" Type="http://schemas.openxmlformats.org/officeDocument/2006/relationships/hyperlink" Target="http://mixrank.com" TargetMode="External"/><Relationship Id="rId797" Type="http://schemas.openxmlformats.org/officeDocument/2006/relationships/hyperlink" Target="http://moltin.com" TargetMode="External"/><Relationship Id="rId1380" Type="http://schemas.openxmlformats.org/officeDocument/2006/relationships/hyperlink" Target="http://classcompanion.com" TargetMode="External"/><Relationship Id="rId792" Type="http://schemas.openxmlformats.org/officeDocument/2006/relationships/hyperlink" Target="http://mindsdb.com" TargetMode="External"/><Relationship Id="rId1381" Type="http://schemas.openxmlformats.org/officeDocument/2006/relationships/hyperlink" Target="http://squarespace.com" TargetMode="External"/><Relationship Id="rId791" Type="http://schemas.openxmlformats.org/officeDocument/2006/relationships/hyperlink" Target="http://mobydish.com" TargetMode="External"/><Relationship Id="rId1382" Type="http://schemas.openxmlformats.org/officeDocument/2006/relationships/hyperlink" Target="http://coverwallet.com" TargetMode="External"/><Relationship Id="rId790" Type="http://schemas.openxmlformats.org/officeDocument/2006/relationships/hyperlink" Target="http://mindee.com" TargetMode="External"/><Relationship Id="rId1383" Type="http://schemas.openxmlformats.org/officeDocument/2006/relationships/hyperlink" Target="http://superconductive.com" TargetMode="External"/><Relationship Id="rId1384" Type="http://schemas.openxmlformats.org/officeDocument/2006/relationships/hyperlink" Target="http://pilot.com" TargetMode="External"/><Relationship Id="rId796" Type="http://schemas.openxmlformats.org/officeDocument/2006/relationships/hyperlink" Target="http://m.io" TargetMode="External"/><Relationship Id="rId1385" Type="http://schemas.openxmlformats.org/officeDocument/2006/relationships/hyperlink" Target="http://temporal.io" TargetMode="External"/><Relationship Id="rId4411" Type="http://schemas.openxmlformats.org/officeDocument/2006/relationships/hyperlink" Target="https://whatnot.com/" TargetMode="External"/><Relationship Id="rId795" Type="http://schemas.openxmlformats.org/officeDocument/2006/relationships/hyperlink" Target="http://modernloop.io" TargetMode="External"/><Relationship Id="rId1386" Type="http://schemas.openxmlformats.org/officeDocument/2006/relationships/hyperlink" Target="http://sanlo.io" TargetMode="External"/><Relationship Id="rId4410" Type="http://schemas.openxmlformats.org/officeDocument/2006/relationships/hyperlink" Target="https://sayweee.com/" TargetMode="External"/><Relationship Id="rId794" Type="http://schemas.openxmlformats.org/officeDocument/2006/relationships/hyperlink" Target="http://mintlify.com" TargetMode="External"/><Relationship Id="rId1387" Type="http://schemas.openxmlformats.org/officeDocument/2006/relationships/hyperlink" Target="http://purestorage.com" TargetMode="External"/><Relationship Id="rId4413" Type="http://schemas.openxmlformats.org/officeDocument/2006/relationships/hyperlink" Target="https://wi-charge.com/" TargetMode="External"/><Relationship Id="rId793" Type="http://schemas.openxmlformats.org/officeDocument/2006/relationships/hyperlink" Target="http://modalup.com" TargetMode="External"/><Relationship Id="rId1388" Type="http://schemas.openxmlformats.org/officeDocument/2006/relationships/hyperlink" Target="http://trello.com" TargetMode="External"/><Relationship Id="rId4412" Type="http://schemas.openxmlformats.org/officeDocument/2006/relationships/hyperlink" Target="https://wheelocity.com/" TargetMode="External"/><Relationship Id="rId3191" Type="http://schemas.openxmlformats.org/officeDocument/2006/relationships/hyperlink" Target="http://upandup.co" TargetMode="External"/><Relationship Id="rId3190" Type="http://schemas.openxmlformats.org/officeDocument/2006/relationships/hyperlink" Target="http://aven.com" TargetMode="External"/><Relationship Id="rId3193" Type="http://schemas.openxmlformats.org/officeDocument/2006/relationships/hyperlink" Target="http://vivodyne.com" TargetMode="External"/><Relationship Id="rId3192" Type="http://schemas.openxmlformats.org/officeDocument/2006/relationships/hyperlink" Target="http://stylusmedicine.com" TargetMode="External"/><Relationship Id="rId3195" Type="http://schemas.openxmlformats.org/officeDocument/2006/relationships/hyperlink" Target="http://teamshares.com" TargetMode="External"/><Relationship Id="rId3194" Type="http://schemas.openxmlformats.org/officeDocument/2006/relationships/hyperlink" Target="http://fulfil.com" TargetMode="External"/><Relationship Id="rId3197" Type="http://schemas.openxmlformats.org/officeDocument/2006/relationships/hyperlink" Target="http://varda.com" TargetMode="External"/><Relationship Id="rId3196" Type="http://schemas.openxmlformats.org/officeDocument/2006/relationships/hyperlink" Target="http://abc.xyz" TargetMode="External"/><Relationship Id="rId3199" Type="http://schemas.openxmlformats.org/officeDocument/2006/relationships/hyperlink" Target="http://zendar.io" TargetMode="External"/><Relationship Id="rId3198" Type="http://schemas.openxmlformats.org/officeDocument/2006/relationships/hyperlink" Target="http://windbornesystems.com" TargetMode="External"/><Relationship Id="rId3180" Type="http://schemas.openxmlformats.org/officeDocument/2006/relationships/hyperlink" Target="http://prellisbio.com" TargetMode="External"/><Relationship Id="rId3182" Type="http://schemas.openxmlformats.org/officeDocument/2006/relationships/hyperlink" Target="http://lightfieldlab.com" TargetMode="External"/><Relationship Id="rId3181" Type="http://schemas.openxmlformats.org/officeDocument/2006/relationships/hyperlink" Target="http://aguamarina.cl" TargetMode="External"/><Relationship Id="rId3184" Type="http://schemas.openxmlformats.org/officeDocument/2006/relationships/hyperlink" Target="http://luzia.com" TargetMode="External"/><Relationship Id="rId3183" Type="http://schemas.openxmlformats.org/officeDocument/2006/relationships/hyperlink" Target="http://leaftfoods.com" TargetMode="External"/><Relationship Id="rId3186" Type="http://schemas.openxmlformats.org/officeDocument/2006/relationships/hyperlink" Target="http://somneesleep.com" TargetMode="External"/><Relationship Id="rId3185" Type="http://schemas.openxmlformats.org/officeDocument/2006/relationships/hyperlink" Target="http://headspacehealth.com" TargetMode="External"/><Relationship Id="rId3188" Type="http://schemas.openxmlformats.org/officeDocument/2006/relationships/hyperlink" Target="http://exaforce.com" TargetMode="External"/><Relationship Id="rId3187" Type="http://schemas.openxmlformats.org/officeDocument/2006/relationships/hyperlink" Target="http://cellfebiotech.com" TargetMode="External"/><Relationship Id="rId3189" Type="http://schemas.openxmlformats.org/officeDocument/2006/relationships/hyperlink" Target="http://loyalfordogs.com" TargetMode="External"/><Relationship Id="rId3151" Type="http://schemas.openxmlformats.org/officeDocument/2006/relationships/hyperlink" Target="http://upstart.com" TargetMode="External"/><Relationship Id="rId3150" Type="http://schemas.openxmlformats.org/officeDocument/2006/relationships/hyperlink" Target="http://flowneuroscience.com" TargetMode="External"/><Relationship Id="rId3153" Type="http://schemas.openxmlformats.org/officeDocument/2006/relationships/hyperlink" Target="http://bionautlabs.com" TargetMode="External"/><Relationship Id="rId3152" Type="http://schemas.openxmlformats.org/officeDocument/2006/relationships/hyperlink" Target="http://hermeus.com" TargetMode="External"/><Relationship Id="rId3155" Type="http://schemas.openxmlformats.org/officeDocument/2006/relationships/hyperlink" Target="http://cellinobio.com" TargetMode="External"/><Relationship Id="rId3154" Type="http://schemas.openxmlformats.org/officeDocument/2006/relationships/hyperlink" Target="http://caelux.com" TargetMode="External"/><Relationship Id="rId3157" Type="http://schemas.openxmlformats.org/officeDocument/2006/relationships/hyperlink" Target="http://lanzatech.com" TargetMode="External"/><Relationship Id="rId3156" Type="http://schemas.openxmlformats.org/officeDocument/2006/relationships/hyperlink" Target="http://everyonemedicines.com" TargetMode="External"/><Relationship Id="rId3159" Type="http://schemas.openxmlformats.org/officeDocument/2006/relationships/hyperlink" Target="http://mainspringenergy.com" TargetMode="External"/><Relationship Id="rId3158" Type="http://schemas.openxmlformats.org/officeDocument/2006/relationships/hyperlink" Target="http://liberatebio.com" TargetMode="External"/><Relationship Id="rId3149" Type="http://schemas.openxmlformats.org/officeDocument/2006/relationships/hyperlink" Target="http://at-bay.com" TargetMode="External"/><Relationship Id="rId3140" Type="http://schemas.openxmlformats.org/officeDocument/2006/relationships/hyperlink" Target="http://quantumscape.com" TargetMode="External"/><Relationship Id="rId3142" Type="http://schemas.openxmlformats.org/officeDocument/2006/relationships/hyperlink" Target="http://verdagy.com" TargetMode="External"/><Relationship Id="rId3141" Type="http://schemas.openxmlformats.org/officeDocument/2006/relationships/hyperlink" Target="http://polyai.com" TargetMode="External"/><Relationship Id="rId3144" Type="http://schemas.openxmlformats.org/officeDocument/2006/relationships/hyperlink" Target="http://radai.com" TargetMode="External"/><Relationship Id="rId3143" Type="http://schemas.openxmlformats.org/officeDocument/2006/relationships/hyperlink" Target="http://sakana.ai" TargetMode="External"/><Relationship Id="rId3146" Type="http://schemas.openxmlformats.org/officeDocument/2006/relationships/hyperlink" Target="http://rightwayhealthcare.com" TargetMode="External"/><Relationship Id="rId3145" Type="http://schemas.openxmlformats.org/officeDocument/2006/relationships/hyperlink" Target="http://sarvam.ai" TargetMode="External"/><Relationship Id="rId3148" Type="http://schemas.openxmlformats.org/officeDocument/2006/relationships/hyperlink" Target="http://tortus.ai" TargetMode="External"/><Relationship Id="rId3147" Type="http://schemas.openxmlformats.org/officeDocument/2006/relationships/hyperlink" Target="http://vectranetworks.com" TargetMode="External"/><Relationship Id="rId3171" Type="http://schemas.openxmlformats.org/officeDocument/2006/relationships/hyperlink" Target="http://flowneuroscience.com" TargetMode="External"/><Relationship Id="rId3170" Type="http://schemas.openxmlformats.org/officeDocument/2006/relationships/hyperlink" Target="http://aven.com" TargetMode="External"/><Relationship Id="rId3173" Type="http://schemas.openxmlformats.org/officeDocument/2006/relationships/hyperlink" Target="http://bionautlabs.com" TargetMode="External"/><Relationship Id="rId3172" Type="http://schemas.openxmlformats.org/officeDocument/2006/relationships/hyperlink" Target="http://upandup.co" TargetMode="External"/><Relationship Id="rId3175" Type="http://schemas.openxmlformats.org/officeDocument/2006/relationships/hyperlink" Target="http://fulfil.com" TargetMode="External"/><Relationship Id="rId3174" Type="http://schemas.openxmlformats.org/officeDocument/2006/relationships/hyperlink" Target="http://cellinobio.com" TargetMode="External"/><Relationship Id="rId3177" Type="http://schemas.openxmlformats.org/officeDocument/2006/relationships/hyperlink" Target="http://abc.xyz" TargetMode="External"/><Relationship Id="rId3176" Type="http://schemas.openxmlformats.org/officeDocument/2006/relationships/hyperlink" Target="http://everyonemedicines.com" TargetMode="External"/><Relationship Id="rId3179" Type="http://schemas.openxmlformats.org/officeDocument/2006/relationships/hyperlink" Target="http://windbornesystems.com" TargetMode="External"/><Relationship Id="rId3178" Type="http://schemas.openxmlformats.org/officeDocument/2006/relationships/hyperlink" Target="http://liberatebio.com" TargetMode="External"/><Relationship Id="rId3160" Type="http://schemas.openxmlformats.org/officeDocument/2006/relationships/hyperlink" Target="http://prellisbio.com" TargetMode="External"/><Relationship Id="rId3162" Type="http://schemas.openxmlformats.org/officeDocument/2006/relationships/hyperlink" Target="http://lightfieldlab.com" TargetMode="External"/><Relationship Id="rId3161" Type="http://schemas.openxmlformats.org/officeDocument/2006/relationships/hyperlink" Target="http://quantumscape.com" TargetMode="External"/><Relationship Id="rId3164" Type="http://schemas.openxmlformats.org/officeDocument/2006/relationships/hyperlink" Target="http://luzia.com" TargetMode="External"/><Relationship Id="rId3163" Type="http://schemas.openxmlformats.org/officeDocument/2006/relationships/hyperlink" Target="http://verdagy.com" TargetMode="External"/><Relationship Id="rId3166" Type="http://schemas.openxmlformats.org/officeDocument/2006/relationships/hyperlink" Target="http://somneesleep.com" TargetMode="External"/><Relationship Id="rId3165" Type="http://schemas.openxmlformats.org/officeDocument/2006/relationships/hyperlink" Target="http://radai.com" TargetMode="External"/><Relationship Id="rId3168" Type="http://schemas.openxmlformats.org/officeDocument/2006/relationships/hyperlink" Target="http://exaforce.com" TargetMode="External"/><Relationship Id="rId3167" Type="http://schemas.openxmlformats.org/officeDocument/2006/relationships/hyperlink" Target="http://rightwayhealthcare.com" TargetMode="External"/><Relationship Id="rId3169" Type="http://schemas.openxmlformats.org/officeDocument/2006/relationships/hyperlink" Target="http://tortus.ai" TargetMode="External"/><Relationship Id="rId2700" Type="http://schemas.openxmlformats.org/officeDocument/2006/relationships/hyperlink" Target="http://raidbase.com" TargetMode="External"/><Relationship Id="rId2701" Type="http://schemas.openxmlformats.org/officeDocument/2006/relationships/hyperlink" Target="http://rapidapi.com" TargetMode="External"/><Relationship Id="rId2702" Type="http://schemas.openxmlformats.org/officeDocument/2006/relationships/hyperlink" Target="http://replay.io" TargetMode="External"/><Relationship Id="rId2703" Type="http://schemas.openxmlformats.org/officeDocument/2006/relationships/hyperlink" Target="http://about.rappi.com" TargetMode="External"/><Relationship Id="rId2704" Type="http://schemas.openxmlformats.org/officeDocument/2006/relationships/hyperlink" Target="http://replit.com" TargetMode="External"/><Relationship Id="rId2705" Type="http://schemas.openxmlformats.org/officeDocument/2006/relationships/hyperlink" Target="http://rasa.com" TargetMode="External"/><Relationship Id="rId2706" Type="http://schemas.openxmlformats.org/officeDocument/2006/relationships/hyperlink" Target="http://resend.com" TargetMode="External"/><Relationship Id="rId2707" Type="http://schemas.openxmlformats.org/officeDocument/2006/relationships/hyperlink" Target="http://rascalgames.com" TargetMode="External"/><Relationship Id="rId2708" Type="http://schemas.openxmlformats.org/officeDocument/2006/relationships/hyperlink" Target="http://resourcely.io" TargetMode="External"/><Relationship Id="rId2709" Type="http://schemas.openxmlformats.org/officeDocument/2006/relationships/hyperlink" Target="http://raspberry.ai" TargetMode="External"/><Relationship Id="rId2720" Type="http://schemas.openxmlformats.org/officeDocument/2006/relationships/hyperlink" Target="http://regression.gg" TargetMode="External"/><Relationship Id="rId2721" Type="http://schemas.openxmlformats.org/officeDocument/2006/relationships/hyperlink" Target="http://rollup.ai" TargetMode="External"/><Relationship Id="rId2722" Type="http://schemas.openxmlformats.org/officeDocument/2006/relationships/hyperlink" Target="http://rometx.com" TargetMode="External"/><Relationship Id="rId2723" Type="http://schemas.openxmlformats.org/officeDocument/2006/relationships/hyperlink" Target="http://replay.io" TargetMode="External"/><Relationship Id="rId2724" Type="http://schemas.openxmlformats.org/officeDocument/2006/relationships/hyperlink" Target="http://rosebud.ai" TargetMode="External"/><Relationship Id="rId2725" Type="http://schemas.openxmlformats.org/officeDocument/2006/relationships/hyperlink" Target="http://replit.com" TargetMode="External"/><Relationship Id="rId2726" Type="http://schemas.openxmlformats.org/officeDocument/2006/relationships/hyperlink" Target="http://royal.io" TargetMode="External"/><Relationship Id="rId2727" Type="http://schemas.openxmlformats.org/officeDocument/2006/relationships/hyperlink" Target="http://resend.com" TargetMode="External"/><Relationship Id="rId2728" Type="http://schemas.openxmlformats.org/officeDocument/2006/relationships/hyperlink" Target="http://resourcely.io" TargetMode="External"/><Relationship Id="rId2729" Type="http://schemas.openxmlformats.org/officeDocument/2006/relationships/hyperlink" Target="http://runloop.xyz" TargetMode="External"/><Relationship Id="rId2710" Type="http://schemas.openxmlformats.org/officeDocument/2006/relationships/hyperlink" Target="http://rewatch.com" TargetMode="External"/><Relationship Id="rId2711" Type="http://schemas.openxmlformats.org/officeDocument/2006/relationships/hyperlink" Target="http://playonray.com" TargetMode="External"/><Relationship Id="rId2712" Type="http://schemas.openxmlformats.org/officeDocument/2006/relationships/hyperlink" Target="http://rezotx.com" TargetMode="External"/><Relationship Id="rId2713" Type="http://schemas.openxmlformats.org/officeDocument/2006/relationships/hyperlink" Target="http://readyplayer.me" TargetMode="External"/><Relationship Id="rId2714" Type="http://schemas.openxmlformats.org/officeDocument/2006/relationships/hyperlink" Target="http://reface.ai" TargetMode="External"/><Relationship Id="rId2715" Type="http://schemas.openxmlformats.org/officeDocument/2006/relationships/hyperlink" Target="http://rivet.gg" TargetMode="External"/><Relationship Id="rId2716" Type="http://schemas.openxmlformats.org/officeDocument/2006/relationships/hyperlink" Target="http://reforge.com" TargetMode="External"/><Relationship Id="rId2717" Type="http://schemas.openxmlformats.org/officeDocument/2006/relationships/hyperlink" Target="http://forte.io" TargetMode="External"/><Relationship Id="rId2718" Type="http://schemas.openxmlformats.org/officeDocument/2006/relationships/hyperlink" Target="http://regrello.com" TargetMode="External"/><Relationship Id="rId2719" Type="http://schemas.openxmlformats.org/officeDocument/2006/relationships/hyperlink" Target="http://robotogames.com" TargetMode="External"/><Relationship Id="rId1455" Type="http://schemas.openxmlformats.org/officeDocument/2006/relationships/hyperlink" Target="http://ongoody.com" TargetMode="External"/><Relationship Id="rId2786" Type="http://schemas.openxmlformats.org/officeDocument/2006/relationships/hyperlink" Target="http://singularity6.com" TargetMode="External"/><Relationship Id="rId1456" Type="http://schemas.openxmlformats.org/officeDocument/2006/relationships/hyperlink" Target="http://threadai.com" TargetMode="External"/><Relationship Id="rId2787" Type="http://schemas.openxmlformats.org/officeDocument/2006/relationships/hyperlink" Target="http://skymavis.com" TargetMode="External"/><Relationship Id="rId1457" Type="http://schemas.openxmlformats.org/officeDocument/2006/relationships/hyperlink" Target="http://joshwoodcolour.com" TargetMode="External"/><Relationship Id="rId2788" Type="http://schemas.openxmlformats.org/officeDocument/2006/relationships/hyperlink" Target="http://solana.com" TargetMode="External"/><Relationship Id="rId1458" Type="http://schemas.openxmlformats.org/officeDocument/2006/relationships/hyperlink" Target="http://adzuna.com" TargetMode="External"/><Relationship Id="rId2789" Type="http://schemas.openxmlformats.org/officeDocument/2006/relationships/hyperlink" Target="http://skydio.com" TargetMode="External"/><Relationship Id="rId1459" Type="http://schemas.openxmlformats.org/officeDocument/2006/relationships/hyperlink" Target="http://join-jump.com" TargetMode="External"/><Relationship Id="rId629" Type="http://schemas.openxmlformats.org/officeDocument/2006/relationships/hyperlink" Target="http://herondata.io" TargetMode="External"/><Relationship Id="rId624" Type="http://schemas.openxmlformats.org/officeDocument/2006/relationships/hyperlink" Target="http://grepdata.com" TargetMode="External"/><Relationship Id="rId623" Type="http://schemas.openxmlformats.org/officeDocument/2006/relationships/hyperlink" Target="http://usehatchapp.com" TargetMode="External"/><Relationship Id="rId622" Type="http://schemas.openxmlformats.org/officeDocument/2006/relationships/hyperlink" Target="http://greatquestion.co" TargetMode="External"/><Relationship Id="rId621" Type="http://schemas.openxmlformats.org/officeDocument/2006/relationships/hyperlink" Target="http://happyrobot.ai" TargetMode="External"/><Relationship Id="rId628" Type="http://schemas.openxmlformats.org/officeDocument/2006/relationships/hyperlink" Target="http://hokali.com" TargetMode="External"/><Relationship Id="rId627" Type="http://schemas.openxmlformats.org/officeDocument/2006/relationships/hyperlink" Target="http://hellosign.com" TargetMode="External"/><Relationship Id="rId626" Type="http://schemas.openxmlformats.org/officeDocument/2006/relationships/hyperlink" Target="http://growthbook.io" TargetMode="External"/><Relationship Id="rId625" Type="http://schemas.openxmlformats.org/officeDocument/2006/relationships/hyperlink" Target="http://headstart.io" TargetMode="External"/><Relationship Id="rId2780" Type="http://schemas.openxmlformats.org/officeDocument/2006/relationships/hyperlink" Target="http://shef.com" TargetMode="External"/><Relationship Id="rId1450" Type="http://schemas.openxmlformats.org/officeDocument/2006/relationships/hyperlink" Target="http://sdsa.ai" TargetMode="External"/><Relationship Id="rId2781" Type="http://schemas.openxmlformats.org/officeDocument/2006/relationships/hyperlink" Target="http://snackpass.co" TargetMode="External"/><Relationship Id="rId620" Type="http://schemas.openxmlformats.org/officeDocument/2006/relationships/hyperlink" Target="http://gordiansoftware.com" TargetMode="External"/><Relationship Id="rId1451" Type="http://schemas.openxmlformats.org/officeDocument/2006/relationships/hyperlink" Target="http://mysql.com" TargetMode="External"/><Relationship Id="rId2782" Type="http://schemas.openxmlformats.org/officeDocument/2006/relationships/hyperlink" Target="http://shibuya.xyz" TargetMode="External"/><Relationship Id="rId1452" Type="http://schemas.openxmlformats.org/officeDocument/2006/relationships/hyperlink" Target="http://factual.com" TargetMode="External"/><Relationship Id="rId2783" Type="http://schemas.openxmlformats.org/officeDocument/2006/relationships/hyperlink" Target="http://snaplogic.com" TargetMode="External"/><Relationship Id="rId1453" Type="http://schemas.openxmlformats.org/officeDocument/2006/relationships/hyperlink" Target="http://slack.com" TargetMode="External"/><Relationship Id="rId2784" Type="http://schemas.openxmlformats.org/officeDocument/2006/relationships/hyperlink" Target="http://shield.ai" TargetMode="External"/><Relationship Id="rId1454" Type="http://schemas.openxmlformats.org/officeDocument/2006/relationships/hyperlink" Target="http://mimecast.com" TargetMode="External"/><Relationship Id="rId2785" Type="http://schemas.openxmlformats.org/officeDocument/2006/relationships/hyperlink" Target="http://snapser.com" TargetMode="External"/><Relationship Id="rId1444" Type="http://schemas.openxmlformats.org/officeDocument/2006/relationships/hyperlink" Target="http://robinhood.com" TargetMode="External"/><Relationship Id="rId2775" Type="http://schemas.openxmlformats.org/officeDocument/2006/relationships/hyperlink" Target="http://sequencehq.com" TargetMode="External"/><Relationship Id="rId1445" Type="http://schemas.openxmlformats.org/officeDocument/2006/relationships/hyperlink" Target="http://siro.ai" TargetMode="External"/><Relationship Id="rId2776" Type="http://schemas.openxmlformats.org/officeDocument/2006/relationships/hyperlink" Target="http://slingshot.xyz" TargetMode="External"/><Relationship Id="rId1446" Type="http://schemas.openxmlformats.org/officeDocument/2006/relationships/hyperlink" Target="http://citymapper.com" TargetMode="External"/><Relationship Id="rId2777" Type="http://schemas.openxmlformats.org/officeDocument/2006/relationships/hyperlink" Target="http://sloyd.ai" TargetMode="External"/><Relationship Id="rId1447" Type="http://schemas.openxmlformats.org/officeDocument/2006/relationships/hyperlink" Target="http://vouch.us" TargetMode="External"/><Relationship Id="rId2778" Type="http://schemas.openxmlformats.org/officeDocument/2006/relationships/hyperlink" Target="http://setpoint.io" TargetMode="External"/><Relationship Id="rId1448" Type="http://schemas.openxmlformats.org/officeDocument/2006/relationships/hyperlink" Target="http://cord.com" TargetMode="External"/><Relationship Id="rId2779" Type="http://schemas.openxmlformats.org/officeDocument/2006/relationships/hyperlink" Target="http://smartcar.com" TargetMode="External"/><Relationship Id="rId1449" Type="http://schemas.openxmlformats.org/officeDocument/2006/relationships/hyperlink" Target="http://wise.com" TargetMode="External"/><Relationship Id="rId619" Type="http://schemas.openxmlformats.org/officeDocument/2006/relationships/hyperlink" Target="http://handl.ai" TargetMode="External"/><Relationship Id="rId618" Type="http://schemas.openxmlformats.org/officeDocument/2006/relationships/hyperlink" Target="http://goodybag.com" TargetMode="External"/><Relationship Id="rId613" Type="http://schemas.openxmlformats.org/officeDocument/2006/relationships/hyperlink" Target="http://growthbook.io" TargetMode="External"/><Relationship Id="rId612" Type="http://schemas.openxmlformats.org/officeDocument/2006/relationships/hyperlink" Target="http://golinks.io" TargetMode="External"/><Relationship Id="rId611" Type="http://schemas.openxmlformats.org/officeDocument/2006/relationships/hyperlink" Target="http://grepdata.com" TargetMode="External"/><Relationship Id="rId610" Type="http://schemas.openxmlformats.org/officeDocument/2006/relationships/hyperlink" Target="http://glowing.io" TargetMode="External"/><Relationship Id="rId617" Type="http://schemas.openxmlformats.org/officeDocument/2006/relationships/hyperlink" Target="http://hackermeter.com" TargetMode="External"/><Relationship Id="rId616" Type="http://schemas.openxmlformats.org/officeDocument/2006/relationships/hyperlink" Target="http://goodkind.com" TargetMode="External"/><Relationship Id="rId615" Type="http://schemas.openxmlformats.org/officeDocument/2006/relationships/hyperlink" Target="http://hokali.com" TargetMode="External"/><Relationship Id="rId614" Type="http://schemas.openxmlformats.org/officeDocument/2006/relationships/hyperlink" Target="http://golorry.com" TargetMode="External"/><Relationship Id="rId2770" Type="http://schemas.openxmlformats.org/officeDocument/2006/relationships/hyperlink" Target="http://skypunk.com" TargetMode="External"/><Relationship Id="rId1440" Type="http://schemas.openxmlformats.org/officeDocument/2006/relationships/hyperlink" Target="http://newfrontinsurance.com" TargetMode="External"/><Relationship Id="rId2771" Type="http://schemas.openxmlformats.org/officeDocument/2006/relationships/hyperlink" Target="http://seasonhealth.com" TargetMode="External"/><Relationship Id="rId1441" Type="http://schemas.openxmlformats.org/officeDocument/2006/relationships/hyperlink" Target="http://allarahealth.com" TargetMode="External"/><Relationship Id="rId2772" Type="http://schemas.openxmlformats.org/officeDocument/2006/relationships/hyperlink" Target="http://skysafe.io" TargetMode="External"/><Relationship Id="rId1442" Type="http://schemas.openxmlformats.org/officeDocument/2006/relationships/hyperlink" Target="http://usenourish.com" TargetMode="External"/><Relationship Id="rId2773" Type="http://schemas.openxmlformats.org/officeDocument/2006/relationships/hyperlink" Target="http://sentilink.com" TargetMode="External"/><Relationship Id="rId1443" Type="http://schemas.openxmlformats.org/officeDocument/2006/relationships/hyperlink" Target="http://argent.xyz" TargetMode="External"/><Relationship Id="rId2774" Type="http://schemas.openxmlformats.org/officeDocument/2006/relationships/hyperlink" Target="http://sleeper.com" TargetMode="External"/><Relationship Id="rId1477" Type="http://schemas.openxmlformats.org/officeDocument/2006/relationships/hyperlink" Target="http://raisin.com" TargetMode="External"/><Relationship Id="rId1478" Type="http://schemas.openxmlformats.org/officeDocument/2006/relationships/hyperlink" Target="http://join-jump.com" TargetMode="External"/><Relationship Id="rId1479" Type="http://schemas.openxmlformats.org/officeDocument/2006/relationships/hyperlink" Target="http://tebi.co" TargetMode="External"/><Relationship Id="rId646" Type="http://schemas.openxmlformats.org/officeDocument/2006/relationships/hyperlink" Target="http://higherme.com" TargetMode="External"/><Relationship Id="rId645" Type="http://schemas.openxmlformats.org/officeDocument/2006/relationships/hyperlink" Target="http://hona.com" TargetMode="External"/><Relationship Id="rId644" Type="http://schemas.openxmlformats.org/officeDocument/2006/relationships/hyperlink" Target="http://hickorytraining.com" TargetMode="External"/><Relationship Id="rId643" Type="http://schemas.openxmlformats.org/officeDocument/2006/relationships/hyperlink" Target="http://hive.co" TargetMode="External"/><Relationship Id="rId649" Type="http://schemas.openxmlformats.org/officeDocument/2006/relationships/hyperlink" Target="http://hudu.com" TargetMode="External"/><Relationship Id="rId648" Type="http://schemas.openxmlformats.org/officeDocument/2006/relationships/hyperlink" Target="http://hightouch.com" TargetMode="External"/><Relationship Id="rId647" Type="http://schemas.openxmlformats.org/officeDocument/2006/relationships/hyperlink" Target="http://hub.la" TargetMode="External"/><Relationship Id="rId1470" Type="http://schemas.openxmlformats.org/officeDocument/2006/relationships/hyperlink" Target="http://taxfix.de" TargetMode="External"/><Relationship Id="rId1471" Type="http://schemas.openxmlformats.org/officeDocument/2006/relationships/hyperlink" Target="http://factual.com" TargetMode="External"/><Relationship Id="rId1472" Type="http://schemas.openxmlformats.org/officeDocument/2006/relationships/hyperlink" Target="http://vetted.ai" TargetMode="External"/><Relationship Id="rId642" Type="http://schemas.openxmlformats.org/officeDocument/2006/relationships/hyperlink" Target="http://herondata.io" TargetMode="External"/><Relationship Id="rId1473" Type="http://schemas.openxmlformats.org/officeDocument/2006/relationships/hyperlink" Target="http://wealthfront.com" TargetMode="External"/><Relationship Id="rId641" Type="http://schemas.openxmlformats.org/officeDocument/2006/relationships/hyperlink" Target="http://hiro.so" TargetMode="External"/><Relationship Id="rId1474" Type="http://schemas.openxmlformats.org/officeDocument/2006/relationships/hyperlink" Target="http://ongoody.com" TargetMode="External"/><Relationship Id="rId640" Type="http://schemas.openxmlformats.org/officeDocument/2006/relationships/hyperlink" Target="http://hellosign.com" TargetMode="External"/><Relationship Id="rId1475" Type="http://schemas.openxmlformats.org/officeDocument/2006/relationships/hyperlink" Target="http://adfin.com" TargetMode="External"/><Relationship Id="rId1476" Type="http://schemas.openxmlformats.org/officeDocument/2006/relationships/hyperlink" Target="http://joshwoodcolour.com" TargetMode="External"/><Relationship Id="rId1466" Type="http://schemas.openxmlformats.org/officeDocument/2006/relationships/hyperlink" Target="http://revolut.com" TargetMode="External"/><Relationship Id="rId2797" Type="http://schemas.openxmlformats.org/officeDocument/2006/relationships/hyperlink" Target="http://slingshot.xyz" TargetMode="External"/><Relationship Id="rId1467" Type="http://schemas.openxmlformats.org/officeDocument/2006/relationships/hyperlink" Target="http://cord.com" TargetMode="External"/><Relationship Id="rId2798" Type="http://schemas.openxmlformats.org/officeDocument/2006/relationships/hyperlink" Target="http://spoton.com" TargetMode="External"/><Relationship Id="rId1468" Type="http://schemas.openxmlformats.org/officeDocument/2006/relationships/hyperlink" Target="http://roli.com" TargetMode="External"/><Relationship Id="rId2799" Type="http://schemas.openxmlformats.org/officeDocument/2006/relationships/hyperlink" Target="http://sloyd.ai" TargetMode="External"/><Relationship Id="rId1469" Type="http://schemas.openxmlformats.org/officeDocument/2006/relationships/hyperlink" Target="http://sdsa.ai" TargetMode="External"/><Relationship Id="rId635" Type="http://schemas.openxmlformats.org/officeDocument/2006/relationships/hyperlink" Target="http://hightouch.com" TargetMode="External"/><Relationship Id="rId634" Type="http://schemas.openxmlformats.org/officeDocument/2006/relationships/hyperlink" Target="http://happyrobot.ai" TargetMode="External"/><Relationship Id="rId633" Type="http://schemas.openxmlformats.org/officeDocument/2006/relationships/hyperlink" Target="http://higherme.com" TargetMode="External"/><Relationship Id="rId632" Type="http://schemas.openxmlformats.org/officeDocument/2006/relationships/hyperlink" Target="http://handl.ai" TargetMode="External"/><Relationship Id="rId639" Type="http://schemas.openxmlformats.org/officeDocument/2006/relationships/hyperlink" Target="http://hiresweet.com" TargetMode="External"/><Relationship Id="rId638" Type="http://schemas.openxmlformats.org/officeDocument/2006/relationships/hyperlink" Target="http://headstart.io" TargetMode="External"/><Relationship Id="rId637" Type="http://schemas.openxmlformats.org/officeDocument/2006/relationships/hyperlink" Target="http://hireart.com" TargetMode="External"/><Relationship Id="rId636" Type="http://schemas.openxmlformats.org/officeDocument/2006/relationships/hyperlink" Target="http://usehatchapp.com" TargetMode="External"/><Relationship Id="rId2790" Type="http://schemas.openxmlformats.org/officeDocument/2006/relationships/hyperlink" Target="http://sound.xyz" TargetMode="External"/><Relationship Id="rId1460" Type="http://schemas.openxmlformats.org/officeDocument/2006/relationships/hyperlink" Target="http://allarahealth.com" TargetMode="External"/><Relationship Id="rId2791" Type="http://schemas.openxmlformats.org/officeDocument/2006/relationships/hyperlink" Target="http://skypunk.com" TargetMode="External"/><Relationship Id="rId1461" Type="http://schemas.openxmlformats.org/officeDocument/2006/relationships/hyperlink" Target="http://justpark.com" TargetMode="External"/><Relationship Id="rId2792" Type="http://schemas.openxmlformats.org/officeDocument/2006/relationships/hyperlink" Target="http://about.sourcegraph.com" TargetMode="External"/><Relationship Id="rId631" Type="http://schemas.openxmlformats.org/officeDocument/2006/relationships/hyperlink" Target="http://hickorytraining.com" TargetMode="External"/><Relationship Id="rId1462" Type="http://schemas.openxmlformats.org/officeDocument/2006/relationships/hyperlink" Target="http://argent.xyz" TargetMode="External"/><Relationship Id="rId2793" Type="http://schemas.openxmlformats.org/officeDocument/2006/relationships/hyperlink" Target="http://skysafe.io" TargetMode="External"/><Relationship Id="rId630" Type="http://schemas.openxmlformats.org/officeDocument/2006/relationships/hyperlink" Target="http://hackermeter.com" TargetMode="External"/><Relationship Id="rId1463" Type="http://schemas.openxmlformats.org/officeDocument/2006/relationships/hyperlink" Target="http://king.com" TargetMode="External"/><Relationship Id="rId2794" Type="http://schemas.openxmlformats.org/officeDocument/2006/relationships/hyperlink" Target="http://spacex.com" TargetMode="External"/><Relationship Id="rId1464" Type="http://schemas.openxmlformats.org/officeDocument/2006/relationships/hyperlink" Target="http://kry.se" TargetMode="External"/><Relationship Id="rId2795" Type="http://schemas.openxmlformats.org/officeDocument/2006/relationships/hyperlink" Target="http://sleeper.com" TargetMode="External"/><Relationship Id="rId1465" Type="http://schemas.openxmlformats.org/officeDocument/2006/relationships/hyperlink" Target="http://citymapper.com" TargetMode="External"/><Relationship Id="rId2796" Type="http://schemas.openxmlformats.org/officeDocument/2006/relationships/hyperlink" Target="http://spade.com" TargetMode="External"/><Relationship Id="rId1411" Type="http://schemas.openxmlformats.org/officeDocument/2006/relationships/hyperlink" Target="http://sesolabor.com" TargetMode="External"/><Relationship Id="rId2742" Type="http://schemas.openxmlformats.org/officeDocument/2006/relationships/hyperlink" Target="http://sardine.ai" TargetMode="External"/><Relationship Id="rId1412" Type="http://schemas.openxmlformats.org/officeDocument/2006/relationships/hyperlink" Target="http://getharley.com" TargetMode="External"/><Relationship Id="rId2743" Type="http://schemas.openxmlformats.org/officeDocument/2006/relationships/hyperlink" Target="http://rosebud.ai" TargetMode="External"/><Relationship Id="rId1413" Type="http://schemas.openxmlformats.org/officeDocument/2006/relationships/hyperlink" Target="http://adyen.com" TargetMode="External"/><Relationship Id="rId2744" Type="http://schemas.openxmlformats.org/officeDocument/2006/relationships/hyperlink" Target="http://saronic.com" TargetMode="External"/><Relationship Id="rId1414" Type="http://schemas.openxmlformats.org/officeDocument/2006/relationships/hyperlink" Target="http://boku.com" TargetMode="External"/><Relationship Id="rId2745" Type="http://schemas.openxmlformats.org/officeDocument/2006/relationships/hyperlink" Target="http://royal.io" TargetMode="External"/><Relationship Id="rId1415" Type="http://schemas.openxmlformats.org/officeDocument/2006/relationships/hyperlink" Target="http://jumboprivacy.com" TargetMode="External"/><Relationship Id="rId2746" Type="http://schemas.openxmlformats.org/officeDocument/2006/relationships/hyperlink" Target="http://sceneinfrastructure.com" TargetMode="External"/><Relationship Id="rId1416" Type="http://schemas.openxmlformats.org/officeDocument/2006/relationships/hyperlink" Target="http://cartesia.ai" TargetMode="External"/><Relationship Id="rId2747" Type="http://schemas.openxmlformats.org/officeDocument/2006/relationships/hyperlink" Target="http://scribetx.com" TargetMode="External"/><Relationship Id="rId1417" Type="http://schemas.openxmlformats.org/officeDocument/2006/relationships/hyperlink" Target="http://linktr.ee" TargetMode="External"/><Relationship Id="rId2748" Type="http://schemas.openxmlformats.org/officeDocument/2006/relationships/hyperlink" Target="http://runloop.xyz" TargetMode="External"/><Relationship Id="rId1418" Type="http://schemas.openxmlformats.org/officeDocument/2006/relationships/hyperlink" Target="http://gruppomol.it" TargetMode="External"/><Relationship Id="rId2749" Type="http://schemas.openxmlformats.org/officeDocument/2006/relationships/hyperlink" Target="http://scribenote.com" TargetMode="External"/><Relationship Id="rId1419" Type="http://schemas.openxmlformats.org/officeDocument/2006/relationships/hyperlink" Target="http://ankorstore.com" TargetMode="External"/><Relationship Id="rId2740" Type="http://schemas.openxmlformats.org/officeDocument/2006/relationships/hyperlink" Target="http://santaanabio.com" TargetMode="External"/><Relationship Id="rId1410" Type="http://schemas.openxmlformats.org/officeDocument/2006/relationships/hyperlink" Target="http://geophy.com" TargetMode="External"/><Relationship Id="rId2741" Type="http://schemas.openxmlformats.org/officeDocument/2006/relationships/hyperlink" Target="http://rometx.com" TargetMode="External"/><Relationship Id="rId1400" Type="http://schemas.openxmlformats.org/officeDocument/2006/relationships/hyperlink" Target="http://superconductive.com" TargetMode="External"/><Relationship Id="rId2731" Type="http://schemas.openxmlformats.org/officeDocument/2006/relationships/hyperlink" Target="http://picfinder.ai" TargetMode="External"/><Relationship Id="rId1401" Type="http://schemas.openxmlformats.org/officeDocument/2006/relationships/hyperlink" Target="http://ankorstore.com" TargetMode="External"/><Relationship Id="rId2732" Type="http://schemas.openxmlformats.org/officeDocument/2006/relationships/hyperlink" Target="http://rezotx.com" TargetMode="External"/><Relationship Id="rId1402" Type="http://schemas.openxmlformats.org/officeDocument/2006/relationships/hyperlink" Target="http://temporal.io" TargetMode="External"/><Relationship Id="rId2733" Type="http://schemas.openxmlformats.org/officeDocument/2006/relationships/hyperlink" Target="http://runway.com" TargetMode="External"/><Relationship Id="rId1403" Type="http://schemas.openxmlformats.org/officeDocument/2006/relationships/hyperlink" Target="http://auxmoney.com" TargetMode="External"/><Relationship Id="rId2734" Type="http://schemas.openxmlformats.org/officeDocument/2006/relationships/hyperlink" Target="http://rutter.com" TargetMode="External"/><Relationship Id="rId1404" Type="http://schemas.openxmlformats.org/officeDocument/2006/relationships/hyperlink" Target="http://purestorage.com" TargetMode="External"/><Relationship Id="rId2735" Type="http://schemas.openxmlformats.org/officeDocument/2006/relationships/hyperlink" Target="http://rivet.gg" TargetMode="External"/><Relationship Id="rId1405" Type="http://schemas.openxmlformats.org/officeDocument/2006/relationships/hyperlink" Target="http://empathy.com" TargetMode="External"/><Relationship Id="rId2736" Type="http://schemas.openxmlformats.org/officeDocument/2006/relationships/hyperlink" Target="http://forte.io" TargetMode="External"/><Relationship Id="rId1406" Type="http://schemas.openxmlformats.org/officeDocument/2006/relationships/hyperlink" Target="http://getbuilt.com" TargetMode="External"/><Relationship Id="rId2737" Type="http://schemas.openxmlformats.org/officeDocument/2006/relationships/hyperlink" Target="http://robotogames.com" TargetMode="External"/><Relationship Id="rId1407" Type="http://schemas.openxmlformats.org/officeDocument/2006/relationships/hyperlink" Target="http://fundingcircle.com" TargetMode="External"/><Relationship Id="rId2738" Type="http://schemas.openxmlformats.org/officeDocument/2006/relationships/hyperlink" Target="http://sandboxvr.com" TargetMode="External"/><Relationship Id="rId1408" Type="http://schemas.openxmlformats.org/officeDocument/2006/relationships/hyperlink" Target="http://creditbenchmark.com" TargetMode="External"/><Relationship Id="rId2739" Type="http://schemas.openxmlformats.org/officeDocument/2006/relationships/hyperlink" Target="http://rollup.ai" TargetMode="External"/><Relationship Id="rId1409" Type="http://schemas.openxmlformats.org/officeDocument/2006/relationships/hyperlink" Target="http://nexthink.com" TargetMode="External"/><Relationship Id="rId2730" Type="http://schemas.openxmlformats.org/officeDocument/2006/relationships/hyperlink" Target="http://rewatch.com" TargetMode="External"/><Relationship Id="rId1433" Type="http://schemas.openxmlformats.org/officeDocument/2006/relationships/hyperlink" Target="http://jumboprivacy.com" TargetMode="External"/><Relationship Id="rId2764" Type="http://schemas.openxmlformats.org/officeDocument/2006/relationships/hyperlink" Target="http://singularity6.com" TargetMode="External"/><Relationship Id="rId1434" Type="http://schemas.openxmlformats.org/officeDocument/2006/relationships/hyperlink" Target="http://slack.com" TargetMode="External"/><Relationship Id="rId2765" Type="http://schemas.openxmlformats.org/officeDocument/2006/relationships/hyperlink" Target="http://sceneinfrastructure.com" TargetMode="External"/><Relationship Id="rId1435" Type="http://schemas.openxmlformats.org/officeDocument/2006/relationships/hyperlink" Target="http://linktr.ee" TargetMode="External"/><Relationship Id="rId2766" Type="http://schemas.openxmlformats.org/officeDocument/2006/relationships/hyperlink" Target="http://skymavis.com" TargetMode="External"/><Relationship Id="rId1436" Type="http://schemas.openxmlformats.org/officeDocument/2006/relationships/hyperlink" Target="http://mimecast.com" TargetMode="External"/><Relationship Id="rId2767" Type="http://schemas.openxmlformats.org/officeDocument/2006/relationships/hyperlink" Target="http://scribetx.com" TargetMode="External"/><Relationship Id="rId1437" Type="http://schemas.openxmlformats.org/officeDocument/2006/relationships/hyperlink" Target="http://threadai.com" TargetMode="External"/><Relationship Id="rId2768" Type="http://schemas.openxmlformats.org/officeDocument/2006/relationships/hyperlink" Target="http://skydio.com" TargetMode="External"/><Relationship Id="rId1438" Type="http://schemas.openxmlformats.org/officeDocument/2006/relationships/hyperlink" Target="http://myheritage.com" TargetMode="External"/><Relationship Id="rId2769" Type="http://schemas.openxmlformats.org/officeDocument/2006/relationships/hyperlink" Target="http://scribenote.com" TargetMode="External"/><Relationship Id="rId1439" Type="http://schemas.openxmlformats.org/officeDocument/2006/relationships/hyperlink" Target="http://adzuna.com" TargetMode="External"/><Relationship Id="rId609" Type="http://schemas.openxmlformats.org/officeDocument/2006/relationships/hyperlink" Target="http://greatquestion.co" TargetMode="External"/><Relationship Id="rId608" Type="http://schemas.openxmlformats.org/officeDocument/2006/relationships/hyperlink" Target="http://glideapps.com" TargetMode="External"/><Relationship Id="rId607" Type="http://schemas.openxmlformats.org/officeDocument/2006/relationships/hyperlink" Target="http://gordiansoftware.com" TargetMode="External"/><Relationship Id="rId602" Type="http://schemas.openxmlformats.org/officeDocument/2006/relationships/hyperlink" Target="http://gigwell.com" TargetMode="External"/><Relationship Id="rId601" Type="http://schemas.openxmlformats.org/officeDocument/2006/relationships/hyperlink" Target="http://golorry.com" TargetMode="External"/><Relationship Id="rId600" Type="http://schemas.openxmlformats.org/officeDocument/2006/relationships/hyperlink" Target="http://gigster.com" TargetMode="External"/><Relationship Id="rId606" Type="http://schemas.openxmlformats.org/officeDocument/2006/relationships/hyperlink" Target="http://gitstart.com" TargetMode="External"/><Relationship Id="rId605" Type="http://schemas.openxmlformats.org/officeDocument/2006/relationships/hyperlink" Target="http://goodybag.com" TargetMode="External"/><Relationship Id="rId604" Type="http://schemas.openxmlformats.org/officeDocument/2006/relationships/hyperlink" Target="http://gimbooks.com" TargetMode="External"/><Relationship Id="rId603" Type="http://schemas.openxmlformats.org/officeDocument/2006/relationships/hyperlink" Target="http://goodkind.com" TargetMode="External"/><Relationship Id="rId2760" Type="http://schemas.openxmlformats.org/officeDocument/2006/relationships/hyperlink" Target="http://shibuya.xyz" TargetMode="External"/><Relationship Id="rId1430" Type="http://schemas.openxmlformats.org/officeDocument/2006/relationships/hyperlink" Target="http://getharley.com" TargetMode="External"/><Relationship Id="rId2761" Type="http://schemas.openxmlformats.org/officeDocument/2006/relationships/hyperlink" Target="http://sardine.ai" TargetMode="External"/><Relationship Id="rId1431" Type="http://schemas.openxmlformats.org/officeDocument/2006/relationships/hyperlink" Target="http://wise.com" TargetMode="External"/><Relationship Id="rId2762" Type="http://schemas.openxmlformats.org/officeDocument/2006/relationships/hyperlink" Target="http://shield.ai" TargetMode="External"/><Relationship Id="rId1432" Type="http://schemas.openxmlformats.org/officeDocument/2006/relationships/hyperlink" Target="http://mysql.com" TargetMode="External"/><Relationship Id="rId2763" Type="http://schemas.openxmlformats.org/officeDocument/2006/relationships/hyperlink" Target="http://saronic.com" TargetMode="External"/><Relationship Id="rId1422" Type="http://schemas.openxmlformats.org/officeDocument/2006/relationships/hyperlink" Target="http://newfrontinsurance.com" TargetMode="External"/><Relationship Id="rId2753" Type="http://schemas.openxmlformats.org/officeDocument/2006/relationships/hyperlink" Target="http://sentilink.com" TargetMode="External"/><Relationship Id="rId1423" Type="http://schemas.openxmlformats.org/officeDocument/2006/relationships/hyperlink" Target="http://empathy.com" TargetMode="External"/><Relationship Id="rId2754" Type="http://schemas.openxmlformats.org/officeDocument/2006/relationships/hyperlink" Target="http://rutter.com" TargetMode="External"/><Relationship Id="rId1424" Type="http://schemas.openxmlformats.org/officeDocument/2006/relationships/hyperlink" Target="http://usenourish.com" TargetMode="External"/><Relationship Id="rId2755" Type="http://schemas.openxmlformats.org/officeDocument/2006/relationships/hyperlink" Target="http://sequencehq.com" TargetMode="External"/><Relationship Id="rId1425" Type="http://schemas.openxmlformats.org/officeDocument/2006/relationships/hyperlink" Target="http://fundingcircle.com" TargetMode="External"/><Relationship Id="rId2756" Type="http://schemas.openxmlformats.org/officeDocument/2006/relationships/hyperlink" Target="http://setpoint.io" TargetMode="External"/><Relationship Id="rId1426" Type="http://schemas.openxmlformats.org/officeDocument/2006/relationships/hyperlink" Target="http://robinhood.com" TargetMode="External"/><Relationship Id="rId2757" Type="http://schemas.openxmlformats.org/officeDocument/2006/relationships/hyperlink" Target="http://sandboxvr.com" TargetMode="External"/><Relationship Id="rId1427" Type="http://schemas.openxmlformats.org/officeDocument/2006/relationships/hyperlink" Target="http://siro.ai" TargetMode="External"/><Relationship Id="rId2758" Type="http://schemas.openxmlformats.org/officeDocument/2006/relationships/hyperlink" Target="http://shef.com" TargetMode="External"/><Relationship Id="rId1428" Type="http://schemas.openxmlformats.org/officeDocument/2006/relationships/hyperlink" Target="http://geophy.com" TargetMode="External"/><Relationship Id="rId2759" Type="http://schemas.openxmlformats.org/officeDocument/2006/relationships/hyperlink" Target="http://santaanabio.com" TargetMode="External"/><Relationship Id="rId1429" Type="http://schemas.openxmlformats.org/officeDocument/2006/relationships/hyperlink" Target="http://vouch.us" TargetMode="External"/><Relationship Id="rId2750" Type="http://schemas.openxmlformats.org/officeDocument/2006/relationships/hyperlink" Target="http://picfinder.ai" TargetMode="External"/><Relationship Id="rId1420" Type="http://schemas.openxmlformats.org/officeDocument/2006/relationships/hyperlink" Target="http://myheritage.com" TargetMode="External"/><Relationship Id="rId2751" Type="http://schemas.openxmlformats.org/officeDocument/2006/relationships/hyperlink" Target="http://seasonhealth.com" TargetMode="External"/><Relationship Id="rId1421" Type="http://schemas.openxmlformats.org/officeDocument/2006/relationships/hyperlink" Target="http://auxmoney.com" TargetMode="External"/><Relationship Id="rId2752" Type="http://schemas.openxmlformats.org/officeDocument/2006/relationships/hyperlink" Target="http://runway.com" TargetMode="External"/><Relationship Id="rId3238" Type="http://schemas.openxmlformats.org/officeDocument/2006/relationships/hyperlink" Target="http://www.airkit.com/" TargetMode="External"/><Relationship Id="rId3237" Type="http://schemas.openxmlformats.org/officeDocument/2006/relationships/hyperlink" Target="https://airbyte.io/" TargetMode="External"/><Relationship Id="rId3239" Type="http://schemas.openxmlformats.org/officeDocument/2006/relationships/hyperlink" Target="http://www.airmeet.com/" TargetMode="External"/><Relationship Id="rId3230" Type="http://schemas.openxmlformats.org/officeDocument/2006/relationships/hyperlink" Target="https://www.ada.cx/" TargetMode="External"/><Relationship Id="rId3232" Type="http://schemas.openxmlformats.org/officeDocument/2006/relationships/hyperlink" Target="http://www.adroll.com/" TargetMode="External"/><Relationship Id="rId3231" Type="http://schemas.openxmlformats.org/officeDocument/2006/relationships/hyperlink" Target="http://curai.com" TargetMode="External"/><Relationship Id="rId3234" Type="http://schemas.openxmlformats.org/officeDocument/2006/relationships/hyperlink" Target="https://www.agaveapi.com/" TargetMode="External"/><Relationship Id="rId3233" Type="http://schemas.openxmlformats.org/officeDocument/2006/relationships/hyperlink" Target="http://vicarioussurgical.com" TargetMode="External"/><Relationship Id="rId3236" Type="http://schemas.openxmlformats.org/officeDocument/2006/relationships/hyperlink" Target="http://corporate.agrostar.in/" TargetMode="External"/><Relationship Id="rId3235" Type="http://schemas.openxmlformats.org/officeDocument/2006/relationships/hyperlink" Target="http://vitara.com" TargetMode="External"/><Relationship Id="rId3227" Type="http://schemas.openxmlformats.org/officeDocument/2006/relationships/hyperlink" Target="http://spiritus.com" TargetMode="External"/><Relationship Id="rId3226" Type="http://schemas.openxmlformats.org/officeDocument/2006/relationships/hyperlink" Target="http://www.acalvio.com/" TargetMode="External"/><Relationship Id="rId3229" Type="http://schemas.openxmlformats.org/officeDocument/2006/relationships/hyperlink" Target="http://terraai.com" TargetMode="External"/><Relationship Id="rId3228" Type="http://schemas.openxmlformats.org/officeDocument/2006/relationships/hyperlink" Target="http://www.acko.com/" TargetMode="External"/><Relationship Id="rId699" Type="http://schemas.openxmlformats.org/officeDocument/2006/relationships/hyperlink" Target="http://jutsoo.com" TargetMode="External"/><Relationship Id="rId698" Type="http://schemas.openxmlformats.org/officeDocument/2006/relationships/hyperlink" Target="http://keynua.com" TargetMode="External"/><Relationship Id="rId693" Type="http://schemas.openxmlformats.org/officeDocument/2006/relationships/hyperlink" Target="http://kamion.co" TargetMode="External"/><Relationship Id="rId692" Type="http://schemas.openxmlformats.org/officeDocument/2006/relationships/hyperlink" Target="http://invoid.co" TargetMode="External"/><Relationship Id="rId691" Type="http://schemas.openxmlformats.org/officeDocument/2006/relationships/hyperlink" Target="http://kalibrr.com" TargetMode="External"/><Relationship Id="rId3221" Type="http://schemas.openxmlformats.org/officeDocument/2006/relationships/hyperlink" Target="http://glydways.com" TargetMode="External"/><Relationship Id="rId690" Type="http://schemas.openxmlformats.org/officeDocument/2006/relationships/hyperlink" Target="http://instrumentl.com" TargetMode="External"/><Relationship Id="rId3220" Type="http://schemas.openxmlformats.org/officeDocument/2006/relationships/hyperlink" Target="http://www.1password.com/" TargetMode="External"/><Relationship Id="rId697" Type="http://schemas.openxmlformats.org/officeDocument/2006/relationships/hyperlink" Target="http://journey.io" TargetMode="External"/><Relationship Id="rId3223" Type="http://schemas.openxmlformats.org/officeDocument/2006/relationships/hyperlink" Target="http://koloma.com" TargetMode="External"/><Relationship Id="rId696" Type="http://schemas.openxmlformats.org/officeDocument/2006/relationships/hyperlink" Target="http://jopwell.com" TargetMode="External"/><Relationship Id="rId3222" Type="http://schemas.openxmlformats.org/officeDocument/2006/relationships/hyperlink" Target="http://www.99designs.com/" TargetMode="External"/><Relationship Id="rId695" Type="http://schemas.openxmlformats.org/officeDocument/2006/relationships/hyperlink" Target="http://kaso.ai" TargetMode="External"/><Relationship Id="rId3225" Type="http://schemas.openxmlformats.org/officeDocument/2006/relationships/hyperlink" Target="http://realtafusion.com" TargetMode="External"/><Relationship Id="rId694" Type="http://schemas.openxmlformats.org/officeDocument/2006/relationships/hyperlink" Target="http://iotflows.com" TargetMode="External"/><Relationship Id="rId3224" Type="http://schemas.openxmlformats.org/officeDocument/2006/relationships/hyperlink" Target="http://www.aavenir.com/" TargetMode="External"/><Relationship Id="rId3259" Type="http://schemas.openxmlformats.org/officeDocument/2006/relationships/hyperlink" Target="https://www.assemblyai.com/" TargetMode="External"/><Relationship Id="rId3250" Type="http://schemas.openxmlformats.org/officeDocument/2006/relationships/hyperlink" Target="http://www.ansr.com/" TargetMode="External"/><Relationship Id="rId3252" Type="http://schemas.openxmlformats.org/officeDocument/2006/relationships/hyperlink" Target="http://www.microsoft.com/" TargetMode="External"/><Relationship Id="rId3251" Type="http://schemas.openxmlformats.org/officeDocument/2006/relationships/hyperlink" Target="http://www.anyfin.com/" TargetMode="External"/><Relationship Id="rId3254" Type="http://schemas.openxmlformats.org/officeDocument/2006/relationships/hyperlink" Target="https://appbrew.tech/" TargetMode="External"/><Relationship Id="rId3253" Type="http://schemas.openxmlformats.org/officeDocument/2006/relationships/hyperlink" Target="https://apnamart.in/" TargetMode="External"/><Relationship Id="rId3256" Type="http://schemas.openxmlformats.org/officeDocument/2006/relationships/hyperlink" Target="http://getaptly.com/" TargetMode="External"/><Relationship Id="rId3255" Type="http://schemas.openxmlformats.org/officeDocument/2006/relationships/hyperlink" Target="https://www.appsmith.com/" TargetMode="External"/><Relationship Id="rId3258" Type="http://schemas.openxmlformats.org/officeDocument/2006/relationships/hyperlink" Target="http://www.ascend.io/" TargetMode="External"/><Relationship Id="rId3257" Type="http://schemas.openxmlformats.org/officeDocument/2006/relationships/hyperlink" Target="http://www.arista.com/" TargetMode="External"/><Relationship Id="rId3249" Type="http://schemas.openxmlformats.org/officeDocument/2006/relationships/hyperlink" Target="http://www.anchor.fm/" TargetMode="External"/><Relationship Id="rId3248" Type="http://schemas.openxmlformats.org/officeDocument/2006/relationships/hyperlink" Target="https://anar.biz/" TargetMode="External"/><Relationship Id="rId3241" Type="http://schemas.openxmlformats.org/officeDocument/2006/relationships/hyperlink" Target="https://www.akridata.com/" TargetMode="External"/><Relationship Id="rId3240" Type="http://schemas.openxmlformats.org/officeDocument/2006/relationships/hyperlink" Target="https://www.accel.com/relationships/airwatch" TargetMode="External"/><Relationship Id="rId3243" Type="http://schemas.openxmlformats.org/officeDocument/2006/relationships/hyperlink" Target="http://www.algolia.com/" TargetMode="External"/><Relationship Id="rId3242" Type="http://schemas.openxmlformats.org/officeDocument/2006/relationships/hyperlink" Target="https://www.akto.io/" TargetMode="External"/><Relationship Id="rId3245" Type="http://schemas.openxmlformats.org/officeDocument/2006/relationships/hyperlink" Target="https://altinity.com/" TargetMode="External"/><Relationship Id="rId3244" Type="http://schemas.openxmlformats.org/officeDocument/2006/relationships/hyperlink" Target="http://www.ally.io/" TargetMode="External"/><Relationship Id="rId3247" Type="http://schemas.openxmlformats.org/officeDocument/2006/relationships/hyperlink" Target="http://www.ampool-inc.com/" TargetMode="External"/><Relationship Id="rId3246" Type="http://schemas.openxmlformats.org/officeDocument/2006/relationships/hyperlink" Target="https://www.amagi.com/" TargetMode="External"/><Relationship Id="rId1499" Type="http://schemas.openxmlformats.org/officeDocument/2006/relationships/hyperlink" Target="http://tebi.co" TargetMode="External"/><Relationship Id="rId668" Type="http://schemas.openxmlformats.org/officeDocument/2006/relationships/hyperlink" Target="http://humanloop.com" TargetMode="External"/><Relationship Id="rId667" Type="http://schemas.openxmlformats.org/officeDocument/2006/relationships/hyperlink" Target="http://impraise.com" TargetMode="External"/><Relationship Id="rId666" Type="http://schemas.openxmlformats.org/officeDocument/2006/relationships/hyperlink" Target="http://humaans.io" TargetMode="External"/><Relationship Id="rId665" Type="http://schemas.openxmlformats.org/officeDocument/2006/relationships/hyperlink" Target="http://iomete.com" TargetMode="External"/><Relationship Id="rId669" Type="http://schemas.openxmlformats.org/officeDocument/2006/relationships/hyperlink" Target="http://infracost.io" TargetMode="External"/><Relationship Id="rId1490" Type="http://schemas.openxmlformats.org/officeDocument/2006/relationships/hyperlink" Target="http://taxfix.de" TargetMode="External"/><Relationship Id="rId660" Type="http://schemas.openxmlformats.org/officeDocument/2006/relationships/hyperlink" Target="http://hub.la" TargetMode="External"/><Relationship Id="rId1491" Type="http://schemas.openxmlformats.org/officeDocument/2006/relationships/hyperlink" Target="http://bloomandwild.com" TargetMode="External"/><Relationship Id="rId1492" Type="http://schemas.openxmlformats.org/officeDocument/2006/relationships/hyperlink" Target="http://vetted.ai" TargetMode="External"/><Relationship Id="rId1493" Type="http://schemas.openxmlformats.org/officeDocument/2006/relationships/hyperlink" Target="http://captaintrain.com" TargetMode="External"/><Relationship Id="rId1494" Type="http://schemas.openxmlformats.org/officeDocument/2006/relationships/hyperlink" Target="http://wealthfront.com" TargetMode="External"/><Relationship Id="rId664" Type="http://schemas.openxmlformats.org/officeDocument/2006/relationships/hyperlink" Target="http://letshum.com" TargetMode="External"/><Relationship Id="rId1495" Type="http://schemas.openxmlformats.org/officeDocument/2006/relationships/hyperlink" Target="http://getcatch.com" TargetMode="External"/><Relationship Id="rId663" Type="http://schemas.openxmlformats.org/officeDocument/2006/relationships/hyperlink" Target="http://hypotenuse.ai" TargetMode="External"/><Relationship Id="rId1496" Type="http://schemas.openxmlformats.org/officeDocument/2006/relationships/hyperlink" Target="http://adfin.com" TargetMode="External"/><Relationship Id="rId662" Type="http://schemas.openxmlformats.org/officeDocument/2006/relationships/hyperlink" Target="http://hudu.com" TargetMode="External"/><Relationship Id="rId1497" Type="http://schemas.openxmlformats.org/officeDocument/2006/relationships/hyperlink" Target="http://cowboy.com" TargetMode="External"/><Relationship Id="rId661" Type="http://schemas.openxmlformats.org/officeDocument/2006/relationships/hyperlink" Target="http://hypermile.ai" TargetMode="External"/><Relationship Id="rId1498" Type="http://schemas.openxmlformats.org/officeDocument/2006/relationships/hyperlink" Target="http://raisin.com" TargetMode="External"/><Relationship Id="rId1488" Type="http://schemas.openxmlformats.org/officeDocument/2006/relationships/hyperlink" Target="http://roli.com" TargetMode="External"/><Relationship Id="rId1489" Type="http://schemas.openxmlformats.org/officeDocument/2006/relationships/hyperlink" Target="http://blablacar.com" TargetMode="External"/><Relationship Id="rId657" Type="http://schemas.openxmlformats.org/officeDocument/2006/relationships/hyperlink" Target="http://humanly.io" TargetMode="External"/><Relationship Id="rId656" Type="http://schemas.openxmlformats.org/officeDocument/2006/relationships/hyperlink" Target="http://hive.co" TargetMode="External"/><Relationship Id="rId655" Type="http://schemas.openxmlformats.org/officeDocument/2006/relationships/hyperlink" Target="http://humanloop.com" TargetMode="External"/><Relationship Id="rId654" Type="http://schemas.openxmlformats.org/officeDocument/2006/relationships/hyperlink" Target="http://hiro.so" TargetMode="External"/><Relationship Id="rId659" Type="http://schemas.openxmlformats.org/officeDocument/2006/relationships/hyperlink" Target="http://hypercontext.com" TargetMode="External"/><Relationship Id="rId658" Type="http://schemas.openxmlformats.org/officeDocument/2006/relationships/hyperlink" Target="http://hona.com" TargetMode="External"/><Relationship Id="rId1480" Type="http://schemas.openxmlformats.org/officeDocument/2006/relationships/hyperlink" Target="http://justpark.com" TargetMode="External"/><Relationship Id="rId1481" Type="http://schemas.openxmlformats.org/officeDocument/2006/relationships/hyperlink" Target="http://asos.com" TargetMode="External"/><Relationship Id="rId1482" Type="http://schemas.openxmlformats.org/officeDocument/2006/relationships/hyperlink" Target="http://king.com" TargetMode="External"/><Relationship Id="rId1483" Type="http://schemas.openxmlformats.org/officeDocument/2006/relationships/hyperlink" Target="http://playbackbone.com" TargetMode="External"/><Relationship Id="rId653" Type="http://schemas.openxmlformats.org/officeDocument/2006/relationships/hyperlink" Target="http://humaans.io" TargetMode="External"/><Relationship Id="rId1484" Type="http://schemas.openxmlformats.org/officeDocument/2006/relationships/hyperlink" Target="http://kry.se" TargetMode="External"/><Relationship Id="rId652" Type="http://schemas.openxmlformats.org/officeDocument/2006/relationships/hyperlink" Target="http://hiresweet.com" TargetMode="External"/><Relationship Id="rId1485" Type="http://schemas.openxmlformats.org/officeDocument/2006/relationships/hyperlink" Target="http://betfair.com" TargetMode="External"/><Relationship Id="rId651" Type="http://schemas.openxmlformats.org/officeDocument/2006/relationships/hyperlink" Target="http://letshum.com" TargetMode="External"/><Relationship Id="rId1486" Type="http://schemas.openxmlformats.org/officeDocument/2006/relationships/hyperlink" Target="http://revolut.com" TargetMode="External"/><Relationship Id="rId650" Type="http://schemas.openxmlformats.org/officeDocument/2006/relationships/hyperlink" Target="http://hireart.com" TargetMode="External"/><Relationship Id="rId1487" Type="http://schemas.openxmlformats.org/officeDocument/2006/relationships/hyperlink" Target="http://bird.co" TargetMode="External"/><Relationship Id="rId3216" Type="http://schemas.openxmlformats.org/officeDocument/2006/relationships/hyperlink" Target="https://www.100ms.live/" TargetMode="External"/><Relationship Id="rId3215" Type="http://schemas.openxmlformats.org/officeDocument/2006/relationships/hyperlink" Target="http://teamshares.com" TargetMode="External"/><Relationship Id="rId3218" Type="http://schemas.openxmlformats.org/officeDocument/2006/relationships/hyperlink" Target="http://www.1balance.com/" TargetMode="External"/><Relationship Id="rId3217" Type="http://schemas.openxmlformats.org/officeDocument/2006/relationships/hyperlink" Target="http://varda.com" TargetMode="External"/><Relationship Id="rId3219" Type="http://schemas.openxmlformats.org/officeDocument/2006/relationships/hyperlink" Target="http://zendar.io" TargetMode="External"/><Relationship Id="rId689" Type="http://schemas.openxmlformats.org/officeDocument/2006/relationships/hyperlink" Target="http://juzibot.com" TargetMode="External"/><Relationship Id="rId688" Type="http://schemas.openxmlformats.org/officeDocument/2006/relationships/hyperlink" Target="http://inscribe.ai" TargetMode="External"/><Relationship Id="rId687" Type="http://schemas.openxmlformats.org/officeDocument/2006/relationships/hyperlink" Target="http://jutsoo.com" TargetMode="External"/><Relationship Id="rId682" Type="http://schemas.openxmlformats.org/officeDocument/2006/relationships/hyperlink" Target="http://infracost.io" TargetMode="External"/><Relationship Id="rId681" Type="http://schemas.openxmlformats.org/officeDocument/2006/relationships/hyperlink" Target="http://iotflows.com" TargetMode="External"/><Relationship Id="rId680" Type="http://schemas.openxmlformats.org/officeDocument/2006/relationships/hyperlink" Target="http://impraise.com" TargetMode="External"/><Relationship Id="rId3210" Type="http://schemas.openxmlformats.org/officeDocument/2006/relationships/hyperlink" Target="http://curai.com" TargetMode="External"/><Relationship Id="rId686" Type="http://schemas.openxmlformats.org/officeDocument/2006/relationships/hyperlink" Target="http://inokyo.com" TargetMode="External"/><Relationship Id="rId3212" Type="http://schemas.openxmlformats.org/officeDocument/2006/relationships/hyperlink" Target="http://stylusmedicine.com" TargetMode="External"/><Relationship Id="rId685" Type="http://schemas.openxmlformats.org/officeDocument/2006/relationships/hyperlink" Target="http://journey.io" TargetMode="External"/><Relationship Id="rId3211" Type="http://schemas.openxmlformats.org/officeDocument/2006/relationships/hyperlink" Target="http://vicarioussurgical.com" TargetMode="External"/><Relationship Id="rId684" Type="http://schemas.openxmlformats.org/officeDocument/2006/relationships/hyperlink" Target="http://inklingmarkets.com" TargetMode="External"/><Relationship Id="rId3214" Type="http://schemas.openxmlformats.org/officeDocument/2006/relationships/hyperlink" Target="http://vivodyne.com" TargetMode="External"/><Relationship Id="rId683" Type="http://schemas.openxmlformats.org/officeDocument/2006/relationships/hyperlink" Target="http://jopwell.com" TargetMode="External"/><Relationship Id="rId3213" Type="http://schemas.openxmlformats.org/officeDocument/2006/relationships/hyperlink" Target="http://vitara.com" TargetMode="External"/><Relationship Id="rId3205" Type="http://schemas.openxmlformats.org/officeDocument/2006/relationships/hyperlink" Target="http://realtafusion.com" TargetMode="External"/><Relationship Id="rId3204" Type="http://schemas.openxmlformats.org/officeDocument/2006/relationships/hyperlink" Target="http://headspacehealth.com" TargetMode="External"/><Relationship Id="rId3207" Type="http://schemas.openxmlformats.org/officeDocument/2006/relationships/hyperlink" Target="http://spiritus.com" TargetMode="External"/><Relationship Id="rId3206" Type="http://schemas.openxmlformats.org/officeDocument/2006/relationships/hyperlink" Target="http://cellfebiotech.com" TargetMode="External"/><Relationship Id="rId3209" Type="http://schemas.openxmlformats.org/officeDocument/2006/relationships/hyperlink" Target="http://terraai.com" TargetMode="External"/><Relationship Id="rId3208" Type="http://schemas.openxmlformats.org/officeDocument/2006/relationships/hyperlink" Target="http://loyalfordogs.com" TargetMode="External"/><Relationship Id="rId679" Type="http://schemas.openxmlformats.org/officeDocument/2006/relationships/hyperlink" Target="http://invoid.co" TargetMode="External"/><Relationship Id="rId678" Type="http://schemas.openxmlformats.org/officeDocument/2006/relationships/hyperlink" Target="http://iomete.com" TargetMode="External"/><Relationship Id="rId677" Type="http://schemas.openxmlformats.org/officeDocument/2006/relationships/hyperlink" Target="http://instrumentl.com" TargetMode="External"/><Relationship Id="rId676" Type="http://schemas.openxmlformats.org/officeDocument/2006/relationships/hyperlink" Target="http://hypotenuse.ai" TargetMode="External"/><Relationship Id="rId671" Type="http://schemas.openxmlformats.org/officeDocument/2006/relationships/hyperlink" Target="http://inklingmarkets.com" TargetMode="External"/><Relationship Id="rId670" Type="http://schemas.openxmlformats.org/officeDocument/2006/relationships/hyperlink" Target="http://humanly.io" TargetMode="External"/><Relationship Id="rId675" Type="http://schemas.openxmlformats.org/officeDocument/2006/relationships/hyperlink" Target="http://inscribe.ai" TargetMode="External"/><Relationship Id="rId3201" Type="http://schemas.openxmlformats.org/officeDocument/2006/relationships/hyperlink" Target="http://glydways.com" TargetMode="External"/><Relationship Id="rId674" Type="http://schemas.openxmlformats.org/officeDocument/2006/relationships/hyperlink" Target="http://hypermile.ai" TargetMode="External"/><Relationship Id="rId3200" Type="http://schemas.openxmlformats.org/officeDocument/2006/relationships/hyperlink" Target="http://aguamarina.cl" TargetMode="External"/><Relationship Id="rId673" Type="http://schemas.openxmlformats.org/officeDocument/2006/relationships/hyperlink" Target="http://inokyo.com" TargetMode="External"/><Relationship Id="rId3203" Type="http://schemas.openxmlformats.org/officeDocument/2006/relationships/hyperlink" Target="http://koloma.com" TargetMode="External"/><Relationship Id="rId672" Type="http://schemas.openxmlformats.org/officeDocument/2006/relationships/hyperlink" Target="http://hypercontext.com" TargetMode="External"/><Relationship Id="rId3202" Type="http://schemas.openxmlformats.org/officeDocument/2006/relationships/hyperlink" Target="http://leaftfoods.com" TargetMode="External"/><Relationship Id="rId190" Type="http://schemas.openxmlformats.org/officeDocument/2006/relationships/hyperlink" Target="http://animaapp.com" TargetMode="External"/><Relationship Id="rId194" Type="http://schemas.openxmlformats.org/officeDocument/2006/relationships/hyperlink" Target="http://apollo.io" TargetMode="External"/><Relationship Id="rId193" Type="http://schemas.openxmlformats.org/officeDocument/2006/relationships/hyperlink" Target="http://arengu.com" TargetMode="External"/><Relationship Id="rId192" Type="http://schemas.openxmlformats.org/officeDocument/2006/relationships/hyperlink" Target="http://anjuna.io" TargetMode="External"/><Relationship Id="rId191" Type="http://schemas.openxmlformats.org/officeDocument/2006/relationships/hyperlink" Target="http://archbee.com" TargetMode="External"/><Relationship Id="rId187" Type="http://schemas.openxmlformats.org/officeDocument/2006/relationships/hyperlink" Target="http://aptible.com" TargetMode="External"/><Relationship Id="rId186" Type="http://schemas.openxmlformats.org/officeDocument/2006/relationships/hyperlink" Target="http://ambition.com" TargetMode="External"/><Relationship Id="rId185" Type="http://schemas.openxmlformats.org/officeDocument/2006/relationships/hyperlink" Target="http://apptimize.com" TargetMode="External"/><Relationship Id="rId184" Type="http://schemas.openxmlformats.org/officeDocument/2006/relationships/hyperlink" Target="http://ambient.ai" TargetMode="External"/><Relationship Id="rId189" Type="http://schemas.openxmlformats.org/officeDocument/2006/relationships/hyperlink" Target="http://aquariumlearning.com" TargetMode="External"/><Relationship Id="rId188" Type="http://schemas.openxmlformats.org/officeDocument/2006/relationships/hyperlink" Target="http://anasen.com" TargetMode="External"/><Relationship Id="rId183" Type="http://schemas.openxmlformats.org/officeDocument/2006/relationships/hyperlink" Target="http://apportable.com" TargetMode="External"/><Relationship Id="rId182" Type="http://schemas.openxmlformats.org/officeDocument/2006/relationships/hyperlink" Target="http://alokai.com" TargetMode="External"/><Relationship Id="rId181" Type="http://schemas.openxmlformats.org/officeDocument/2006/relationships/hyperlink" Target="http://apollo.io" TargetMode="External"/><Relationship Id="rId180" Type="http://schemas.openxmlformats.org/officeDocument/2006/relationships/hyperlink" Target="http://alluresystems.com" TargetMode="External"/><Relationship Id="rId176" Type="http://schemas.openxmlformats.org/officeDocument/2006/relationships/hyperlink" Target="http://140fire.com" TargetMode="External"/><Relationship Id="rId175" Type="http://schemas.openxmlformats.org/officeDocument/2006/relationships/hyperlink" Target="http://anasen.com" TargetMode="External"/><Relationship Id="rId174" Type="http://schemas.openxmlformats.org/officeDocument/2006/relationships/hyperlink" Target="http://allsome.com" TargetMode="External"/><Relationship Id="rId173" Type="http://schemas.openxmlformats.org/officeDocument/2006/relationships/hyperlink" Target="http://ambition.com" TargetMode="External"/><Relationship Id="rId179" Type="http://schemas.openxmlformats.org/officeDocument/2006/relationships/hyperlink" Target="http://anjuna.io" TargetMode="External"/><Relationship Id="rId178" Type="http://schemas.openxmlformats.org/officeDocument/2006/relationships/hyperlink" Target="http://runalloy.com" TargetMode="External"/><Relationship Id="rId177" Type="http://schemas.openxmlformats.org/officeDocument/2006/relationships/hyperlink" Target="http://animaapp.com" TargetMode="External"/><Relationship Id="rId198" Type="http://schemas.openxmlformats.org/officeDocument/2006/relationships/hyperlink" Target="http://apptimize.com" TargetMode="External"/><Relationship Id="rId197" Type="http://schemas.openxmlformats.org/officeDocument/2006/relationships/hyperlink" Target="http://arketa.com" TargetMode="External"/><Relationship Id="rId196" Type="http://schemas.openxmlformats.org/officeDocument/2006/relationships/hyperlink" Target="http://apportable.com" TargetMode="External"/><Relationship Id="rId195" Type="http://schemas.openxmlformats.org/officeDocument/2006/relationships/hyperlink" Target="http://arist.co" TargetMode="External"/><Relationship Id="rId199" Type="http://schemas.openxmlformats.org/officeDocument/2006/relationships/hyperlink" Target="http://armilla.ai" TargetMode="External"/><Relationship Id="rId150" Type="http://schemas.openxmlformats.org/officeDocument/2006/relationships/hyperlink" Target="http://activeloop.ai" TargetMode="External"/><Relationship Id="rId149" Type="http://schemas.openxmlformats.org/officeDocument/2006/relationships/hyperlink" Target="http://airbyte.com" TargetMode="External"/><Relationship Id="rId148" Type="http://schemas.openxmlformats.org/officeDocument/2006/relationships/hyperlink" Target="http://abstra.io" TargetMode="External"/><Relationship Id="rId3270" Type="http://schemas.openxmlformats.org/officeDocument/2006/relationships/hyperlink" Target="https://www.axle.energy/" TargetMode="External"/><Relationship Id="rId3272" Type="http://schemas.openxmlformats.org/officeDocument/2006/relationships/hyperlink" Target="http://www.baublebar.com/" TargetMode="External"/><Relationship Id="rId3271" Type="http://schemas.openxmlformats.org/officeDocument/2006/relationships/hyperlink" Target="https://www.axonius.com/" TargetMode="External"/><Relationship Id="rId143" Type="http://schemas.openxmlformats.org/officeDocument/2006/relationships/hyperlink" Target="http://agaveapi.com" TargetMode="External"/><Relationship Id="rId3274" Type="http://schemas.openxmlformats.org/officeDocument/2006/relationships/hyperlink" Target="https://www.usebeam.co/" TargetMode="External"/><Relationship Id="rId142" Type="http://schemas.openxmlformats.org/officeDocument/2006/relationships/hyperlink" Target="http://axdraft.com" TargetMode="External"/><Relationship Id="rId3273" Type="http://schemas.openxmlformats.org/officeDocument/2006/relationships/hyperlink" Target="https://bayestree.com/" TargetMode="External"/><Relationship Id="rId141" Type="http://schemas.openxmlformats.org/officeDocument/2006/relationships/hyperlink" Target="http://aerofs.com" TargetMode="External"/><Relationship Id="rId3276" Type="http://schemas.openxmlformats.org/officeDocument/2006/relationships/hyperlink" Target="https://bere.al/en" TargetMode="External"/><Relationship Id="rId140" Type="http://schemas.openxmlformats.org/officeDocument/2006/relationships/hyperlink" Target="http://adenhq.com" TargetMode="External"/><Relationship Id="rId3275" Type="http://schemas.openxmlformats.org/officeDocument/2006/relationships/hyperlink" Target="https://beek.io/" TargetMode="External"/><Relationship Id="rId147" Type="http://schemas.openxmlformats.org/officeDocument/2006/relationships/hyperlink" Target="http://ahazou.com" TargetMode="External"/><Relationship Id="rId3278" Type="http://schemas.openxmlformats.org/officeDocument/2006/relationships/hyperlink" Target="http://www.bettercloud.com/" TargetMode="External"/><Relationship Id="rId146" Type="http://schemas.openxmlformats.org/officeDocument/2006/relationships/hyperlink" Target="http://abacus.com" TargetMode="External"/><Relationship Id="rId3277" Type="http://schemas.openxmlformats.org/officeDocument/2006/relationships/hyperlink" Target="https://www.bestdocapp.com/" TargetMode="External"/><Relationship Id="rId145" Type="http://schemas.openxmlformats.org/officeDocument/2006/relationships/hyperlink" Target="http://agendapro.com" TargetMode="External"/><Relationship Id="rId144" Type="http://schemas.openxmlformats.org/officeDocument/2006/relationships/hyperlink" Target="http://athinkingape.com" TargetMode="External"/><Relationship Id="rId3279" Type="http://schemas.openxmlformats.org/officeDocument/2006/relationships/hyperlink" Target="https://www.bevy.com/" TargetMode="External"/><Relationship Id="rId139" Type="http://schemas.openxmlformats.org/officeDocument/2006/relationships/hyperlink" Target="http://500friends.com" TargetMode="External"/><Relationship Id="rId138" Type="http://schemas.openxmlformats.org/officeDocument/2006/relationships/hyperlink" Target="http://activeloop.ai" TargetMode="External"/><Relationship Id="rId137" Type="http://schemas.openxmlformats.org/officeDocument/2006/relationships/hyperlink" Target="http://280north.com" TargetMode="External"/><Relationship Id="rId3261" Type="http://schemas.openxmlformats.org/officeDocument/2006/relationships/hyperlink" Target="https://www.astronauts.id/" TargetMode="External"/><Relationship Id="rId3260" Type="http://schemas.openxmlformats.org/officeDocument/2006/relationships/hyperlink" Target="https://astral.sh/" TargetMode="External"/><Relationship Id="rId132" Type="http://schemas.openxmlformats.org/officeDocument/2006/relationships/hyperlink" Target="http://athinkingape.com" TargetMode="External"/><Relationship Id="rId3263" Type="http://schemas.openxmlformats.org/officeDocument/2006/relationships/hyperlink" Target="https://www.atratopago.com/" TargetMode="External"/><Relationship Id="rId131" Type="http://schemas.openxmlformats.org/officeDocument/2006/relationships/hyperlink" Target="http://compup.io" TargetMode="External"/><Relationship Id="rId3262" Type="http://schemas.openxmlformats.org/officeDocument/2006/relationships/hyperlink" Target="http://www.atlassian.com/" TargetMode="External"/><Relationship Id="rId130" Type="http://schemas.openxmlformats.org/officeDocument/2006/relationships/hyperlink" Target="http://axdraft.com" TargetMode="External"/><Relationship Id="rId3265" Type="http://schemas.openxmlformats.org/officeDocument/2006/relationships/hyperlink" Target="https://aura.com/" TargetMode="External"/><Relationship Id="rId3264" Type="http://schemas.openxmlformats.org/officeDocument/2006/relationships/hyperlink" Target="https://www.atspoke.com/" TargetMode="External"/><Relationship Id="rId136" Type="http://schemas.openxmlformats.org/officeDocument/2006/relationships/hyperlink" Target="http://abstra.io" TargetMode="External"/><Relationship Id="rId3267" Type="http://schemas.openxmlformats.org/officeDocument/2006/relationships/hyperlink" Target="http://www.avito.ru/" TargetMode="External"/><Relationship Id="rId135" Type="http://schemas.openxmlformats.org/officeDocument/2006/relationships/hyperlink" Target="http://driverai.com" TargetMode="External"/><Relationship Id="rId3266" Type="http://schemas.openxmlformats.org/officeDocument/2006/relationships/hyperlink" Target="http://www.useavenue.com/" TargetMode="External"/><Relationship Id="rId134" Type="http://schemas.openxmlformats.org/officeDocument/2006/relationships/hyperlink" Target="http://abacus.com" TargetMode="External"/><Relationship Id="rId3269" Type="http://schemas.openxmlformats.org/officeDocument/2006/relationships/hyperlink" Target="http://www.axiobio.com/" TargetMode="External"/><Relationship Id="rId133" Type="http://schemas.openxmlformats.org/officeDocument/2006/relationships/hyperlink" Target="http://cercli.com" TargetMode="External"/><Relationship Id="rId3268" Type="http://schemas.openxmlformats.org/officeDocument/2006/relationships/hyperlink" Target="http://www.awaytravel.com/" TargetMode="External"/><Relationship Id="rId172" Type="http://schemas.openxmlformats.org/officeDocument/2006/relationships/hyperlink" Target="http://alima.la" TargetMode="External"/><Relationship Id="rId171" Type="http://schemas.openxmlformats.org/officeDocument/2006/relationships/hyperlink" Target="http://ambient.ai" TargetMode="External"/><Relationship Id="rId170" Type="http://schemas.openxmlformats.org/officeDocument/2006/relationships/hyperlink" Target="http://alephee.com" TargetMode="External"/><Relationship Id="rId3290" Type="http://schemas.openxmlformats.org/officeDocument/2006/relationships/hyperlink" Target="http://www.bonobos.com/" TargetMode="External"/><Relationship Id="rId3292" Type="http://schemas.openxmlformats.org/officeDocument/2006/relationships/hyperlink" Target="http://www.borqs.com/" TargetMode="External"/><Relationship Id="rId3291" Type="http://schemas.openxmlformats.org/officeDocument/2006/relationships/hyperlink" Target="http://www.bookmyshow.com/" TargetMode="External"/><Relationship Id="rId3294" Type="http://schemas.openxmlformats.org/officeDocument/2006/relationships/hyperlink" Target="http://www.braintreepayments.com/" TargetMode="External"/><Relationship Id="rId3293" Type="http://schemas.openxmlformats.org/officeDocument/2006/relationships/hyperlink" Target="https://bounceinfinity.com/" TargetMode="External"/><Relationship Id="rId165" Type="http://schemas.openxmlformats.org/officeDocument/2006/relationships/hyperlink" Target="http://runalloy.com" TargetMode="External"/><Relationship Id="rId3296" Type="http://schemas.openxmlformats.org/officeDocument/2006/relationships/hyperlink" Target="https://www.bricknbolt.com/" TargetMode="External"/><Relationship Id="rId164" Type="http://schemas.openxmlformats.org/officeDocument/2006/relationships/hyperlink" Target="http://akiflow.com" TargetMode="External"/><Relationship Id="rId3295" Type="http://schemas.openxmlformats.org/officeDocument/2006/relationships/hyperlink" Target="https://www.breathewellbeing.in/" TargetMode="External"/><Relationship Id="rId163" Type="http://schemas.openxmlformats.org/officeDocument/2006/relationships/hyperlink" Target="http://140fire.com" TargetMode="External"/><Relationship Id="rId3298" Type="http://schemas.openxmlformats.org/officeDocument/2006/relationships/hyperlink" Target="http://www.browserstack.com/" TargetMode="External"/><Relationship Id="rId162" Type="http://schemas.openxmlformats.org/officeDocument/2006/relationships/hyperlink" Target="http://airbyte.com" TargetMode="External"/><Relationship Id="rId3297" Type="http://schemas.openxmlformats.org/officeDocument/2006/relationships/hyperlink" Target="https://brik.id/" TargetMode="External"/><Relationship Id="rId169" Type="http://schemas.openxmlformats.org/officeDocument/2006/relationships/hyperlink" Target="http://alokai.com" TargetMode="External"/><Relationship Id="rId168" Type="http://schemas.openxmlformats.org/officeDocument/2006/relationships/hyperlink" Target="http://getaleph.com" TargetMode="External"/><Relationship Id="rId3299" Type="http://schemas.openxmlformats.org/officeDocument/2006/relationships/hyperlink" Target="http://www.brumbrum.it/" TargetMode="External"/><Relationship Id="rId167" Type="http://schemas.openxmlformats.org/officeDocument/2006/relationships/hyperlink" Target="http://alluresystems.com" TargetMode="External"/><Relationship Id="rId166" Type="http://schemas.openxmlformats.org/officeDocument/2006/relationships/hyperlink" Target="http://alana.jobs" TargetMode="External"/><Relationship Id="rId161" Type="http://schemas.openxmlformats.org/officeDocument/2006/relationships/hyperlink" Target="http://allsome.com" TargetMode="External"/><Relationship Id="rId160" Type="http://schemas.openxmlformats.org/officeDocument/2006/relationships/hyperlink" Target="http://ahazou.com" TargetMode="External"/><Relationship Id="rId159" Type="http://schemas.openxmlformats.org/officeDocument/2006/relationships/hyperlink" Target="http://alima.la" TargetMode="External"/><Relationship Id="rId3281" Type="http://schemas.openxmlformats.org/officeDocument/2006/relationships/hyperlink" Target="https://bird.com/en-us/" TargetMode="External"/><Relationship Id="rId3280" Type="http://schemas.openxmlformats.org/officeDocument/2006/relationships/hyperlink" Target="https://binocs.co/" TargetMode="External"/><Relationship Id="rId3283" Type="http://schemas.openxmlformats.org/officeDocument/2006/relationships/hyperlink" Target="http://www.bizongo.com/" TargetMode="External"/><Relationship Id="rId3282" Type="http://schemas.openxmlformats.org/officeDocument/2006/relationships/hyperlink" Target="http://www.bird.co/" TargetMode="External"/><Relationship Id="rId154" Type="http://schemas.openxmlformats.org/officeDocument/2006/relationships/hyperlink" Target="http://aerofs.com" TargetMode="External"/><Relationship Id="rId3285" Type="http://schemas.openxmlformats.org/officeDocument/2006/relationships/hyperlink" Target="http://www.blackbuck.com/" TargetMode="External"/><Relationship Id="rId153" Type="http://schemas.openxmlformats.org/officeDocument/2006/relationships/hyperlink" Target="http://alana.jobs" TargetMode="External"/><Relationship Id="rId3284" Type="http://schemas.openxmlformats.org/officeDocument/2006/relationships/hyperlink" Target="http://www.blablacar.com/" TargetMode="External"/><Relationship Id="rId152" Type="http://schemas.openxmlformats.org/officeDocument/2006/relationships/hyperlink" Target="http://adenhq.com" TargetMode="External"/><Relationship Id="rId3287" Type="http://schemas.openxmlformats.org/officeDocument/2006/relationships/hyperlink" Target="http://www.blameless.com/" TargetMode="External"/><Relationship Id="rId151" Type="http://schemas.openxmlformats.org/officeDocument/2006/relationships/hyperlink" Target="http://akiflow.com" TargetMode="External"/><Relationship Id="rId3286" Type="http://schemas.openxmlformats.org/officeDocument/2006/relationships/hyperlink" Target="https://blackpointcyber.com/" TargetMode="External"/><Relationship Id="rId158" Type="http://schemas.openxmlformats.org/officeDocument/2006/relationships/hyperlink" Target="http://agendapro.com" TargetMode="External"/><Relationship Id="rId3289" Type="http://schemas.openxmlformats.org/officeDocument/2006/relationships/hyperlink" Target="http://www.bluestone.com/" TargetMode="External"/><Relationship Id="rId157" Type="http://schemas.openxmlformats.org/officeDocument/2006/relationships/hyperlink" Target="http://alephee.com" TargetMode="External"/><Relationship Id="rId3288" Type="http://schemas.openxmlformats.org/officeDocument/2006/relationships/hyperlink" Target="http://www.bluejeans.com/" TargetMode="External"/><Relationship Id="rId156" Type="http://schemas.openxmlformats.org/officeDocument/2006/relationships/hyperlink" Target="http://agaveapi.com" TargetMode="External"/><Relationship Id="rId155" Type="http://schemas.openxmlformats.org/officeDocument/2006/relationships/hyperlink" Target="http://getaleph.com" TargetMode="External"/><Relationship Id="rId2820" Type="http://schemas.openxmlformats.org/officeDocument/2006/relationships/hyperlink" Target="http://stripe.com" TargetMode="External"/><Relationship Id="rId2821" Type="http://schemas.openxmlformats.org/officeDocument/2006/relationships/hyperlink" Target="http://sprig.com" TargetMode="External"/><Relationship Id="rId2822" Type="http://schemas.openxmlformats.org/officeDocument/2006/relationships/hyperlink" Target="http://substack.com" TargetMode="External"/><Relationship Id="rId2823" Type="http://schemas.openxmlformats.org/officeDocument/2006/relationships/hyperlink" Target="http://sprinterhealth.com" TargetMode="External"/><Relationship Id="rId2824" Type="http://schemas.openxmlformats.org/officeDocument/2006/relationships/hyperlink" Target="http://supergaming.com" TargetMode="External"/><Relationship Id="rId2825" Type="http://schemas.openxmlformats.org/officeDocument/2006/relationships/hyperlink" Target="http://spruceid.com" TargetMode="External"/><Relationship Id="rId2826" Type="http://schemas.openxmlformats.org/officeDocument/2006/relationships/hyperlink" Target="http://superhuman.com" TargetMode="External"/><Relationship Id="rId2827" Type="http://schemas.openxmlformats.org/officeDocument/2006/relationships/hyperlink" Target="http://stackerhq.com" TargetMode="External"/><Relationship Id="rId2828" Type="http://schemas.openxmlformats.org/officeDocument/2006/relationships/hyperlink" Target="http://supermove.com" TargetMode="External"/><Relationship Id="rId2829" Type="http://schemas.openxmlformats.org/officeDocument/2006/relationships/hyperlink" Target="http://starburst.io" TargetMode="External"/><Relationship Id="rId2810" Type="http://schemas.openxmlformats.org/officeDocument/2006/relationships/hyperlink" Target="http://solana.com" TargetMode="External"/><Relationship Id="rId2811" Type="http://schemas.openxmlformats.org/officeDocument/2006/relationships/hyperlink" Target="http://sound.xyz" TargetMode="External"/><Relationship Id="rId2812" Type="http://schemas.openxmlformats.org/officeDocument/2006/relationships/hyperlink" Target="http://stelolabs.com" TargetMode="External"/><Relationship Id="rId2813" Type="http://schemas.openxmlformats.org/officeDocument/2006/relationships/hyperlink" Target="http://about.sourcegraph.com" TargetMode="External"/><Relationship Id="rId2814" Type="http://schemas.openxmlformats.org/officeDocument/2006/relationships/hyperlink" Target="http://stoik.io" TargetMode="External"/><Relationship Id="rId2815" Type="http://schemas.openxmlformats.org/officeDocument/2006/relationships/hyperlink" Target="http://spacex.com" TargetMode="External"/><Relationship Id="rId2816" Type="http://schemas.openxmlformats.org/officeDocument/2006/relationships/hyperlink" Target="http://stonks.com" TargetMode="External"/><Relationship Id="rId2817" Type="http://schemas.openxmlformats.org/officeDocument/2006/relationships/hyperlink" Target="http://spade.com" TargetMode="External"/><Relationship Id="rId2818" Type="http://schemas.openxmlformats.org/officeDocument/2006/relationships/hyperlink" Target="http://storyprotocol.xyz" TargetMode="External"/><Relationship Id="rId2819" Type="http://schemas.openxmlformats.org/officeDocument/2006/relationships/hyperlink" Target="http://spoton.com" TargetMode="External"/><Relationship Id="rId1510" Type="http://schemas.openxmlformats.org/officeDocument/2006/relationships/hyperlink" Target="http://farfetch.com" TargetMode="External"/><Relationship Id="rId2841" Type="http://schemas.openxmlformats.org/officeDocument/2006/relationships/hyperlink" Target="http://usetako.com" TargetMode="External"/><Relationship Id="rId1511" Type="http://schemas.openxmlformats.org/officeDocument/2006/relationships/hyperlink" Target="http://bloomandwild.com" TargetMode="External"/><Relationship Id="rId2842" Type="http://schemas.openxmlformats.org/officeDocument/2006/relationships/hyperlink" Target="http://substack.com" TargetMode="External"/><Relationship Id="rId1512" Type="http://schemas.openxmlformats.org/officeDocument/2006/relationships/hyperlink" Target="http://flipboard.com" TargetMode="External"/><Relationship Id="rId2843" Type="http://schemas.openxmlformats.org/officeDocument/2006/relationships/hyperlink" Target="http://talkiatry.com" TargetMode="External"/><Relationship Id="rId1513" Type="http://schemas.openxmlformats.org/officeDocument/2006/relationships/hyperlink" Target="http://captaintrain.com" TargetMode="External"/><Relationship Id="rId2844" Type="http://schemas.openxmlformats.org/officeDocument/2006/relationships/hyperlink" Target="http://supergaming.com" TargetMode="External"/><Relationship Id="rId1514" Type="http://schemas.openxmlformats.org/officeDocument/2006/relationships/hyperlink" Target="http://glossier.com" TargetMode="External"/><Relationship Id="rId2845" Type="http://schemas.openxmlformats.org/officeDocument/2006/relationships/hyperlink" Target="http://meettally.com" TargetMode="External"/><Relationship Id="rId1515" Type="http://schemas.openxmlformats.org/officeDocument/2006/relationships/hyperlink" Target="http://getcatch.com" TargetMode="External"/><Relationship Id="rId2846" Type="http://schemas.openxmlformats.org/officeDocument/2006/relationships/hyperlink" Target="http://superhuman.com" TargetMode="External"/><Relationship Id="rId1516" Type="http://schemas.openxmlformats.org/officeDocument/2006/relationships/hyperlink" Target="http://grailed.com" TargetMode="External"/><Relationship Id="rId2847" Type="http://schemas.openxmlformats.org/officeDocument/2006/relationships/hyperlink" Target="http://tallylabs.xyz" TargetMode="External"/><Relationship Id="rId1517" Type="http://schemas.openxmlformats.org/officeDocument/2006/relationships/hyperlink" Target="http://cowboy.com" TargetMode="External"/><Relationship Id="rId2848" Type="http://schemas.openxmlformats.org/officeDocument/2006/relationships/hyperlink" Target="http://supermove.com" TargetMode="External"/><Relationship Id="rId1518" Type="http://schemas.openxmlformats.org/officeDocument/2006/relationships/hyperlink" Target="http://hutchgames.com" TargetMode="External"/><Relationship Id="rId2849" Type="http://schemas.openxmlformats.org/officeDocument/2006/relationships/hyperlink" Target="http://talofagames.com" TargetMode="External"/><Relationship Id="rId1519" Type="http://schemas.openxmlformats.org/officeDocument/2006/relationships/hyperlink" Target="http://deliveroo.co.uk" TargetMode="External"/><Relationship Id="rId2840" Type="http://schemas.openxmlformats.org/officeDocument/2006/relationships/hyperlink" Target="http://stripe.com" TargetMode="External"/><Relationship Id="rId2830" Type="http://schemas.openxmlformats.org/officeDocument/2006/relationships/hyperlink" Target="http://svix.com" TargetMode="External"/><Relationship Id="rId1500" Type="http://schemas.openxmlformats.org/officeDocument/2006/relationships/hyperlink" Target="http://deliveroo.co.uk" TargetMode="External"/><Relationship Id="rId2831" Type="http://schemas.openxmlformats.org/officeDocument/2006/relationships/hyperlink" Target="http://starstock.com" TargetMode="External"/><Relationship Id="rId1501" Type="http://schemas.openxmlformats.org/officeDocument/2006/relationships/hyperlink" Target="http://asos.com" TargetMode="External"/><Relationship Id="rId2832" Type="http://schemas.openxmlformats.org/officeDocument/2006/relationships/hyperlink" Target="http://swaybrand.com" TargetMode="External"/><Relationship Id="rId1502" Type="http://schemas.openxmlformats.org/officeDocument/2006/relationships/hyperlink" Target="http://dreamgames.com" TargetMode="External"/><Relationship Id="rId2833" Type="http://schemas.openxmlformats.org/officeDocument/2006/relationships/hyperlink" Target="http://stelolabs.com" TargetMode="External"/><Relationship Id="rId1503" Type="http://schemas.openxmlformats.org/officeDocument/2006/relationships/hyperlink" Target="http://playbackbone.com" TargetMode="External"/><Relationship Id="rId2834" Type="http://schemas.openxmlformats.org/officeDocument/2006/relationships/hyperlink" Target="http://synapsefi.com" TargetMode="External"/><Relationship Id="rId1504" Type="http://schemas.openxmlformats.org/officeDocument/2006/relationships/hyperlink" Target="http://drivy.com" TargetMode="External"/><Relationship Id="rId2835" Type="http://schemas.openxmlformats.org/officeDocument/2006/relationships/hyperlink" Target="http://stoik.io" TargetMode="External"/><Relationship Id="rId1505" Type="http://schemas.openxmlformats.org/officeDocument/2006/relationships/hyperlink" Target="http://betfair.com" TargetMode="External"/><Relationship Id="rId2836" Type="http://schemas.openxmlformats.org/officeDocument/2006/relationships/hyperlink" Target="http://syndicate.io" TargetMode="External"/><Relationship Id="rId1506" Type="http://schemas.openxmlformats.org/officeDocument/2006/relationships/hyperlink" Target="http://etsy.com" TargetMode="External"/><Relationship Id="rId2837" Type="http://schemas.openxmlformats.org/officeDocument/2006/relationships/hyperlink" Target="http://stonks.com" TargetMode="External"/><Relationship Id="rId1507" Type="http://schemas.openxmlformats.org/officeDocument/2006/relationships/hyperlink" Target="http://bird.co" TargetMode="External"/><Relationship Id="rId2838" Type="http://schemas.openxmlformats.org/officeDocument/2006/relationships/hyperlink" Target="http://storyprotocol.xyz" TargetMode="External"/><Relationship Id="rId1508" Type="http://schemas.openxmlformats.org/officeDocument/2006/relationships/hyperlink" Target="http://facebook.com" TargetMode="External"/><Relationship Id="rId2839" Type="http://schemas.openxmlformats.org/officeDocument/2006/relationships/hyperlink" Target="http://tackle.io" TargetMode="External"/><Relationship Id="rId1509" Type="http://schemas.openxmlformats.org/officeDocument/2006/relationships/hyperlink" Target="http://blablacar.com" TargetMode="External"/><Relationship Id="rId2800" Type="http://schemas.openxmlformats.org/officeDocument/2006/relationships/hyperlink" Target="http://sprig.com" TargetMode="External"/><Relationship Id="rId2801" Type="http://schemas.openxmlformats.org/officeDocument/2006/relationships/hyperlink" Target="http://smartcar.com" TargetMode="External"/><Relationship Id="rId2802" Type="http://schemas.openxmlformats.org/officeDocument/2006/relationships/hyperlink" Target="http://sprinterhealth.com" TargetMode="External"/><Relationship Id="rId2803" Type="http://schemas.openxmlformats.org/officeDocument/2006/relationships/hyperlink" Target="http://snackpass.co" TargetMode="External"/><Relationship Id="rId2804" Type="http://schemas.openxmlformats.org/officeDocument/2006/relationships/hyperlink" Target="http://spruceid.com" TargetMode="External"/><Relationship Id="rId2805" Type="http://schemas.openxmlformats.org/officeDocument/2006/relationships/hyperlink" Target="http://snaplogic.com" TargetMode="External"/><Relationship Id="rId2806" Type="http://schemas.openxmlformats.org/officeDocument/2006/relationships/hyperlink" Target="http://stackerhq.com" TargetMode="External"/><Relationship Id="rId2807" Type="http://schemas.openxmlformats.org/officeDocument/2006/relationships/hyperlink" Target="http://snapser.com" TargetMode="External"/><Relationship Id="rId2808" Type="http://schemas.openxmlformats.org/officeDocument/2006/relationships/hyperlink" Target="http://starburst.io" TargetMode="External"/><Relationship Id="rId2809" Type="http://schemas.openxmlformats.org/officeDocument/2006/relationships/hyperlink" Target="http://starstock.com" TargetMode="External"/><Relationship Id="rId1576" Type="http://schemas.openxmlformats.org/officeDocument/2006/relationships/hyperlink" Target="http://prodigyfinance.com" TargetMode="External"/><Relationship Id="rId1577" Type="http://schemas.openxmlformats.org/officeDocument/2006/relationships/hyperlink" Target="http://skype.com" TargetMode="External"/><Relationship Id="rId1578" Type="http://schemas.openxmlformats.org/officeDocument/2006/relationships/hyperlink" Target="http://qapa.fr" TargetMode="External"/><Relationship Id="rId1579" Type="http://schemas.openxmlformats.org/officeDocument/2006/relationships/hyperlink" Target="http://stackoverflow.com" TargetMode="External"/><Relationship Id="rId987" Type="http://schemas.openxmlformats.org/officeDocument/2006/relationships/hyperlink" Target="http://getopen.com" TargetMode="External"/><Relationship Id="rId986" Type="http://schemas.openxmlformats.org/officeDocument/2006/relationships/hyperlink" Target="http://gotitus.com" TargetMode="External"/><Relationship Id="rId985" Type="http://schemas.openxmlformats.org/officeDocument/2006/relationships/hyperlink" Target="http://nsave.com" TargetMode="External"/><Relationship Id="rId984" Type="http://schemas.openxmlformats.org/officeDocument/2006/relationships/hyperlink" Target="http://gotelescope.ai" TargetMode="External"/><Relationship Id="rId989" Type="http://schemas.openxmlformats.org/officeDocument/2006/relationships/hyperlink" Target="http://surein.de" TargetMode="External"/><Relationship Id="rId988" Type="http://schemas.openxmlformats.org/officeDocument/2006/relationships/hyperlink" Target="http://parallel.fi" TargetMode="External"/><Relationship Id="rId1570" Type="http://schemas.openxmlformats.org/officeDocument/2006/relationships/hyperlink" Target="http://pinatafarm.com" TargetMode="External"/><Relationship Id="rId1571" Type="http://schemas.openxmlformats.org/officeDocument/2006/relationships/hyperlink" Target="http://secretescapes.com" TargetMode="External"/><Relationship Id="rId983" Type="http://schemas.openxmlformats.org/officeDocument/2006/relationships/hyperlink" Target="http://monad.com" TargetMode="External"/><Relationship Id="rId1572" Type="http://schemas.openxmlformats.org/officeDocument/2006/relationships/hyperlink" Target="http://printify.com" TargetMode="External"/><Relationship Id="rId982" Type="http://schemas.openxmlformats.org/officeDocument/2006/relationships/hyperlink" Target="http://revmap.com" TargetMode="External"/><Relationship Id="rId1573" Type="http://schemas.openxmlformats.org/officeDocument/2006/relationships/hyperlink" Target="http://seedcamp.com" TargetMode="External"/><Relationship Id="rId981" Type="http://schemas.openxmlformats.org/officeDocument/2006/relationships/hyperlink" Target="http://lugg.com" TargetMode="External"/><Relationship Id="rId1574" Type="http://schemas.openxmlformats.org/officeDocument/2006/relationships/hyperlink" Target="http://privalia.com" TargetMode="External"/><Relationship Id="rId980" Type="http://schemas.openxmlformats.org/officeDocument/2006/relationships/hyperlink" Target="http://releasehub.com" TargetMode="External"/><Relationship Id="rId1575" Type="http://schemas.openxmlformats.org/officeDocument/2006/relationships/hyperlink" Target="http://shapeways.com" TargetMode="External"/><Relationship Id="rId1565" Type="http://schemas.openxmlformats.org/officeDocument/2006/relationships/hyperlink" Target="http://rohlik.cz" TargetMode="External"/><Relationship Id="rId2896" Type="http://schemas.openxmlformats.org/officeDocument/2006/relationships/hyperlink" Target="http://theorycraftgames.com" TargetMode="External"/><Relationship Id="rId1566" Type="http://schemas.openxmlformats.org/officeDocument/2006/relationships/hyperlink" Target="http://peanut-app.io" TargetMode="External"/><Relationship Id="rId2897" Type="http://schemas.openxmlformats.org/officeDocument/2006/relationships/hyperlink" Target="http://torbiegames.com" TargetMode="External"/><Relationship Id="rId1567" Type="http://schemas.openxmlformats.org/officeDocument/2006/relationships/hyperlink" Target="http://scoopforwork.com" TargetMode="External"/><Relationship Id="rId2898" Type="http://schemas.openxmlformats.org/officeDocument/2006/relationships/hyperlink" Target="http://thymecare.com" TargetMode="External"/><Relationship Id="rId1568" Type="http://schemas.openxmlformats.org/officeDocument/2006/relationships/hyperlink" Target="http://photobox.com" TargetMode="External"/><Relationship Id="rId2899" Type="http://schemas.openxmlformats.org/officeDocument/2006/relationships/hyperlink" Target="http://tradeblock.com" TargetMode="External"/><Relationship Id="rId1569" Type="http://schemas.openxmlformats.org/officeDocument/2006/relationships/hyperlink" Target="http://secondhome.io" TargetMode="External"/><Relationship Id="rId976" Type="http://schemas.openxmlformats.org/officeDocument/2006/relationships/hyperlink" Target="http://getopen.com" TargetMode="External"/><Relationship Id="rId975" Type="http://schemas.openxmlformats.org/officeDocument/2006/relationships/hyperlink" Target="http://filecoin.io" TargetMode="External"/><Relationship Id="rId974" Type="http://schemas.openxmlformats.org/officeDocument/2006/relationships/hyperlink" Target="http://nsave.com" TargetMode="External"/><Relationship Id="rId973" Type="http://schemas.openxmlformats.org/officeDocument/2006/relationships/hyperlink" Target="http://monad.com" TargetMode="External"/><Relationship Id="rId979" Type="http://schemas.openxmlformats.org/officeDocument/2006/relationships/hyperlink" Target="http://liquidmetal.ai" TargetMode="External"/><Relationship Id="rId978" Type="http://schemas.openxmlformats.org/officeDocument/2006/relationships/hyperlink" Target="http://parallel.fi" TargetMode="External"/><Relationship Id="rId977" Type="http://schemas.openxmlformats.org/officeDocument/2006/relationships/hyperlink" Target="http://mlfoundry.com" TargetMode="External"/><Relationship Id="rId2890" Type="http://schemas.openxmlformats.org/officeDocument/2006/relationships/hyperlink" Target="http://thecoterie.co" TargetMode="External"/><Relationship Id="rId1560" Type="http://schemas.openxmlformats.org/officeDocument/2006/relationships/hyperlink" Target="http://notonthehighstreet.com" TargetMode="External"/><Relationship Id="rId2891" Type="http://schemas.openxmlformats.org/officeDocument/2006/relationships/hyperlink" Target="http://home.tomorrowhealth.com" TargetMode="External"/><Relationship Id="rId972" Type="http://schemas.openxmlformats.org/officeDocument/2006/relationships/hyperlink" Target="http://faraway.gg" TargetMode="External"/><Relationship Id="rId1561" Type="http://schemas.openxmlformats.org/officeDocument/2006/relationships/hyperlink" Target="http://rec.net" TargetMode="External"/><Relationship Id="rId2892" Type="http://schemas.openxmlformats.org/officeDocument/2006/relationships/hyperlink" Target="http://thepossible.io" TargetMode="External"/><Relationship Id="rId971" Type="http://schemas.openxmlformats.org/officeDocument/2006/relationships/hyperlink" Target="http://lugg.com" TargetMode="External"/><Relationship Id="rId1562" Type="http://schemas.openxmlformats.org/officeDocument/2006/relationships/hyperlink" Target="http://onefinestay.com" TargetMode="External"/><Relationship Id="rId2893" Type="http://schemas.openxmlformats.org/officeDocument/2006/relationships/hyperlink" Target="http://topkey.io" TargetMode="External"/><Relationship Id="rId970" Type="http://schemas.openxmlformats.org/officeDocument/2006/relationships/hyperlink" Target="http://factory.ai" TargetMode="External"/><Relationship Id="rId1563" Type="http://schemas.openxmlformats.org/officeDocument/2006/relationships/hyperlink" Target="http://roblox.com" TargetMode="External"/><Relationship Id="rId2894" Type="http://schemas.openxmlformats.org/officeDocument/2006/relationships/hyperlink" Target="http://thepromenade.ai" TargetMode="External"/><Relationship Id="rId1564" Type="http://schemas.openxmlformats.org/officeDocument/2006/relationships/hyperlink" Target="http://patreon.com" TargetMode="External"/><Relationship Id="rId2895" Type="http://schemas.openxmlformats.org/officeDocument/2006/relationships/hyperlink" Target="http://jointopo.com" TargetMode="External"/><Relationship Id="rId1598" Type="http://schemas.openxmlformats.org/officeDocument/2006/relationships/hyperlink" Target="http://ubiquity6.com" TargetMode="External"/><Relationship Id="rId1599" Type="http://schemas.openxmlformats.org/officeDocument/2006/relationships/hyperlink" Target="http://stackoverflow.com" TargetMode="External"/><Relationship Id="rId1590" Type="http://schemas.openxmlformats.org/officeDocument/2006/relationships/hyperlink" Target="http://businessoffashion.com" TargetMode="External"/><Relationship Id="rId1591" Type="http://schemas.openxmlformats.org/officeDocument/2006/relationships/hyperlink" Target="http://secretescapes.com" TargetMode="External"/><Relationship Id="rId1592" Type="http://schemas.openxmlformats.org/officeDocument/2006/relationships/hyperlink" Target="http://tiney.co" TargetMode="External"/><Relationship Id="rId1593" Type="http://schemas.openxmlformats.org/officeDocument/2006/relationships/hyperlink" Target="http://seedcamp.com" TargetMode="External"/><Relationship Id="rId1594" Type="http://schemas.openxmlformats.org/officeDocument/2006/relationships/hyperlink" Target="http://trouva.com" TargetMode="External"/><Relationship Id="rId1595" Type="http://schemas.openxmlformats.org/officeDocument/2006/relationships/hyperlink" Target="http://shapeways.com" TargetMode="External"/><Relationship Id="rId1596" Type="http://schemas.openxmlformats.org/officeDocument/2006/relationships/hyperlink" Target="http://trustpilot.com" TargetMode="External"/><Relationship Id="rId1597" Type="http://schemas.openxmlformats.org/officeDocument/2006/relationships/hyperlink" Target="http://skype.com" TargetMode="External"/><Relationship Id="rId1587" Type="http://schemas.openxmlformats.org/officeDocument/2006/relationships/hyperlink" Target="http://scoopforwork.com" TargetMode="External"/><Relationship Id="rId1588" Type="http://schemas.openxmlformats.org/officeDocument/2006/relationships/hyperlink" Target="http://temaetfs.com" TargetMode="External"/><Relationship Id="rId1589" Type="http://schemas.openxmlformats.org/officeDocument/2006/relationships/hyperlink" Target="http://secondhome.io" TargetMode="External"/><Relationship Id="rId998" Type="http://schemas.openxmlformats.org/officeDocument/2006/relationships/hyperlink" Target="http://tiplink.io" TargetMode="External"/><Relationship Id="rId997" Type="http://schemas.openxmlformats.org/officeDocument/2006/relationships/hyperlink" Target="http://gotitus.com" TargetMode="External"/><Relationship Id="rId996" Type="http://schemas.openxmlformats.org/officeDocument/2006/relationships/hyperlink" Target="http://airtop.ai" TargetMode="External"/><Relationship Id="rId995" Type="http://schemas.openxmlformats.org/officeDocument/2006/relationships/hyperlink" Target="http://gotelescope.ai" TargetMode="External"/><Relationship Id="rId999" Type="http://schemas.openxmlformats.org/officeDocument/2006/relationships/hyperlink" Target="http://akeero.com" TargetMode="External"/><Relationship Id="rId990" Type="http://schemas.openxmlformats.org/officeDocument/2006/relationships/hyperlink" Target="http://synativ.com" TargetMode="External"/><Relationship Id="rId1580" Type="http://schemas.openxmlformats.org/officeDocument/2006/relationships/hyperlink" Target="http://rebtel.com" TargetMode="External"/><Relationship Id="rId1581" Type="http://schemas.openxmlformats.org/officeDocument/2006/relationships/hyperlink" Target="http://supercell.com" TargetMode="External"/><Relationship Id="rId1582" Type="http://schemas.openxmlformats.org/officeDocument/2006/relationships/hyperlink" Target="http://rec.net" TargetMode="External"/><Relationship Id="rId994" Type="http://schemas.openxmlformats.org/officeDocument/2006/relationships/hyperlink" Target="http://xbow.com" TargetMode="External"/><Relationship Id="rId1583" Type="http://schemas.openxmlformats.org/officeDocument/2006/relationships/hyperlink" Target="http://superevilmegacorp.com" TargetMode="External"/><Relationship Id="rId993" Type="http://schemas.openxmlformats.org/officeDocument/2006/relationships/hyperlink" Target="http://revmap.com" TargetMode="External"/><Relationship Id="rId1584" Type="http://schemas.openxmlformats.org/officeDocument/2006/relationships/hyperlink" Target="http://roblox.com" TargetMode="External"/><Relationship Id="rId992" Type="http://schemas.openxmlformats.org/officeDocument/2006/relationships/hyperlink" Target="http://tavus.io" TargetMode="External"/><Relationship Id="rId1585" Type="http://schemas.openxmlformats.org/officeDocument/2006/relationships/hyperlink" Target="http://tactilegames.com" TargetMode="External"/><Relationship Id="rId991" Type="http://schemas.openxmlformats.org/officeDocument/2006/relationships/hyperlink" Target="http://releasehub.com" TargetMode="External"/><Relationship Id="rId1586" Type="http://schemas.openxmlformats.org/officeDocument/2006/relationships/hyperlink" Target="http://rohlik.cz" TargetMode="External"/><Relationship Id="rId1532" Type="http://schemas.openxmlformats.org/officeDocument/2006/relationships/hyperlink" Target="http://moleskine.com" TargetMode="External"/><Relationship Id="rId2863" Type="http://schemas.openxmlformats.org/officeDocument/2006/relationships/hyperlink" Target="http://tennr.com" TargetMode="External"/><Relationship Id="rId1533" Type="http://schemas.openxmlformats.org/officeDocument/2006/relationships/hyperlink" Target="http://glossier.com" TargetMode="External"/><Relationship Id="rId2864" Type="http://schemas.openxmlformats.org/officeDocument/2006/relationships/hyperlink" Target="http://talkiatry.com" TargetMode="External"/><Relationship Id="rId1534" Type="http://schemas.openxmlformats.org/officeDocument/2006/relationships/hyperlink" Target="http://moo.com" TargetMode="External"/><Relationship Id="rId2865" Type="http://schemas.openxmlformats.org/officeDocument/2006/relationships/hyperlink" Target="http://testco.de" TargetMode="External"/><Relationship Id="rId1535" Type="http://schemas.openxmlformats.org/officeDocument/2006/relationships/hyperlink" Target="http://grailed.com" TargetMode="External"/><Relationship Id="rId2866" Type="http://schemas.openxmlformats.org/officeDocument/2006/relationships/hyperlink" Target="http://meettally.com" TargetMode="External"/><Relationship Id="rId1536" Type="http://schemas.openxmlformats.org/officeDocument/2006/relationships/hyperlink" Target="http://motorway.co.uk" TargetMode="External"/><Relationship Id="rId2867" Type="http://schemas.openxmlformats.org/officeDocument/2006/relationships/hyperlink" Target="http://thecoterie.co" TargetMode="External"/><Relationship Id="rId1537" Type="http://schemas.openxmlformats.org/officeDocument/2006/relationships/hyperlink" Target="http://twoo.com" TargetMode="External"/><Relationship Id="rId2868" Type="http://schemas.openxmlformats.org/officeDocument/2006/relationships/hyperlink" Target="http://tallylabs.xyz" TargetMode="External"/><Relationship Id="rId1538" Type="http://schemas.openxmlformats.org/officeDocument/2006/relationships/hyperlink" Target="http://hutchgames.com" TargetMode="External"/><Relationship Id="rId2869" Type="http://schemas.openxmlformats.org/officeDocument/2006/relationships/hyperlink" Target="http://thepossible.io" TargetMode="External"/><Relationship Id="rId1539" Type="http://schemas.openxmlformats.org/officeDocument/2006/relationships/hyperlink" Target="http://notonthehighstreet.com" TargetMode="External"/><Relationship Id="rId949" Type="http://schemas.openxmlformats.org/officeDocument/2006/relationships/hyperlink" Target="http://stairwell.com" TargetMode="External"/><Relationship Id="rId948" Type="http://schemas.openxmlformats.org/officeDocument/2006/relationships/hyperlink" Target="http://landing.rabbitx.io" TargetMode="External"/><Relationship Id="rId943" Type="http://schemas.openxmlformats.org/officeDocument/2006/relationships/hyperlink" Target="http://privy.io" TargetMode="External"/><Relationship Id="rId942" Type="http://schemas.openxmlformats.org/officeDocument/2006/relationships/hyperlink" Target="http://turnkey.io" TargetMode="External"/><Relationship Id="rId941" Type="http://schemas.openxmlformats.org/officeDocument/2006/relationships/hyperlink" Target="http://prelude.org" TargetMode="External"/><Relationship Id="rId940" Type="http://schemas.openxmlformats.org/officeDocument/2006/relationships/hyperlink" Target="http://squint.ai" TargetMode="External"/><Relationship Id="rId947" Type="http://schemas.openxmlformats.org/officeDocument/2006/relationships/hyperlink" Target="http://stainlessapi.com" TargetMode="External"/><Relationship Id="rId946" Type="http://schemas.openxmlformats.org/officeDocument/2006/relationships/hyperlink" Target="http://zeet.co" TargetMode="External"/><Relationship Id="rId945" Type="http://schemas.openxmlformats.org/officeDocument/2006/relationships/hyperlink" Target="http://querypal.com" TargetMode="External"/><Relationship Id="rId944" Type="http://schemas.openxmlformats.org/officeDocument/2006/relationships/hyperlink" Target="http://twain.ai" TargetMode="External"/><Relationship Id="rId2860" Type="http://schemas.openxmlformats.org/officeDocument/2006/relationships/hyperlink" Target="http://tackle.io" TargetMode="External"/><Relationship Id="rId1530" Type="http://schemas.openxmlformats.org/officeDocument/2006/relationships/hyperlink" Target="http://metromile.com" TargetMode="External"/><Relationship Id="rId2861" Type="http://schemas.openxmlformats.org/officeDocument/2006/relationships/hyperlink" Target="http://tenex.ai" TargetMode="External"/><Relationship Id="rId1531" Type="http://schemas.openxmlformats.org/officeDocument/2006/relationships/hyperlink" Target="http://flipboard.com" TargetMode="External"/><Relationship Id="rId2862" Type="http://schemas.openxmlformats.org/officeDocument/2006/relationships/hyperlink" Target="http://usetako.com" TargetMode="External"/><Relationship Id="rId1521" Type="http://schemas.openxmlformats.org/officeDocument/2006/relationships/hyperlink" Target="http://dreamgames.com" TargetMode="External"/><Relationship Id="rId2852" Type="http://schemas.openxmlformats.org/officeDocument/2006/relationships/hyperlink" Target="http://tanium.com" TargetMode="External"/><Relationship Id="rId1522" Type="http://schemas.openxmlformats.org/officeDocument/2006/relationships/hyperlink" Target="http://immersivegamebox.com" TargetMode="External"/><Relationship Id="rId2853" Type="http://schemas.openxmlformats.org/officeDocument/2006/relationships/hyperlink" Target="http://swaybrand.com" TargetMode="External"/><Relationship Id="rId1523" Type="http://schemas.openxmlformats.org/officeDocument/2006/relationships/hyperlink" Target="http://drivy.com" TargetMode="External"/><Relationship Id="rId2854" Type="http://schemas.openxmlformats.org/officeDocument/2006/relationships/hyperlink" Target="http://tapi.la" TargetMode="External"/><Relationship Id="rId1524" Type="http://schemas.openxmlformats.org/officeDocument/2006/relationships/hyperlink" Target="http://justworks.com" TargetMode="External"/><Relationship Id="rId2855" Type="http://schemas.openxmlformats.org/officeDocument/2006/relationships/hyperlink" Target="http://synapsefi.com" TargetMode="External"/><Relationship Id="rId1525" Type="http://schemas.openxmlformats.org/officeDocument/2006/relationships/hyperlink" Target="http://etsy.com" TargetMode="External"/><Relationship Id="rId2856" Type="http://schemas.openxmlformats.org/officeDocument/2006/relationships/hyperlink" Target="http://tecton.ai" TargetMode="External"/><Relationship Id="rId1526" Type="http://schemas.openxmlformats.org/officeDocument/2006/relationships/hyperlink" Target="http://last.fm" TargetMode="External"/><Relationship Id="rId2857" Type="http://schemas.openxmlformats.org/officeDocument/2006/relationships/hyperlink" Target="http://syndicate.io" TargetMode="External"/><Relationship Id="rId1527" Type="http://schemas.openxmlformats.org/officeDocument/2006/relationships/hyperlink" Target="http://facebook.com" TargetMode="External"/><Relationship Id="rId2858" Type="http://schemas.openxmlformats.org/officeDocument/2006/relationships/hyperlink" Target="http://teespring.com" TargetMode="External"/><Relationship Id="rId1528" Type="http://schemas.openxmlformats.org/officeDocument/2006/relationships/hyperlink" Target="http://getmercantile.com" TargetMode="External"/><Relationship Id="rId2859" Type="http://schemas.openxmlformats.org/officeDocument/2006/relationships/hyperlink" Target="http://tellusapp.com" TargetMode="External"/><Relationship Id="rId1529" Type="http://schemas.openxmlformats.org/officeDocument/2006/relationships/hyperlink" Target="http://farfetch.com" TargetMode="External"/><Relationship Id="rId939" Type="http://schemas.openxmlformats.org/officeDocument/2006/relationships/hyperlink" Target="http://popsink.com" TargetMode="External"/><Relationship Id="rId938" Type="http://schemas.openxmlformats.org/officeDocument/2006/relationships/hyperlink" Target="http://replicate.com" TargetMode="External"/><Relationship Id="rId937" Type="http://schemas.openxmlformats.org/officeDocument/2006/relationships/hyperlink" Target="http://ottofinance.io" TargetMode="External"/><Relationship Id="rId932" Type="http://schemas.openxmlformats.org/officeDocument/2006/relationships/hyperlink" Target="http://privy.io" TargetMode="External"/><Relationship Id="rId931" Type="http://schemas.openxmlformats.org/officeDocument/2006/relationships/hyperlink" Target="http://mindy.com" TargetMode="External"/><Relationship Id="rId930" Type="http://schemas.openxmlformats.org/officeDocument/2006/relationships/hyperlink" Target="http://prelude.org" TargetMode="External"/><Relationship Id="rId936" Type="http://schemas.openxmlformats.org/officeDocument/2006/relationships/hyperlink" Target="http://landing.rabbitx.io" TargetMode="External"/><Relationship Id="rId935" Type="http://schemas.openxmlformats.org/officeDocument/2006/relationships/hyperlink" Target="http://osohq.com" TargetMode="External"/><Relationship Id="rId934" Type="http://schemas.openxmlformats.org/officeDocument/2006/relationships/hyperlink" Target="http://querypal.com" TargetMode="External"/><Relationship Id="rId933" Type="http://schemas.openxmlformats.org/officeDocument/2006/relationships/hyperlink" Target="http://n8n.io" TargetMode="External"/><Relationship Id="rId2850" Type="http://schemas.openxmlformats.org/officeDocument/2006/relationships/hyperlink" Target="http://svix.com" TargetMode="External"/><Relationship Id="rId1520" Type="http://schemas.openxmlformats.org/officeDocument/2006/relationships/hyperlink" Target="http://ideogram.ai" TargetMode="External"/><Relationship Id="rId2851" Type="http://schemas.openxmlformats.org/officeDocument/2006/relationships/hyperlink" Target="http://talos.com" TargetMode="External"/><Relationship Id="rId1554" Type="http://schemas.openxmlformats.org/officeDocument/2006/relationships/hyperlink" Target="http://moo.com" TargetMode="External"/><Relationship Id="rId2885" Type="http://schemas.openxmlformats.org/officeDocument/2006/relationships/hyperlink" Target="http://titan.com" TargetMode="External"/><Relationship Id="rId1555" Type="http://schemas.openxmlformats.org/officeDocument/2006/relationships/hyperlink" Target="http://prodigyfinance.com" TargetMode="External"/><Relationship Id="rId2886" Type="http://schemas.openxmlformats.org/officeDocument/2006/relationships/hyperlink" Target="http://tennr.com" TargetMode="External"/><Relationship Id="rId1556" Type="http://schemas.openxmlformats.org/officeDocument/2006/relationships/hyperlink" Target="http://motorway.co.uk" TargetMode="External"/><Relationship Id="rId2887" Type="http://schemas.openxmlformats.org/officeDocument/2006/relationships/hyperlink" Target="http://urbit.org" TargetMode="External"/><Relationship Id="rId1557" Type="http://schemas.openxmlformats.org/officeDocument/2006/relationships/hyperlink" Target="http://qapa.fr" TargetMode="External"/><Relationship Id="rId2888" Type="http://schemas.openxmlformats.org/officeDocument/2006/relationships/hyperlink" Target="http://testco.de" TargetMode="External"/><Relationship Id="rId1558" Type="http://schemas.openxmlformats.org/officeDocument/2006/relationships/hyperlink" Target="http://twoo.com" TargetMode="External"/><Relationship Id="rId2889" Type="http://schemas.openxmlformats.org/officeDocument/2006/relationships/hyperlink" Target="http://tokagroup.com" TargetMode="External"/><Relationship Id="rId1559" Type="http://schemas.openxmlformats.org/officeDocument/2006/relationships/hyperlink" Target="http://rebtel.com" TargetMode="External"/><Relationship Id="rId965" Type="http://schemas.openxmlformats.org/officeDocument/2006/relationships/hyperlink" Target="http://filecoin.io" TargetMode="External"/><Relationship Id="rId964" Type="http://schemas.openxmlformats.org/officeDocument/2006/relationships/hyperlink" Target="http://cybersyn.com" TargetMode="External"/><Relationship Id="rId963" Type="http://schemas.openxmlformats.org/officeDocument/2006/relationships/hyperlink" Target="http://cove.ai" TargetMode="External"/><Relationship Id="rId962" Type="http://schemas.openxmlformats.org/officeDocument/2006/relationships/hyperlink" Target="http://faraway.gg" TargetMode="External"/><Relationship Id="rId969" Type="http://schemas.openxmlformats.org/officeDocument/2006/relationships/hyperlink" Target="http://liquidmetal.ai" TargetMode="External"/><Relationship Id="rId968" Type="http://schemas.openxmlformats.org/officeDocument/2006/relationships/hyperlink" Target="http://edxmarkets.com" TargetMode="External"/><Relationship Id="rId967" Type="http://schemas.openxmlformats.org/officeDocument/2006/relationships/hyperlink" Target="http://mlfoundry.com" TargetMode="External"/><Relationship Id="rId966" Type="http://schemas.openxmlformats.org/officeDocument/2006/relationships/hyperlink" Target="http://day.ai" TargetMode="External"/><Relationship Id="rId2880" Type="http://schemas.openxmlformats.org/officeDocument/2006/relationships/hyperlink" Target="http://teespring.com" TargetMode="External"/><Relationship Id="rId961" Type="http://schemas.openxmlformats.org/officeDocument/2006/relationships/hyperlink" Target="http://factory.ai" TargetMode="External"/><Relationship Id="rId1550" Type="http://schemas.openxmlformats.org/officeDocument/2006/relationships/hyperlink" Target="http://metromile.com" TargetMode="External"/><Relationship Id="rId2881" Type="http://schemas.openxmlformats.org/officeDocument/2006/relationships/hyperlink" Target="http://tinycometstudios.com" TargetMode="External"/><Relationship Id="rId960" Type="http://schemas.openxmlformats.org/officeDocument/2006/relationships/hyperlink" Target="http://stairwell.com" TargetMode="External"/><Relationship Id="rId1551" Type="http://schemas.openxmlformats.org/officeDocument/2006/relationships/hyperlink" Target="http://printify.com" TargetMode="External"/><Relationship Id="rId2882" Type="http://schemas.openxmlformats.org/officeDocument/2006/relationships/hyperlink" Target="http://tellusapp.com" TargetMode="External"/><Relationship Id="rId1552" Type="http://schemas.openxmlformats.org/officeDocument/2006/relationships/hyperlink" Target="http://moleskine.com" TargetMode="External"/><Relationship Id="rId2883" Type="http://schemas.openxmlformats.org/officeDocument/2006/relationships/hyperlink" Target="http://tiptop.com" TargetMode="External"/><Relationship Id="rId1553" Type="http://schemas.openxmlformats.org/officeDocument/2006/relationships/hyperlink" Target="http://privalia.com" TargetMode="External"/><Relationship Id="rId2884" Type="http://schemas.openxmlformats.org/officeDocument/2006/relationships/hyperlink" Target="http://tenex.ai" TargetMode="External"/><Relationship Id="rId1543" Type="http://schemas.openxmlformats.org/officeDocument/2006/relationships/hyperlink" Target="http://patreon.com" TargetMode="External"/><Relationship Id="rId2874" Type="http://schemas.openxmlformats.org/officeDocument/2006/relationships/hyperlink" Target="http://tanium.com" TargetMode="External"/><Relationship Id="rId1544" Type="http://schemas.openxmlformats.org/officeDocument/2006/relationships/hyperlink" Target="http://justworks.com" TargetMode="External"/><Relationship Id="rId2875" Type="http://schemas.openxmlformats.org/officeDocument/2006/relationships/hyperlink" Target="http://thymecare.com" TargetMode="External"/><Relationship Id="rId1545" Type="http://schemas.openxmlformats.org/officeDocument/2006/relationships/hyperlink" Target="http://peanut-app.io" TargetMode="External"/><Relationship Id="rId2876" Type="http://schemas.openxmlformats.org/officeDocument/2006/relationships/hyperlink" Target="http://tapi.la" TargetMode="External"/><Relationship Id="rId1546" Type="http://schemas.openxmlformats.org/officeDocument/2006/relationships/hyperlink" Target="http://last.fm" TargetMode="External"/><Relationship Id="rId2877" Type="http://schemas.openxmlformats.org/officeDocument/2006/relationships/hyperlink" Target="http://tigrisdata.com" TargetMode="External"/><Relationship Id="rId1547" Type="http://schemas.openxmlformats.org/officeDocument/2006/relationships/hyperlink" Target="http://photobox.com" TargetMode="External"/><Relationship Id="rId2878" Type="http://schemas.openxmlformats.org/officeDocument/2006/relationships/hyperlink" Target="http://tecton.ai" TargetMode="External"/><Relationship Id="rId1548" Type="http://schemas.openxmlformats.org/officeDocument/2006/relationships/hyperlink" Target="http://getmercantile.com" TargetMode="External"/><Relationship Id="rId2879" Type="http://schemas.openxmlformats.org/officeDocument/2006/relationships/hyperlink" Target="http://thetimbucktoo.com" TargetMode="External"/><Relationship Id="rId1549" Type="http://schemas.openxmlformats.org/officeDocument/2006/relationships/hyperlink" Target="http://pinatafarm.com" TargetMode="External"/><Relationship Id="rId959" Type="http://schemas.openxmlformats.org/officeDocument/2006/relationships/hyperlink" Target="http://stainlessapi.com" TargetMode="External"/><Relationship Id="rId954" Type="http://schemas.openxmlformats.org/officeDocument/2006/relationships/hyperlink" Target="http://cybersyn.com" TargetMode="External"/><Relationship Id="rId953" Type="http://schemas.openxmlformats.org/officeDocument/2006/relationships/hyperlink" Target="http://turnkey.io" TargetMode="External"/><Relationship Id="rId952" Type="http://schemas.openxmlformats.org/officeDocument/2006/relationships/hyperlink" Target="http://cove.ai" TargetMode="External"/><Relationship Id="rId951" Type="http://schemas.openxmlformats.org/officeDocument/2006/relationships/hyperlink" Target="http://squint.ai" TargetMode="External"/><Relationship Id="rId958" Type="http://schemas.openxmlformats.org/officeDocument/2006/relationships/hyperlink" Target="http://edxmarkets.com" TargetMode="External"/><Relationship Id="rId957" Type="http://schemas.openxmlformats.org/officeDocument/2006/relationships/hyperlink" Target="http://zeet.co" TargetMode="External"/><Relationship Id="rId956" Type="http://schemas.openxmlformats.org/officeDocument/2006/relationships/hyperlink" Target="http://day.ai" TargetMode="External"/><Relationship Id="rId955" Type="http://schemas.openxmlformats.org/officeDocument/2006/relationships/hyperlink" Target="http://twain.ai" TargetMode="External"/><Relationship Id="rId950" Type="http://schemas.openxmlformats.org/officeDocument/2006/relationships/hyperlink" Target="http://replicate.com" TargetMode="External"/><Relationship Id="rId2870" Type="http://schemas.openxmlformats.org/officeDocument/2006/relationships/hyperlink" Target="http://talofagames.com" TargetMode="External"/><Relationship Id="rId1540" Type="http://schemas.openxmlformats.org/officeDocument/2006/relationships/hyperlink" Target="http://ideogram.ai" TargetMode="External"/><Relationship Id="rId2871" Type="http://schemas.openxmlformats.org/officeDocument/2006/relationships/hyperlink" Target="http://thepromenade.ai" TargetMode="External"/><Relationship Id="rId1541" Type="http://schemas.openxmlformats.org/officeDocument/2006/relationships/hyperlink" Target="http://onefinestay.com" TargetMode="External"/><Relationship Id="rId2872" Type="http://schemas.openxmlformats.org/officeDocument/2006/relationships/hyperlink" Target="http://talos.com" TargetMode="External"/><Relationship Id="rId1542" Type="http://schemas.openxmlformats.org/officeDocument/2006/relationships/hyperlink" Target="http://immersivegamebox.com" TargetMode="External"/><Relationship Id="rId2873" Type="http://schemas.openxmlformats.org/officeDocument/2006/relationships/hyperlink" Target="http://theorycraftgames.com" TargetMode="External"/><Relationship Id="rId2027" Type="http://schemas.openxmlformats.org/officeDocument/2006/relationships/hyperlink" Target="http://border0.com" TargetMode="External"/><Relationship Id="rId3359" Type="http://schemas.openxmlformats.org/officeDocument/2006/relationships/hyperlink" Target="http://www.cycognito.com/" TargetMode="External"/><Relationship Id="rId2028" Type="http://schemas.openxmlformats.org/officeDocument/2006/relationships/hyperlink" Target="http://bereal.com" TargetMode="External"/><Relationship Id="rId3358" Type="http://schemas.openxmlformats.org/officeDocument/2006/relationships/hyperlink" Target="http://www.curejoy.com/" TargetMode="External"/><Relationship Id="rId2029" Type="http://schemas.openxmlformats.org/officeDocument/2006/relationships/hyperlink" Target="http://bounce.com" TargetMode="External"/><Relationship Id="rId107" Type="http://schemas.openxmlformats.org/officeDocument/2006/relationships/hyperlink" Target="http://agentnoon.com" TargetMode="External"/><Relationship Id="rId106" Type="http://schemas.openxmlformats.org/officeDocument/2006/relationships/hyperlink" Target="http://devyce.com" TargetMode="External"/><Relationship Id="rId105" Type="http://schemas.openxmlformats.org/officeDocument/2006/relationships/hyperlink" Target="http://autone.io" TargetMode="External"/><Relationship Id="rId104" Type="http://schemas.openxmlformats.org/officeDocument/2006/relationships/hyperlink" Target="http://disclo.com" TargetMode="External"/><Relationship Id="rId109" Type="http://schemas.openxmlformats.org/officeDocument/2006/relationships/hyperlink" Target="http://activepieces.com" TargetMode="External"/><Relationship Id="rId108" Type="http://schemas.openxmlformats.org/officeDocument/2006/relationships/hyperlink" Target="http://deskimo.com" TargetMode="External"/><Relationship Id="rId3351" Type="http://schemas.openxmlformats.org/officeDocument/2006/relationships/hyperlink" Target="https://www.creatorstack.com/" TargetMode="External"/><Relationship Id="rId2020" Type="http://schemas.openxmlformats.org/officeDocument/2006/relationships/hyperlink" Target="http://beeps.co" TargetMode="External"/><Relationship Id="rId3350" Type="http://schemas.openxmlformats.org/officeDocument/2006/relationships/hyperlink" Target="http://www.coverfox.com/" TargetMode="External"/><Relationship Id="rId2021" Type="http://schemas.openxmlformats.org/officeDocument/2006/relationships/hyperlink" Target="http://blackbird.xyz" TargetMode="External"/><Relationship Id="rId3353" Type="http://schemas.openxmlformats.org/officeDocument/2006/relationships/hyperlink" Target="http://www.crowdanalytix.com/" TargetMode="External"/><Relationship Id="rId2022" Type="http://schemas.openxmlformats.org/officeDocument/2006/relationships/hyperlink" Target="http://believer.gg" TargetMode="External"/><Relationship Id="rId3352" Type="http://schemas.openxmlformats.org/officeDocument/2006/relationships/hyperlink" Target="https://www.credgenics.com/" TargetMode="External"/><Relationship Id="rId103" Type="http://schemas.openxmlformats.org/officeDocument/2006/relationships/hyperlink" Target="http://capitol.ai" TargetMode="External"/><Relationship Id="rId2023" Type="http://schemas.openxmlformats.org/officeDocument/2006/relationships/hyperlink" Target="http://agebold.com" TargetMode="External"/><Relationship Id="rId3355" Type="http://schemas.openxmlformats.org/officeDocument/2006/relationships/hyperlink" Target="https://crownit.in/" TargetMode="External"/><Relationship Id="rId102" Type="http://schemas.openxmlformats.org/officeDocument/2006/relationships/hyperlink" Target="http://ekhodealer.com" TargetMode="External"/><Relationship Id="rId2024" Type="http://schemas.openxmlformats.org/officeDocument/2006/relationships/hyperlink" Target="http://belonghome.com" TargetMode="External"/><Relationship Id="rId3354" Type="http://schemas.openxmlformats.org/officeDocument/2006/relationships/hyperlink" Target="http://www.crowdstrike.com/" TargetMode="External"/><Relationship Id="rId101" Type="http://schemas.openxmlformats.org/officeDocument/2006/relationships/hyperlink" Target="http://datrics.ai" TargetMode="External"/><Relationship Id="rId2025" Type="http://schemas.openxmlformats.org/officeDocument/2006/relationships/hyperlink" Target="http://bonfirestudios.com" TargetMode="External"/><Relationship Id="rId3357" Type="http://schemas.openxmlformats.org/officeDocument/2006/relationships/hyperlink" Target="https://curefoods.in/" TargetMode="External"/><Relationship Id="rId100" Type="http://schemas.openxmlformats.org/officeDocument/2006/relationships/hyperlink" Target="http://explo.co" TargetMode="External"/><Relationship Id="rId2026" Type="http://schemas.openxmlformats.org/officeDocument/2006/relationships/hyperlink" Target="http://benchling.com" TargetMode="External"/><Relationship Id="rId3356" Type="http://schemas.openxmlformats.org/officeDocument/2006/relationships/hyperlink" Target="http://www.cure.fit/" TargetMode="External"/><Relationship Id="rId2016" Type="http://schemas.openxmlformats.org/officeDocument/2006/relationships/hyperlink" Target="http://meldium.com" TargetMode="External"/><Relationship Id="rId3348" Type="http://schemas.openxmlformats.org/officeDocument/2006/relationships/hyperlink" Target="http://www.cornershopapp.com/" TargetMode="External"/><Relationship Id="rId2017" Type="http://schemas.openxmlformats.org/officeDocument/2006/relationships/hyperlink" Target="http://blackforestlabs.ai" TargetMode="External"/><Relationship Id="rId3347" Type="http://schemas.openxmlformats.org/officeDocument/2006/relationships/hyperlink" Target="http://www.corelight.com/" TargetMode="External"/><Relationship Id="rId2018" Type="http://schemas.openxmlformats.org/officeDocument/2006/relationships/hyperlink" Target="http://beacons.ai" TargetMode="External"/><Relationship Id="rId2019" Type="http://schemas.openxmlformats.org/officeDocument/2006/relationships/hyperlink" Target="http://blackore.ai" TargetMode="External"/><Relationship Id="rId3349" Type="http://schemas.openxmlformats.org/officeDocument/2006/relationships/hyperlink" Target="http://www.couchbase.com/" TargetMode="External"/><Relationship Id="rId3340" Type="http://schemas.openxmlformats.org/officeDocument/2006/relationships/hyperlink" Target="http://www.cohesity.com/" TargetMode="External"/><Relationship Id="rId2010" Type="http://schemas.openxmlformats.org/officeDocument/2006/relationships/hyperlink" Target="http://bastion.io" TargetMode="External"/><Relationship Id="rId3342" Type="http://schemas.openxmlformats.org/officeDocument/2006/relationships/hyperlink" Target="https://commercetools.com/" TargetMode="External"/><Relationship Id="rId2011" Type="http://schemas.openxmlformats.org/officeDocument/2006/relationships/hyperlink" Target="http://bigscreenvr.com" TargetMode="External"/><Relationship Id="rId3341" Type="http://schemas.openxmlformats.org/officeDocument/2006/relationships/hyperlink" Target="https://www.cointracker.io/" TargetMode="External"/><Relationship Id="rId2012" Type="http://schemas.openxmlformats.org/officeDocument/2006/relationships/hyperlink" Target="http://battlebound.io" TargetMode="External"/><Relationship Id="rId3344" Type="http://schemas.openxmlformats.org/officeDocument/2006/relationships/hyperlink" Target="https://www.conductorone.com/" TargetMode="External"/><Relationship Id="rId2013" Type="http://schemas.openxmlformats.org/officeDocument/2006/relationships/hyperlink" Target="http://biodock.ai" TargetMode="External"/><Relationship Id="rId3343" Type="http://schemas.openxmlformats.org/officeDocument/2006/relationships/hyperlink" Target="https://www.complete.so/" TargetMode="External"/><Relationship Id="rId2014" Type="http://schemas.openxmlformats.org/officeDocument/2006/relationships/hyperlink" Target="http://bayesianhealth.com" TargetMode="External"/><Relationship Id="rId3346" Type="http://schemas.openxmlformats.org/officeDocument/2006/relationships/hyperlink" Target="http://www.consuremedical.com/" TargetMode="External"/><Relationship Id="rId2015" Type="http://schemas.openxmlformats.org/officeDocument/2006/relationships/hyperlink" Target="http://bitski.com" TargetMode="External"/><Relationship Id="rId3345" Type="http://schemas.openxmlformats.org/officeDocument/2006/relationships/hyperlink" Target="https://www.conduktor.io/" TargetMode="External"/><Relationship Id="rId2049" Type="http://schemas.openxmlformats.org/officeDocument/2006/relationships/hyperlink" Target="http://bounce.com" TargetMode="External"/><Relationship Id="rId129" Type="http://schemas.openxmlformats.org/officeDocument/2006/relationships/hyperlink" Target="http://compup.io" TargetMode="External"/><Relationship Id="rId128" Type="http://schemas.openxmlformats.org/officeDocument/2006/relationships/hyperlink" Target="http://salvy.com.br" TargetMode="External"/><Relationship Id="rId127" Type="http://schemas.openxmlformats.org/officeDocument/2006/relationships/hyperlink" Target="http://500friends.com" TargetMode="External"/><Relationship Id="rId126" Type="http://schemas.openxmlformats.org/officeDocument/2006/relationships/hyperlink" Target="http://happl.com" TargetMode="External"/><Relationship Id="rId3371" Type="http://schemas.openxmlformats.org/officeDocument/2006/relationships/hyperlink" Target="http://www.demisto.com/" TargetMode="External"/><Relationship Id="rId2040" Type="http://schemas.openxmlformats.org/officeDocument/2006/relationships/hyperlink" Target="http://gobrightside.com" TargetMode="External"/><Relationship Id="rId3370" Type="http://schemas.openxmlformats.org/officeDocument/2006/relationships/hyperlink" Target="http://www.deliveroo.co.uk/" TargetMode="External"/><Relationship Id="rId121" Type="http://schemas.openxmlformats.org/officeDocument/2006/relationships/hyperlink" Target="http://cercli.com" TargetMode="External"/><Relationship Id="rId2041" Type="http://schemas.openxmlformats.org/officeDocument/2006/relationships/hyperlink" Target="http://blackbird.xyz" TargetMode="External"/><Relationship Id="rId3373" Type="http://schemas.openxmlformats.org/officeDocument/2006/relationships/hyperlink" Target="http://www.despegar.com/" TargetMode="External"/><Relationship Id="rId120" Type="http://schemas.openxmlformats.org/officeDocument/2006/relationships/hyperlink" Target="http://activepieces.com" TargetMode="External"/><Relationship Id="rId2042" Type="http://schemas.openxmlformats.org/officeDocument/2006/relationships/hyperlink" Target="http://bromium.com" TargetMode="External"/><Relationship Id="rId3372" Type="http://schemas.openxmlformats.org/officeDocument/2006/relationships/hyperlink" Target="http://www.deserve.com/" TargetMode="External"/><Relationship Id="rId2043" Type="http://schemas.openxmlformats.org/officeDocument/2006/relationships/hyperlink" Target="http://agebold.com" TargetMode="External"/><Relationship Id="rId3375" Type="http://schemas.openxmlformats.org/officeDocument/2006/relationships/hyperlink" Target="https://www.dezerv.in/" TargetMode="External"/><Relationship Id="rId2044" Type="http://schemas.openxmlformats.org/officeDocument/2006/relationships/hyperlink" Target="http://cadre.com" TargetMode="External"/><Relationship Id="rId3374" Type="http://schemas.openxmlformats.org/officeDocument/2006/relationships/hyperlink" Target="https://detecttechnologies.com/" TargetMode="External"/><Relationship Id="rId125" Type="http://schemas.openxmlformats.org/officeDocument/2006/relationships/hyperlink" Target="http://280north.com" TargetMode="External"/><Relationship Id="rId2045" Type="http://schemas.openxmlformats.org/officeDocument/2006/relationships/hyperlink" Target="http://bonfirestudios.com" TargetMode="External"/><Relationship Id="rId3377" Type="http://schemas.openxmlformats.org/officeDocument/2006/relationships/hyperlink" Target="https://digbihealth.com/" TargetMode="External"/><Relationship Id="rId124" Type="http://schemas.openxmlformats.org/officeDocument/2006/relationships/hyperlink" Target="http://hockeystack.com" TargetMode="External"/><Relationship Id="rId2046" Type="http://schemas.openxmlformats.org/officeDocument/2006/relationships/hyperlink" Target="http://caffeine.tv" TargetMode="External"/><Relationship Id="rId3376" Type="http://schemas.openxmlformats.org/officeDocument/2006/relationships/hyperlink" Target="http://www.diapers.com/" TargetMode="External"/><Relationship Id="rId123" Type="http://schemas.openxmlformats.org/officeDocument/2006/relationships/hyperlink" Target="http://driverai.com" TargetMode="External"/><Relationship Id="rId2047" Type="http://schemas.openxmlformats.org/officeDocument/2006/relationships/hyperlink" Target="http://border0.com" TargetMode="External"/><Relationship Id="rId3379" Type="http://schemas.openxmlformats.org/officeDocument/2006/relationships/hyperlink" Target="http://www.dji.com/" TargetMode="External"/><Relationship Id="rId122" Type="http://schemas.openxmlformats.org/officeDocument/2006/relationships/hyperlink" Target="http://lancedb.com" TargetMode="External"/><Relationship Id="rId2048" Type="http://schemas.openxmlformats.org/officeDocument/2006/relationships/hyperlink" Target="http://eastsolanoplan.com" TargetMode="External"/><Relationship Id="rId3378" Type="http://schemas.openxmlformats.org/officeDocument/2006/relationships/hyperlink" Target="https://discord.com/" TargetMode="External"/><Relationship Id="rId2038" Type="http://schemas.openxmlformats.org/officeDocument/2006/relationships/hyperlink" Target="http://breederdao.io" TargetMode="External"/><Relationship Id="rId2039" Type="http://schemas.openxmlformats.org/officeDocument/2006/relationships/hyperlink" Target="http://blackore.ai" TargetMode="External"/><Relationship Id="rId3369" Type="http://schemas.openxmlformats.org/officeDocument/2006/relationships/hyperlink" Target="https://www.delightree.com/" TargetMode="External"/><Relationship Id="rId118" Type="http://schemas.openxmlformats.org/officeDocument/2006/relationships/hyperlink" Target="http://agentnoon.com" TargetMode="External"/><Relationship Id="rId117" Type="http://schemas.openxmlformats.org/officeDocument/2006/relationships/hyperlink" Target="http://salvy.com.br" TargetMode="External"/><Relationship Id="rId116" Type="http://schemas.openxmlformats.org/officeDocument/2006/relationships/hyperlink" Target="http://autone.io" TargetMode="External"/><Relationship Id="rId115" Type="http://schemas.openxmlformats.org/officeDocument/2006/relationships/hyperlink" Target="http://happl.com" TargetMode="External"/><Relationship Id="rId3360" Type="http://schemas.openxmlformats.org/officeDocument/2006/relationships/hyperlink" Target="https://www.cyera.io/" TargetMode="External"/><Relationship Id="rId119" Type="http://schemas.openxmlformats.org/officeDocument/2006/relationships/hyperlink" Target="http://compup.io" TargetMode="External"/><Relationship Id="rId110" Type="http://schemas.openxmlformats.org/officeDocument/2006/relationships/hyperlink" Target="http://demodesk.com" TargetMode="External"/><Relationship Id="rId2030" Type="http://schemas.openxmlformats.org/officeDocument/2006/relationships/hyperlink" Target="http://bighatbio.com" TargetMode="External"/><Relationship Id="rId3362" Type="http://schemas.openxmlformats.org/officeDocument/2006/relationships/hyperlink" Target="https://databand.ai/" TargetMode="External"/><Relationship Id="rId2031" Type="http://schemas.openxmlformats.org/officeDocument/2006/relationships/hyperlink" Target="http://braidsocial.io" TargetMode="External"/><Relationship Id="rId3361" Type="http://schemas.openxmlformats.org/officeDocument/2006/relationships/hyperlink" Target="https://www.dash0.com/" TargetMode="External"/><Relationship Id="rId2032" Type="http://schemas.openxmlformats.org/officeDocument/2006/relationships/hyperlink" Target="http://bigscreenvr.com" TargetMode="External"/><Relationship Id="rId3364" Type="http://schemas.openxmlformats.org/officeDocument/2006/relationships/hyperlink" Target="https://decagon.ai/" TargetMode="External"/><Relationship Id="rId2033" Type="http://schemas.openxmlformats.org/officeDocument/2006/relationships/hyperlink" Target="http://braid.ai" TargetMode="External"/><Relationship Id="rId3363" Type="http://schemas.openxmlformats.org/officeDocument/2006/relationships/hyperlink" Target="http://www.dealer.com/" TargetMode="External"/><Relationship Id="rId114" Type="http://schemas.openxmlformats.org/officeDocument/2006/relationships/hyperlink" Target="http://capitol.ai" TargetMode="External"/><Relationship Id="rId2034" Type="http://schemas.openxmlformats.org/officeDocument/2006/relationships/hyperlink" Target="http://biodock.ai" TargetMode="External"/><Relationship Id="rId3366" Type="http://schemas.openxmlformats.org/officeDocument/2006/relationships/hyperlink" Target="http://www.clover.ag/" TargetMode="External"/><Relationship Id="rId113" Type="http://schemas.openxmlformats.org/officeDocument/2006/relationships/hyperlink" Target="http://hockeystack.com" TargetMode="External"/><Relationship Id="rId2035" Type="http://schemas.openxmlformats.org/officeDocument/2006/relationships/hyperlink" Target="http://bitski.com" TargetMode="External"/><Relationship Id="rId3365" Type="http://schemas.openxmlformats.org/officeDocument/2006/relationships/hyperlink" Target="https://www.decisionlink.com/" TargetMode="External"/><Relationship Id="rId112" Type="http://schemas.openxmlformats.org/officeDocument/2006/relationships/hyperlink" Target="http://datrics.ai" TargetMode="External"/><Relationship Id="rId2036" Type="http://schemas.openxmlformats.org/officeDocument/2006/relationships/hyperlink" Target="http://branch.co" TargetMode="External"/><Relationship Id="rId3368" Type="http://schemas.openxmlformats.org/officeDocument/2006/relationships/hyperlink" Target="http://www.deepnote.com/" TargetMode="External"/><Relationship Id="rId111" Type="http://schemas.openxmlformats.org/officeDocument/2006/relationships/hyperlink" Target="http://lancedb.com" TargetMode="External"/><Relationship Id="rId2037" Type="http://schemas.openxmlformats.org/officeDocument/2006/relationships/hyperlink" Target="http://blackforestlabs.ai" TargetMode="External"/><Relationship Id="rId3367" Type="http://schemas.openxmlformats.org/officeDocument/2006/relationships/hyperlink" Target="http://www.deepmap.ai/" TargetMode="External"/><Relationship Id="rId3315" Type="http://schemas.openxmlformats.org/officeDocument/2006/relationships/hyperlink" Target="http://www.getcatalyst.io/" TargetMode="External"/><Relationship Id="rId3314" Type="http://schemas.openxmlformats.org/officeDocument/2006/relationships/hyperlink" Target="http://www.casaone.com/" TargetMode="External"/><Relationship Id="rId3317" Type="http://schemas.openxmlformats.org/officeDocument/2006/relationships/hyperlink" Target="https://www.catchandrelease.com/" TargetMode="External"/><Relationship Id="rId3316" Type="http://schemas.openxmlformats.org/officeDocument/2006/relationships/hyperlink" Target="http://www.catawiki.com/" TargetMode="External"/><Relationship Id="rId3319" Type="http://schemas.openxmlformats.org/officeDocument/2006/relationships/hyperlink" Target="https://www.cdata.com/" TargetMode="External"/><Relationship Id="rId3318" Type="http://schemas.openxmlformats.org/officeDocument/2006/relationships/hyperlink" Target="https://www.causal.app/" TargetMode="External"/><Relationship Id="rId3311" Type="http://schemas.openxmlformats.org/officeDocument/2006/relationships/hyperlink" Target="http://www.carto.com/" TargetMode="External"/><Relationship Id="rId3310" Type="http://schemas.openxmlformats.org/officeDocument/2006/relationships/hyperlink" Target="http://www.carestack.com/" TargetMode="External"/><Relationship Id="rId3313" Type="http://schemas.openxmlformats.org/officeDocument/2006/relationships/hyperlink" Target="http://www.carwow.co.uk/" TargetMode="External"/><Relationship Id="rId3312" Type="http://schemas.openxmlformats.org/officeDocument/2006/relationships/hyperlink" Target="https://getcartwheel.com/home" TargetMode="External"/><Relationship Id="rId3304" Type="http://schemas.openxmlformats.org/officeDocument/2006/relationships/hyperlink" Target="http://www.campaignmonitor.com/" TargetMode="External"/><Relationship Id="rId3303" Type="http://schemas.openxmlformats.org/officeDocument/2006/relationships/hyperlink" Target="http://www.callsign.com/" TargetMode="External"/><Relationship Id="rId3306" Type="http://schemas.openxmlformats.org/officeDocument/2006/relationships/hyperlink" Target="http://www.linkedin.com/company/capricoast-home-solutions-pvt-ltd/about/" TargetMode="External"/><Relationship Id="rId3305" Type="http://schemas.openxmlformats.org/officeDocument/2006/relationships/hyperlink" Target="http://www.cancapital.com/" TargetMode="External"/><Relationship Id="rId3308" Type="http://schemas.openxmlformats.org/officeDocument/2006/relationships/hyperlink" Target="http://www.captivateiq.com/" TargetMode="External"/><Relationship Id="rId3307" Type="http://schemas.openxmlformats.org/officeDocument/2006/relationships/hyperlink" Target="https://www.captainfresh.in/" TargetMode="External"/><Relationship Id="rId3309" Type="http://schemas.openxmlformats.org/officeDocument/2006/relationships/hyperlink" Target="http://cardspring.com/" TargetMode="External"/><Relationship Id="rId3300" Type="http://schemas.openxmlformats.org/officeDocument/2006/relationships/hyperlink" Target="http://www.bryter.io/" TargetMode="External"/><Relationship Id="rId3302" Type="http://schemas.openxmlformats.org/officeDocument/2006/relationships/hyperlink" Target="http://www.calastone.com/" TargetMode="External"/><Relationship Id="rId3301" Type="http://schemas.openxmlformats.org/officeDocument/2006/relationships/hyperlink" Target="http://www.bumble.com/" TargetMode="External"/><Relationship Id="rId2005" Type="http://schemas.openxmlformats.org/officeDocument/2006/relationships/hyperlink" Target="http://benchling.com" TargetMode="External"/><Relationship Id="rId3337" Type="http://schemas.openxmlformats.org/officeDocument/2006/relationships/hyperlink" Target="https://about.codecov.io/" TargetMode="External"/><Relationship Id="rId2006" Type="http://schemas.openxmlformats.org/officeDocument/2006/relationships/hyperlink" Target="http://backflip.ai" TargetMode="External"/><Relationship Id="rId3336" Type="http://schemas.openxmlformats.org/officeDocument/2006/relationships/hyperlink" Target="http://www.code42.com/" TargetMode="External"/><Relationship Id="rId2007" Type="http://schemas.openxmlformats.org/officeDocument/2006/relationships/hyperlink" Target="http://bereal.com" TargetMode="External"/><Relationship Id="rId3339" Type="http://schemas.openxmlformats.org/officeDocument/2006/relationships/hyperlink" Target="http://www.cogoport.com/" TargetMode="External"/><Relationship Id="rId2008" Type="http://schemas.openxmlformats.org/officeDocument/2006/relationships/hyperlink" Target="http://bash.gg" TargetMode="External"/><Relationship Id="rId3338" Type="http://schemas.openxmlformats.org/officeDocument/2006/relationships/hyperlink" Target="https://www.cognite.com/en/" TargetMode="External"/><Relationship Id="rId2009" Type="http://schemas.openxmlformats.org/officeDocument/2006/relationships/hyperlink" Target="http://bighatbio.com" TargetMode="External"/><Relationship Id="rId3331" Type="http://schemas.openxmlformats.org/officeDocument/2006/relationships/hyperlink" Target="https://citymall.live/" TargetMode="External"/><Relationship Id="rId2000" Type="http://schemas.openxmlformats.org/officeDocument/2006/relationships/hyperlink" Target="http://beeps.co" TargetMode="External"/><Relationship Id="rId3330" Type="http://schemas.openxmlformats.org/officeDocument/2006/relationships/hyperlink" Target="https://cinder.co/" TargetMode="External"/><Relationship Id="rId2001" Type="http://schemas.openxmlformats.org/officeDocument/2006/relationships/hyperlink" Target="http://axoni.com" TargetMode="External"/><Relationship Id="rId3333" Type="http://schemas.openxmlformats.org/officeDocument/2006/relationships/hyperlink" Target="http://www.getclockwise.com/" TargetMode="External"/><Relationship Id="rId2002" Type="http://schemas.openxmlformats.org/officeDocument/2006/relationships/hyperlink" Target="http://believer.gg" TargetMode="External"/><Relationship Id="rId3332" Type="http://schemas.openxmlformats.org/officeDocument/2006/relationships/hyperlink" Target="http://www.clevertap.com/" TargetMode="External"/><Relationship Id="rId2003" Type="http://schemas.openxmlformats.org/officeDocument/2006/relationships/hyperlink" Target="http://azragames.com" TargetMode="External"/><Relationship Id="rId3335" Type="http://schemas.openxmlformats.org/officeDocument/2006/relationships/hyperlink" Target="https://coastpay.com/" TargetMode="External"/><Relationship Id="rId2004" Type="http://schemas.openxmlformats.org/officeDocument/2006/relationships/hyperlink" Target="http://belonghome.com" TargetMode="External"/><Relationship Id="rId3334" Type="http://schemas.openxmlformats.org/officeDocument/2006/relationships/hyperlink" Target="http://www.cloudera.com/" TargetMode="External"/><Relationship Id="rId3326" Type="http://schemas.openxmlformats.org/officeDocument/2006/relationships/hyperlink" Target="http://www.check24.de/" TargetMode="External"/><Relationship Id="rId3325" Type="http://schemas.openxmlformats.org/officeDocument/2006/relationships/hyperlink" Target="http://www.hello-charles.com/" TargetMode="External"/><Relationship Id="rId3328" Type="http://schemas.openxmlformats.org/officeDocument/2006/relationships/hyperlink" Target="http://www.checkr.com/" TargetMode="External"/><Relationship Id="rId3327" Type="http://schemas.openxmlformats.org/officeDocument/2006/relationships/hyperlink" Target="https://www.checklyhq.com/" TargetMode="External"/><Relationship Id="rId3329" Type="http://schemas.openxmlformats.org/officeDocument/2006/relationships/hyperlink" Target="https://chroniclehq.com/" TargetMode="External"/><Relationship Id="rId3320" Type="http://schemas.openxmlformats.org/officeDocument/2006/relationships/hyperlink" Target="http://www.celonis.com/de" TargetMode="External"/><Relationship Id="rId3322" Type="http://schemas.openxmlformats.org/officeDocument/2006/relationships/hyperlink" Target="http://www.chainalysis.com/" TargetMode="External"/><Relationship Id="rId3321" Type="http://schemas.openxmlformats.org/officeDocument/2006/relationships/hyperlink" Target="https://www.centaurlabs.com/" TargetMode="External"/><Relationship Id="rId3324" Type="http://schemas.openxmlformats.org/officeDocument/2006/relationships/hyperlink" Target="http://www.chargebee.com/" TargetMode="External"/><Relationship Id="rId3323" Type="http://schemas.openxmlformats.org/officeDocument/2006/relationships/hyperlink" Target="https://chaosinc.com/" TargetMode="External"/><Relationship Id="rId2090" Type="http://schemas.openxmlformats.org/officeDocument/2006/relationships/hyperlink" Target="http://clerk.com" TargetMode="External"/><Relationship Id="rId2091" Type="http://schemas.openxmlformats.org/officeDocument/2006/relationships/hyperlink" Target="http://eveonline.com" TargetMode="External"/><Relationship Id="rId2092" Type="http://schemas.openxmlformats.org/officeDocument/2006/relationships/hyperlink" Target="http://clickup.com" TargetMode="External"/><Relationship Id="rId2093" Type="http://schemas.openxmlformats.org/officeDocument/2006/relationships/hyperlink" Target="http://cedar.com" TargetMode="External"/><Relationship Id="rId2094" Type="http://schemas.openxmlformats.org/officeDocument/2006/relationships/hyperlink" Target="http://closingtheory.com" TargetMode="External"/><Relationship Id="rId2095" Type="http://schemas.openxmlformats.org/officeDocument/2006/relationships/hyperlink" Target="http://clabs.co" TargetMode="External"/><Relationship Id="rId2096" Type="http://schemas.openxmlformats.org/officeDocument/2006/relationships/hyperlink" Target="http://clover.com" TargetMode="External"/><Relationship Id="rId2097" Type="http://schemas.openxmlformats.org/officeDocument/2006/relationships/hyperlink" Target="http://getcensus.com" TargetMode="External"/><Relationship Id="rId2098" Type="http://schemas.openxmlformats.org/officeDocument/2006/relationships/hyperlink" Target="http://clubhouse.com" TargetMode="External"/><Relationship Id="rId2099" Type="http://schemas.openxmlformats.org/officeDocument/2006/relationships/hyperlink" Target="http://charthop.com" TargetMode="External"/><Relationship Id="rId3391" Type="http://schemas.openxmlformats.org/officeDocument/2006/relationships/hyperlink" Target="https://www.accel.com/relationships/e8-storage-systems" TargetMode="External"/><Relationship Id="rId2060" Type="http://schemas.openxmlformats.org/officeDocument/2006/relationships/hyperlink" Target="http://gobrightside.com" TargetMode="External"/><Relationship Id="rId3390" Type="http://schemas.openxmlformats.org/officeDocument/2006/relationships/hyperlink" Target="https://www.e6data.com/" TargetMode="External"/><Relationship Id="rId2061" Type="http://schemas.openxmlformats.org/officeDocument/2006/relationships/hyperlink" Target="http://carry1st.com" TargetMode="External"/><Relationship Id="rId3393" Type="http://schemas.openxmlformats.org/officeDocument/2006/relationships/hyperlink" Target="https://www.ecosoulhome.com/" TargetMode="External"/><Relationship Id="rId2062" Type="http://schemas.openxmlformats.org/officeDocument/2006/relationships/hyperlink" Target="http://bromium.com" TargetMode="External"/><Relationship Id="rId3392" Type="http://schemas.openxmlformats.org/officeDocument/2006/relationships/hyperlink" Target="http://www.een.com/" TargetMode="External"/><Relationship Id="rId2063" Type="http://schemas.openxmlformats.org/officeDocument/2006/relationships/hyperlink" Target="http://carta.com" TargetMode="External"/><Relationship Id="rId3395" Type="http://schemas.openxmlformats.org/officeDocument/2006/relationships/hyperlink" Target="https://www.edgedb.com/" TargetMode="External"/><Relationship Id="rId2064" Type="http://schemas.openxmlformats.org/officeDocument/2006/relationships/hyperlink" Target="http://cadre.com" TargetMode="External"/><Relationship Id="rId3394" Type="http://schemas.openxmlformats.org/officeDocument/2006/relationships/hyperlink" Target="https://www.eder.io/" TargetMode="External"/><Relationship Id="rId2065" Type="http://schemas.openxmlformats.org/officeDocument/2006/relationships/hyperlink" Target="http://caffeine.tv" TargetMode="External"/><Relationship Id="rId3397" Type="http://schemas.openxmlformats.org/officeDocument/2006/relationships/hyperlink" Target="https://effectiv.ai/" TargetMode="External"/><Relationship Id="rId2066" Type="http://schemas.openxmlformats.org/officeDocument/2006/relationships/hyperlink" Target="http://casai.com" TargetMode="External"/><Relationship Id="rId3396" Type="http://schemas.openxmlformats.org/officeDocument/2006/relationships/hyperlink" Target="http://www.edupristine.com/" TargetMode="External"/><Relationship Id="rId2067" Type="http://schemas.openxmlformats.org/officeDocument/2006/relationships/hyperlink" Target="http://eastsolanoplan.com" TargetMode="External"/><Relationship Id="rId3399" Type="http://schemas.openxmlformats.org/officeDocument/2006/relationships/hyperlink" Target="https://ema.co/" TargetMode="External"/><Relationship Id="rId2068" Type="http://schemas.openxmlformats.org/officeDocument/2006/relationships/hyperlink" Target="http://castelion.com" TargetMode="External"/><Relationship Id="rId3398" Type="http://schemas.openxmlformats.org/officeDocument/2006/relationships/hyperlink" Target="http://www.elements.io/" TargetMode="External"/><Relationship Id="rId2069" Type="http://schemas.openxmlformats.org/officeDocument/2006/relationships/hyperlink" Target="http://camu.ai" TargetMode="External"/><Relationship Id="rId3380" Type="http://schemas.openxmlformats.org/officeDocument/2006/relationships/hyperlink" Target="http://www.doctolib.fr/" TargetMode="External"/><Relationship Id="rId2050" Type="http://schemas.openxmlformats.org/officeDocument/2006/relationships/hyperlink" Target="http://camu.ai" TargetMode="External"/><Relationship Id="rId3382" Type="http://schemas.openxmlformats.org/officeDocument/2006/relationships/hyperlink" Target="http://www.docusign.com/" TargetMode="External"/><Relationship Id="rId2051" Type="http://schemas.openxmlformats.org/officeDocument/2006/relationships/hyperlink" Target="http://braidsocial.io" TargetMode="External"/><Relationship Id="rId3381" Type="http://schemas.openxmlformats.org/officeDocument/2006/relationships/hyperlink" Target="https://drdroid.io/" TargetMode="External"/><Relationship Id="rId2052" Type="http://schemas.openxmlformats.org/officeDocument/2006/relationships/hyperlink" Target="http://shopcanal.com" TargetMode="External"/><Relationship Id="rId3384" Type="http://schemas.openxmlformats.org/officeDocument/2006/relationships/hyperlink" Target="https://dovetailapp.com/" TargetMode="External"/><Relationship Id="rId2053" Type="http://schemas.openxmlformats.org/officeDocument/2006/relationships/hyperlink" Target="http://braid.ai" TargetMode="External"/><Relationship Id="rId3383" Type="http://schemas.openxmlformats.org/officeDocument/2006/relationships/hyperlink" Target="https://www.donut.com/remote-connections/" TargetMode="External"/><Relationship Id="rId2054" Type="http://schemas.openxmlformats.org/officeDocument/2006/relationships/hyperlink" Target="http://cantoreality.com" TargetMode="External"/><Relationship Id="rId3386" Type="http://schemas.openxmlformats.org/officeDocument/2006/relationships/hyperlink" Target="https://drivewealth.com/" TargetMode="External"/><Relationship Id="rId2055" Type="http://schemas.openxmlformats.org/officeDocument/2006/relationships/hyperlink" Target="http://cape.co" TargetMode="External"/><Relationship Id="rId3385" Type="http://schemas.openxmlformats.org/officeDocument/2006/relationships/hyperlink" Target="http://www.dripcapital.com/" TargetMode="External"/><Relationship Id="rId2056" Type="http://schemas.openxmlformats.org/officeDocument/2006/relationships/hyperlink" Target="http://branch.co" TargetMode="External"/><Relationship Id="rId3388" Type="http://schemas.openxmlformats.org/officeDocument/2006/relationships/hyperlink" Target="http://www.dropcam.com/" TargetMode="External"/><Relationship Id="rId2057" Type="http://schemas.openxmlformats.org/officeDocument/2006/relationships/hyperlink" Target="http://capriza.com" TargetMode="External"/><Relationship Id="rId3387" Type="http://schemas.openxmlformats.org/officeDocument/2006/relationships/hyperlink" Target="http://www.dropbox.com/" TargetMode="External"/><Relationship Id="rId2058" Type="http://schemas.openxmlformats.org/officeDocument/2006/relationships/hyperlink" Target="http://breederdao.io" TargetMode="External"/><Relationship Id="rId2059" Type="http://schemas.openxmlformats.org/officeDocument/2006/relationships/hyperlink" Target="http://carbonated.com" TargetMode="External"/><Relationship Id="rId3389" Type="http://schemas.openxmlformats.org/officeDocument/2006/relationships/hyperlink" Target="http://www.duettocloud.com/" TargetMode="External"/><Relationship Id="rId2080" Type="http://schemas.openxmlformats.org/officeDocument/2006/relationships/hyperlink" Target="http://charthop.com" TargetMode="External"/><Relationship Id="rId2081" Type="http://schemas.openxmlformats.org/officeDocument/2006/relationships/hyperlink" Target="http://carry1st.com" TargetMode="External"/><Relationship Id="rId2082" Type="http://schemas.openxmlformats.org/officeDocument/2006/relationships/hyperlink" Target="http://chia.net" TargetMode="External"/><Relationship Id="rId2083" Type="http://schemas.openxmlformats.org/officeDocument/2006/relationships/hyperlink" Target="http://carta.com" TargetMode="External"/><Relationship Id="rId2084" Type="http://schemas.openxmlformats.org/officeDocument/2006/relationships/hyperlink" Target="http://chipprofessionals.com" TargetMode="External"/><Relationship Id="rId2085" Type="http://schemas.openxmlformats.org/officeDocument/2006/relationships/hyperlink" Target="http://shopcider.com" TargetMode="External"/><Relationship Id="rId2086" Type="http://schemas.openxmlformats.org/officeDocument/2006/relationships/hyperlink" Target="http://casai.com" TargetMode="External"/><Relationship Id="rId2087" Type="http://schemas.openxmlformats.org/officeDocument/2006/relationships/hyperlink" Target="http://civitai.com" TargetMode="External"/><Relationship Id="rId2088" Type="http://schemas.openxmlformats.org/officeDocument/2006/relationships/hyperlink" Target="http://castelion.com" TargetMode="External"/><Relationship Id="rId2089" Type="http://schemas.openxmlformats.org/officeDocument/2006/relationships/hyperlink" Target="http://cazena.com" TargetMode="External"/><Relationship Id="rId2070" Type="http://schemas.openxmlformats.org/officeDocument/2006/relationships/hyperlink" Target="http://cazena.com" TargetMode="External"/><Relationship Id="rId2071" Type="http://schemas.openxmlformats.org/officeDocument/2006/relationships/hyperlink" Target="http://shopcanal.com" TargetMode="External"/><Relationship Id="rId2072" Type="http://schemas.openxmlformats.org/officeDocument/2006/relationships/hyperlink" Target="http://eveonline.com" TargetMode="External"/><Relationship Id="rId2073" Type="http://schemas.openxmlformats.org/officeDocument/2006/relationships/hyperlink" Target="http://cantoreality.com" TargetMode="External"/><Relationship Id="rId2074" Type="http://schemas.openxmlformats.org/officeDocument/2006/relationships/hyperlink" Target="http://cedar.com" TargetMode="External"/><Relationship Id="rId2075" Type="http://schemas.openxmlformats.org/officeDocument/2006/relationships/hyperlink" Target="http://cape.co" TargetMode="External"/><Relationship Id="rId2076" Type="http://schemas.openxmlformats.org/officeDocument/2006/relationships/hyperlink" Target="http://clabs.co" TargetMode="External"/><Relationship Id="rId2077" Type="http://schemas.openxmlformats.org/officeDocument/2006/relationships/hyperlink" Target="http://capriza.com" TargetMode="External"/><Relationship Id="rId2078" Type="http://schemas.openxmlformats.org/officeDocument/2006/relationships/hyperlink" Target="http://getcensus.com" TargetMode="External"/><Relationship Id="rId2079" Type="http://schemas.openxmlformats.org/officeDocument/2006/relationships/hyperlink" Target="http://carbonated.com" TargetMode="External"/><Relationship Id="rId2940" Type="http://schemas.openxmlformats.org/officeDocument/2006/relationships/hyperlink" Target="http://uniswap.org" TargetMode="External"/><Relationship Id="rId1610" Type="http://schemas.openxmlformats.org/officeDocument/2006/relationships/hyperlink" Target="http://businessoffashion.com" TargetMode="External"/><Relationship Id="rId2941" Type="http://schemas.openxmlformats.org/officeDocument/2006/relationships/hyperlink" Target="http://ventrilo.ai" TargetMode="External"/><Relationship Id="rId1611" Type="http://schemas.openxmlformats.org/officeDocument/2006/relationships/hyperlink" Target="http://otrium.com" TargetMode="External"/><Relationship Id="rId2942" Type="http://schemas.openxmlformats.org/officeDocument/2006/relationships/hyperlink" Target="http://unitedmasters.com" TargetMode="External"/><Relationship Id="rId1612" Type="http://schemas.openxmlformats.org/officeDocument/2006/relationships/hyperlink" Target="http://tiney.co" TargetMode="External"/><Relationship Id="rId2943" Type="http://schemas.openxmlformats.org/officeDocument/2006/relationships/hyperlink" Target="http://ventustx.com" TargetMode="External"/><Relationship Id="rId1613" Type="http://schemas.openxmlformats.org/officeDocument/2006/relationships/hyperlink" Target="http://supersolid.com" TargetMode="External"/><Relationship Id="rId2944" Type="http://schemas.openxmlformats.org/officeDocument/2006/relationships/hyperlink" Target="http://unleashedgames.com" TargetMode="External"/><Relationship Id="rId1614" Type="http://schemas.openxmlformats.org/officeDocument/2006/relationships/hyperlink" Target="http://trouva.com" TargetMode="External"/><Relationship Id="rId2945" Type="http://schemas.openxmlformats.org/officeDocument/2006/relationships/hyperlink" Target="http://verygoodsecurity.com" TargetMode="External"/><Relationship Id="rId1615" Type="http://schemas.openxmlformats.org/officeDocument/2006/relationships/hyperlink" Target="http://teemo.co" TargetMode="External"/><Relationship Id="rId2946" Type="http://schemas.openxmlformats.org/officeDocument/2006/relationships/hyperlink" Target="http://upsmith.com" TargetMode="External"/><Relationship Id="rId1616" Type="http://schemas.openxmlformats.org/officeDocument/2006/relationships/hyperlink" Target="http://trustpilot.com" TargetMode="External"/><Relationship Id="rId2947" Type="http://schemas.openxmlformats.org/officeDocument/2006/relationships/hyperlink" Target="http://usevesta.com" TargetMode="External"/><Relationship Id="rId907" Type="http://schemas.openxmlformats.org/officeDocument/2006/relationships/hyperlink" Target="http://chkk.io" TargetMode="External"/><Relationship Id="rId1617" Type="http://schemas.openxmlformats.org/officeDocument/2006/relationships/hyperlink" Target="http://bluebottlecoffee.com" TargetMode="External"/><Relationship Id="rId2948" Type="http://schemas.openxmlformats.org/officeDocument/2006/relationships/hyperlink" Target="http://upstash.com" TargetMode="External"/><Relationship Id="rId906" Type="http://schemas.openxmlformats.org/officeDocument/2006/relationships/hyperlink" Target="http://rox.com" TargetMode="External"/><Relationship Id="rId1618" Type="http://schemas.openxmlformats.org/officeDocument/2006/relationships/hyperlink" Target="http://ubiquity6.com" TargetMode="External"/><Relationship Id="rId2949" Type="http://schemas.openxmlformats.org/officeDocument/2006/relationships/hyperlink" Target="http://vicinitas.com" TargetMode="External"/><Relationship Id="rId905" Type="http://schemas.openxmlformats.org/officeDocument/2006/relationships/hyperlink" Target="http://langchain.com" TargetMode="External"/><Relationship Id="rId1619" Type="http://schemas.openxmlformats.org/officeDocument/2006/relationships/hyperlink" Target="http://ciphercloud.com" TargetMode="External"/><Relationship Id="rId904" Type="http://schemas.openxmlformats.org/officeDocument/2006/relationships/hyperlink" Target="http://canvasapp.com" TargetMode="External"/><Relationship Id="rId909" Type="http://schemas.openxmlformats.org/officeDocument/2006/relationships/hyperlink" Target="http://blues.io" TargetMode="External"/><Relationship Id="rId908" Type="http://schemas.openxmlformats.org/officeDocument/2006/relationships/hyperlink" Target="http://blockaid.io" TargetMode="External"/><Relationship Id="rId903" Type="http://schemas.openxmlformats.org/officeDocument/2006/relationships/hyperlink" Target="http://parse.com" TargetMode="External"/><Relationship Id="rId902" Type="http://schemas.openxmlformats.org/officeDocument/2006/relationships/hyperlink" Target="http://caldera.xyz" TargetMode="External"/><Relationship Id="rId901" Type="http://schemas.openxmlformats.org/officeDocument/2006/relationships/hyperlink" Target="http://parrotsoftware.io" TargetMode="External"/><Relationship Id="rId900" Type="http://schemas.openxmlformats.org/officeDocument/2006/relationships/hyperlink" Target="http://useparagon.com" TargetMode="External"/><Relationship Id="rId2930" Type="http://schemas.openxmlformats.org/officeDocument/2006/relationships/hyperlink" Target="http://getvaas.com" TargetMode="External"/><Relationship Id="rId1600" Type="http://schemas.openxmlformats.org/officeDocument/2006/relationships/hyperlink" Target="http://1stdibs.com" TargetMode="External"/><Relationship Id="rId2931" Type="http://schemas.openxmlformats.org/officeDocument/2006/relationships/hyperlink" Target="http://trusttoken.com" TargetMode="External"/><Relationship Id="rId1601" Type="http://schemas.openxmlformats.org/officeDocument/2006/relationships/hyperlink" Target="http://supercell.com" TargetMode="External"/><Relationship Id="rId2932" Type="http://schemas.openxmlformats.org/officeDocument/2006/relationships/hyperlink" Target="http://valarlabs.com" TargetMode="External"/><Relationship Id="rId1602" Type="http://schemas.openxmlformats.org/officeDocument/2006/relationships/hyperlink" Target="http://aninebing.com" TargetMode="External"/><Relationship Id="rId2933" Type="http://schemas.openxmlformats.org/officeDocument/2006/relationships/hyperlink" Target="http://valon.com" TargetMode="External"/><Relationship Id="rId1603" Type="http://schemas.openxmlformats.org/officeDocument/2006/relationships/hyperlink" Target="http://superevilmegacorp.com" TargetMode="External"/><Relationship Id="rId2934" Type="http://schemas.openxmlformats.org/officeDocument/2006/relationships/hyperlink" Target="http://udio.com" TargetMode="External"/><Relationship Id="rId1604" Type="http://schemas.openxmlformats.org/officeDocument/2006/relationships/hyperlink" Target="http://becausemarket.com" TargetMode="External"/><Relationship Id="rId2935" Type="http://schemas.openxmlformats.org/officeDocument/2006/relationships/hyperlink" Target="http://valoraapp.com" TargetMode="External"/><Relationship Id="rId1605" Type="http://schemas.openxmlformats.org/officeDocument/2006/relationships/hyperlink" Target="http://tactilegames.com" TargetMode="External"/><Relationship Id="rId2936" Type="http://schemas.openxmlformats.org/officeDocument/2006/relationships/hyperlink" Target="http://ultimagenomics.com" TargetMode="External"/><Relationship Id="rId1606" Type="http://schemas.openxmlformats.org/officeDocument/2006/relationships/hyperlink" Target="http://bit-odd.com" TargetMode="External"/><Relationship Id="rId2937" Type="http://schemas.openxmlformats.org/officeDocument/2006/relationships/hyperlink" Target="http://vantage.sh" TargetMode="External"/><Relationship Id="rId1607" Type="http://schemas.openxmlformats.org/officeDocument/2006/relationships/hyperlink" Target="http://curtsyapp.com" TargetMode="External"/><Relationship Id="rId2938" Type="http://schemas.openxmlformats.org/officeDocument/2006/relationships/hyperlink" Target="http://unify.id" TargetMode="External"/><Relationship Id="rId1608" Type="http://schemas.openxmlformats.org/officeDocument/2006/relationships/hyperlink" Target="http://temaetfs.com" TargetMode="External"/><Relationship Id="rId2939" Type="http://schemas.openxmlformats.org/officeDocument/2006/relationships/hyperlink" Target="http://veefriends.com" TargetMode="External"/><Relationship Id="rId1609" Type="http://schemas.openxmlformats.org/officeDocument/2006/relationships/hyperlink" Target="http://goodeggs.com" TargetMode="External"/><Relationship Id="rId1631" Type="http://schemas.openxmlformats.org/officeDocument/2006/relationships/hyperlink" Target="http://just-eat.com" TargetMode="External"/><Relationship Id="rId2962" Type="http://schemas.openxmlformats.org/officeDocument/2006/relationships/hyperlink" Target="http://veefriends.com" TargetMode="External"/><Relationship Id="rId1632" Type="http://schemas.openxmlformats.org/officeDocument/2006/relationships/hyperlink" Target="http://otrium.com" TargetMode="External"/><Relationship Id="rId2963" Type="http://schemas.openxmlformats.org/officeDocument/2006/relationships/hyperlink" Target="http://ventrilo.ai" TargetMode="External"/><Relationship Id="rId1633" Type="http://schemas.openxmlformats.org/officeDocument/2006/relationships/hyperlink" Target="http://withpersona.com" TargetMode="External"/><Relationship Id="rId2964" Type="http://schemas.openxmlformats.org/officeDocument/2006/relationships/hyperlink" Target="http://waveforms.ai" TargetMode="External"/><Relationship Id="rId1634" Type="http://schemas.openxmlformats.org/officeDocument/2006/relationships/hyperlink" Target="http://supersolid.com" TargetMode="External"/><Relationship Id="rId2965" Type="http://schemas.openxmlformats.org/officeDocument/2006/relationships/hyperlink" Target="http://ventustx.com" TargetMode="External"/><Relationship Id="rId1635" Type="http://schemas.openxmlformats.org/officeDocument/2006/relationships/hyperlink" Target="http://scienceexchange.com" TargetMode="External"/><Relationship Id="rId2966" Type="http://schemas.openxmlformats.org/officeDocument/2006/relationships/hyperlink" Target="http://waymarkcare.com" TargetMode="External"/><Relationship Id="rId1636" Type="http://schemas.openxmlformats.org/officeDocument/2006/relationships/hyperlink" Target="http://teemo.co" TargetMode="External"/><Relationship Id="rId2967" Type="http://schemas.openxmlformats.org/officeDocument/2006/relationships/hyperlink" Target="http://verygoodsecurity.com" TargetMode="External"/><Relationship Id="rId1637" Type="http://schemas.openxmlformats.org/officeDocument/2006/relationships/hyperlink" Target="http://bluebottlecoffee.com" TargetMode="External"/><Relationship Id="rId2968" Type="http://schemas.openxmlformats.org/officeDocument/2006/relationships/hyperlink" Target="http://waymo.com" TargetMode="External"/><Relationship Id="rId1638" Type="http://schemas.openxmlformats.org/officeDocument/2006/relationships/hyperlink" Target="http://adallom.com" TargetMode="External"/><Relationship Id="rId2969" Type="http://schemas.openxmlformats.org/officeDocument/2006/relationships/hyperlink" Target="http://usevesta.com" TargetMode="External"/><Relationship Id="rId929" Type="http://schemas.openxmlformats.org/officeDocument/2006/relationships/hyperlink" Target="http://ledgy.com" TargetMode="External"/><Relationship Id="rId1639" Type="http://schemas.openxmlformats.org/officeDocument/2006/relationships/hyperlink" Target="http://ciphercloud.com" TargetMode="External"/><Relationship Id="rId928" Type="http://schemas.openxmlformats.org/officeDocument/2006/relationships/hyperlink" Target="http://popsink.com" TargetMode="External"/><Relationship Id="rId927" Type="http://schemas.openxmlformats.org/officeDocument/2006/relationships/hyperlink" Target="http://jitx.com" TargetMode="External"/><Relationship Id="rId926" Type="http://schemas.openxmlformats.org/officeDocument/2006/relationships/hyperlink" Target="http://ottofinance.io" TargetMode="External"/><Relationship Id="rId921" Type="http://schemas.openxmlformats.org/officeDocument/2006/relationships/hyperlink" Target="http://mindy.com" TargetMode="External"/><Relationship Id="rId920" Type="http://schemas.openxmlformats.org/officeDocument/2006/relationships/hyperlink" Target="http://dust.tt" TargetMode="External"/><Relationship Id="rId925" Type="http://schemas.openxmlformats.org/officeDocument/2006/relationships/hyperlink" Target="http://osohq.com" TargetMode="External"/><Relationship Id="rId924" Type="http://schemas.openxmlformats.org/officeDocument/2006/relationships/hyperlink" Target="http://graphiant.com" TargetMode="External"/><Relationship Id="rId923" Type="http://schemas.openxmlformats.org/officeDocument/2006/relationships/hyperlink" Target="http://gladia.io" TargetMode="External"/><Relationship Id="rId922" Type="http://schemas.openxmlformats.org/officeDocument/2006/relationships/hyperlink" Target="http://n8n.io" TargetMode="External"/><Relationship Id="rId2960" Type="http://schemas.openxmlformats.org/officeDocument/2006/relationships/hyperlink" Target="http://vantage.sh" TargetMode="External"/><Relationship Id="rId1630" Type="http://schemas.openxmlformats.org/officeDocument/2006/relationships/hyperlink" Target="http://goodeggs.com" TargetMode="External"/><Relationship Id="rId2961" Type="http://schemas.openxmlformats.org/officeDocument/2006/relationships/hyperlink" Target="http://voldex.com" TargetMode="External"/><Relationship Id="rId1620" Type="http://schemas.openxmlformats.org/officeDocument/2006/relationships/hyperlink" Target="http://1stdibs.com" TargetMode="External"/><Relationship Id="rId2951" Type="http://schemas.openxmlformats.org/officeDocument/2006/relationships/hyperlink" Target="http://videogame.ai" TargetMode="External"/><Relationship Id="rId1621" Type="http://schemas.openxmlformats.org/officeDocument/2006/relationships/hyperlink" Target="http://getjuice.com" TargetMode="External"/><Relationship Id="rId2952" Type="http://schemas.openxmlformats.org/officeDocument/2006/relationships/hyperlink" Target="http://getvaas.com" TargetMode="External"/><Relationship Id="rId1622" Type="http://schemas.openxmlformats.org/officeDocument/2006/relationships/hyperlink" Target="http://aninebing.com" TargetMode="External"/><Relationship Id="rId2953" Type="http://schemas.openxmlformats.org/officeDocument/2006/relationships/hyperlink" Target="http://viggle.ai" TargetMode="External"/><Relationship Id="rId1623" Type="http://schemas.openxmlformats.org/officeDocument/2006/relationships/hyperlink" Target="http://curbside.com" TargetMode="External"/><Relationship Id="rId2954" Type="http://schemas.openxmlformats.org/officeDocument/2006/relationships/hyperlink" Target="http://valarlabs.com" TargetMode="External"/><Relationship Id="rId1624" Type="http://schemas.openxmlformats.org/officeDocument/2006/relationships/hyperlink" Target="http://becausemarket.com" TargetMode="External"/><Relationship Id="rId2955" Type="http://schemas.openxmlformats.org/officeDocument/2006/relationships/hyperlink" Target="http://virchmerchshop.com" TargetMode="External"/><Relationship Id="rId1625" Type="http://schemas.openxmlformats.org/officeDocument/2006/relationships/hyperlink" Target="http://withdouble.com" TargetMode="External"/><Relationship Id="rId2956" Type="http://schemas.openxmlformats.org/officeDocument/2006/relationships/hyperlink" Target="http://valon.com" TargetMode="External"/><Relationship Id="rId1626" Type="http://schemas.openxmlformats.org/officeDocument/2006/relationships/hyperlink" Target="http://bit-odd.com" TargetMode="External"/><Relationship Id="rId2957" Type="http://schemas.openxmlformats.org/officeDocument/2006/relationships/hyperlink" Target="http://vitally.io" TargetMode="External"/><Relationship Id="rId1627" Type="http://schemas.openxmlformats.org/officeDocument/2006/relationships/hyperlink" Target="http://faceit.com" TargetMode="External"/><Relationship Id="rId2958" Type="http://schemas.openxmlformats.org/officeDocument/2006/relationships/hyperlink" Target="http://valoraapp.com" TargetMode="External"/><Relationship Id="rId918" Type="http://schemas.openxmlformats.org/officeDocument/2006/relationships/hyperlink" Target="http://jitx.com" TargetMode="External"/><Relationship Id="rId1628" Type="http://schemas.openxmlformats.org/officeDocument/2006/relationships/hyperlink" Target="http://curtsyapp.com" TargetMode="External"/><Relationship Id="rId2959" Type="http://schemas.openxmlformats.org/officeDocument/2006/relationships/hyperlink" Target="http://voidpet.com" TargetMode="External"/><Relationship Id="rId917" Type="http://schemas.openxmlformats.org/officeDocument/2006/relationships/hyperlink" Target="http://cyera.io" TargetMode="External"/><Relationship Id="rId1629" Type="http://schemas.openxmlformats.org/officeDocument/2006/relationships/hyperlink" Target="http://goat.com" TargetMode="External"/><Relationship Id="rId916" Type="http://schemas.openxmlformats.org/officeDocument/2006/relationships/hyperlink" Target="http://graphiant.com" TargetMode="External"/><Relationship Id="rId915" Type="http://schemas.openxmlformats.org/officeDocument/2006/relationships/hyperlink" Target="http://chkk.io" TargetMode="External"/><Relationship Id="rId919" Type="http://schemas.openxmlformats.org/officeDocument/2006/relationships/hyperlink" Target="http://ledgy.com" TargetMode="External"/><Relationship Id="rId910" Type="http://schemas.openxmlformats.org/officeDocument/2006/relationships/hyperlink" Target="http://cyera.io" TargetMode="External"/><Relationship Id="rId914" Type="http://schemas.openxmlformats.org/officeDocument/2006/relationships/hyperlink" Target="http://gladia.io" TargetMode="External"/><Relationship Id="rId913" Type="http://schemas.openxmlformats.org/officeDocument/2006/relationships/hyperlink" Target="http://canvasapp.com" TargetMode="External"/><Relationship Id="rId912" Type="http://schemas.openxmlformats.org/officeDocument/2006/relationships/hyperlink" Target="http://dust.tt" TargetMode="External"/><Relationship Id="rId911" Type="http://schemas.openxmlformats.org/officeDocument/2006/relationships/hyperlink" Target="http://caldera.xyz" TargetMode="External"/><Relationship Id="rId2950" Type="http://schemas.openxmlformats.org/officeDocument/2006/relationships/hyperlink" Target="http://uthana.com" TargetMode="External"/><Relationship Id="rId2900" Type="http://schemas.openxmlformats.org/officeDocument/2006/relationships/hyperlink" Target="http://tigrisdata.com" TargetMode="External"/><Relationship Id="rId2901" Type="http://schemas.openxmlformats.org/officeDocument/2006/relationships/hyperlink" Target="http://trassgames.com" TargetMode="External"/><Relationship Id="rId2902" Type="http://schemas.openxmlformats.org/officeDocument/2006/relationships/hyperlink" Target="http://thetimbucktoo.com" TargetMode="External"/><Relationship Id="rId2903" Type="http://schemas.openxmlformats.org/officeDocument/2006/relationships/hyperlink" Target="http://trucksmarter.com" TargetMode="External"/><Relationship Id="rId2904" Type="http://schemas.openxmlformats.org/officeDocument/2006/relationships/hyperlink" Target="http://tinycometstudios.com" TargetMode="External"/><Relationship Id="rId2905" Type="http://schemas.openxmlformats.org/officeDocument/2006/relationships/hyperlink" Target="http://trufflesecurity.com" TargetMode="External"/><Relationship Id="rId2906" Type="http://schemas.openxmlformats.org/officeDocument/2006/relationships/hyperlink" Target="http://tiptop.com" TargetMode="External"/><Relationship Id="rId2907" Type="http://schemas.openxmlformats.org/officeDocument/2006/relationships/hyperlink" Target="http://trunk.io" TargetMode="External"/><Relationship Id="rId2908" Type="http://schemas.openxmlformats.org/officeDocument/2006/relationships/hyperlink" Target="http://titan.com" TargetMode="External"/><Relationship Id="rId2909" Type="http://schemas.openxmlformats.org/officeDocument/2006/relationships/hyperlink" Target="http://trusttoken.com" TargetMode="External"/><Relationship Id="rId2920" Type="http://schemas.openxmlformats.org/officeDocument/2006/relationships/hyperlink" Target="http://unitedmasters.com" TargetMode="External"/><Relationship Id="rId2921" Type="http://schemas.openxmlformats.org/officeDocument/2006/relationships/hyperlink" Target="http://tradeblock.com" TargetMode="External"/><Relationship Id="rId2922" Type="http://schemas.openxmlformats.org/officeDocument/2006/relationships/hyperlink" Target="http://unleashedgames.com" TargetMode="External"/><Relationship Id="rId2923" Type="http://schemas.openxmlformats.org/officeDocument/2006/relationships/hyperlink" Target="http://trassgames.com" TargetMode="External"/><Relationship Id="rId2924" Type="http://schemas.openxmlformats.org/officeDocument/2006/relationships/hyperlink" Target="http://upsmith.com" TargetMode="External"/><Relationship Id="rId2925" Type="http://schemas.openxmlformats.org/officeDocument/2006/relationships/hyperlink" Target="http://trucksmarter.com" TargetMode="External"/><Relationship Id="rId2926" Type="http://schemas.openxmlformats.org/officeDocument/2006/relationships/hyperlink" Target="http://upstash.com" TargetMode="External"/><Relationship Id="rId2927" Type="http://schemas.openxmlformats.org/officeDocument/2006/relationships/hyperlink" Target="http://trufflesecurity.com" TargetMode="External"/><Relationship Id="rId2928" Type="http://schemas.openxmlformats.org/officeDocument/2006/relationships/hyperlink" Target="http://uthana.com" TargetMode="External"/><Relationship Id="rId2929" Type="http://schemas.openxmlformats.org/officeDocument/2006/relationships/hyperlink" Target="http://trunk.io" TargetMode="External"/><Relationship Id="rId2910" Type="http://schemas.openxmlformats.org/officeDocument/2006/relationships/hyperlink" Target="http://urbit.org" TargetMode="External"/><Relationship Id="rId2911" Type="http://schemas.openxmlformats.org/officeDocument/2006/relationships/hyperlink" Target="http://tokagroup.com" TargetMode="External"/><Relationship Id="rId2912" Type="http://schemas.openxmlformats.org/officeDocument/2006/relationships/hyperlink" Target="http://udio.com" TargetMode="External"/><Relationship Id="rId2913" Type="http://schemas.openxmlformats.org/officeDocument/2006/relationships/hyperlink" Target="http://home.tomorrowhealth.com" TargetMode="External"/><Relationship Id="rId2914" Type="http://schemas.openxmlformats.org/officeDocument/2006/relationships/hyperlink" Target="http://ultimagenomics.com" TargetMode="External"/><Relationship Id="rId2915" Type="http://schemas.openxmlformats.org/officeDocument/2006/relationships/hyperlink" Target="http://topkey.io" TargetMode="External"/><Relationship Id="rId2916" Type="http://schemas.openxmlformats.org/officeDocument/2006/relationships/hyperlink" Target="http://unify.id" TargetMode="External"/><Relationship Id="rId2917" Type="http://schemas.openxmlformats.org/officeDocument/2006/relationships/hyperlink" Target="http://jointopo.com" TargetMode="External"/><Relationship Id="rId2918" Type="http://schemas.openxmlformats.org/officeDocument/2006/relationships/hyperlink" Target="http://uniswap.org" TargetMode="External"/><Relationship Id="rId2919" Type="http://schemas.openxmlformats.org/officeDocument/2006/relationships/hyperlink" Target="http://torbiegames.com" TargetMode="External"/><Relationship Id="rId1697" Type="http://schemas.openxmlformats.org/officeDocument/2006/relationships/hyperlink" Target="http://barefootnetworks.com" TargetMode="External"/><Relationship Id="rId1698" Type="http://schemas.openxmlformats.org/officeDocument/2006/relationships/hyperlink" Target="http://actifio.com" TargetMode="External"/><Relationship Id="rId1699" Type="http://schemas.openxmlformats.org/officeDocument/2006/relationships/hyperlink" Target="http://bioagelabs.com" TargetMode="External"/><Relationship Id="rId866" Type="http://schemas.openxmlformats.org/officeDocument/2006/relationships/hyperlink" Target="http://okteto.com" TargetMode="External"/><Relationship Id="rId865" Type="http://schemas.openxmlformats.org/officeDocument/2006/relationships/hyperlink" Target="http://optery.com" TargetMode="External"/><Relationship Id="rId864" Type="http://schemas.openxmlformats.org/officeDocument/2006/relationships/hyperlink" Target="http://en.oico.com.br" TargetMode="External"/><Relationship Id="rId863" Type="http://schemas.openxmlformats.org/officeDocument/2006/relationships/hyperlink" Target="http://openreplay.com" TargetMode="External"/><Relationship Id="rId869" Type="http://schemas.openxmlformats.org/officeDocument/2006/relationships/hyperlink" Target="http://omnivirt.com" TargetMode="External"/><Relationship Id="rId868" Type="http://schemas.openxmlformats.org/officeDocument/2006/relationships/hyperlink" Target="http://olark.com" TargetMode="External"/><Relationship Id="rId867" Type="http://schemas.openxmlformats.org/officeDocument/2006/relationships/hyperlink" Target="http://optilly.com" TargetMode="External"/><Relationship Id="rId1690" Type="http://schemas.openxmlformats.org/officeDocument/2006/relationships/hyperlink" Target="http://asana.com" TargetMode="External"/><Relationship Id="rId1691" Type="http://schemas.openxmlformats.org/officeDocument/2006/relationships/hyperlink" Target="http://asserts.ai" TargetMode="External"/><Relationship Id="rId1692" Type="http://schemas.openxmlformats.org/officeDocument/2006/relationships/hyperlink" Target="http://trialpay.com" TargetMode="External"/><Relationship Id="rId862" Type="http://schemas.openxmlformats.org/officeDocument/2006/relationships/hyperlink" Target="http://getofficely.com" TargetMode="External"/><Relationship Id="rId1693" Type="http://schemas.openxmlformats.org/officeDocument/2006/relationships/hyperlink" Target="http://authy.com" TargetMode="External"/><Relationship Id="rId861" Type="http://schemas.openxmlformats.org/officeDocument/2006/relationships/hyperlink" Target="http://onebrief.com" TargetMode="External"/><Relationship Id="rId1694" Type="http://schemas.openxmlformats.org/officeDocument/2006/relationships/hyperlink" Target="http://trolltech.com" TargetMode="External"/><Relationship Id="rId860" Type="http://schemas.openxmlformats.org/officeDocument/2006/relationships/hyperlink" Target="http://odwen.co.in" TargetMode="External"/><Relationship Id="rId1695" Type="http://schemas.openxmlformats.org/officeDocument/2006/relationships/hyperlink" Target="http://automatic.com" TargetMode="External"/><Relationship Id="rId1696" Type="http://schemas.openxmlformats.org/officeDocument/2006/relationships/hyperlink" Target="http://accolade.com" TargetMode="External"/><Relationship Id="rId1686" Type="http://schemas.openxmlformats.org/officeDocument/2006/relationships/hyperlink" Target="http://apptio.com" TargetMode="External"/><Relationship Id="rId1687" Type="http://schemas.openxmlformats.org/officeDocument/2006/relationships/hyperlink" Target="http://rpxcorp.com" TargetMode="External"/><Relationship Id="rId1688" Type="http://schemas.openxmlformats.org/officeDocument/2006/relationships/hyperlink" Target="http://arimo.com" TargetMode="External"/><Relationship Id="rId1689" Type="http://schemas.openxmlformats.org/officeDocument/2006/relationships/hyperlink" Target="http://swiftkey.net" TargetMode="External"/><Relationship Id="rId855" Type="http://schemas.openxmlformats.org/officeDocument/2006/relationships/hyperlink" Target="http://olark.com" TargetMode="External"/><Relationship Id="rId854" Type="http://schemas.openxmlformats.org/officeDocument/2006/relationships/hyperlink" Target="http://notabene.id" TargetMode="External"/><Relationship Id="rId853" Type="http://schemas.openxmlformats.org/officeDocument/2006/relationships/hyperlink" Target="http://okteto.com" TargetMode="External"/><Relationship Id="rId852" Type="http://schemas.openxmlformats.org/officeDocument/2006/relationships/hyperlink" Target="http://benoble.io" TargetMode="External"/><Relationship Id="rId859" Type="http://schemas.openxmlformats.org/officeDocument/2006/relationships/hyperlink" Target="http://onelocal.com" TargetMode="External"/><Relationship Id="rId858" Type="http://schemas.openxmlformats.org/officeDocument/2006/relationships/hyperlink" Target="http://numeralhq.com" TargetMode="External"/><Relationship Id="rId857" Type="http://schemas.openxmlformats.org/officeDocument/2006/relationships/hyperlink" Target="http://omnivirt.com" TargetMode="External"/><Relationship Id="rId856" Type="http://schemas.openxmlformats.org/officeDocument/2006/relationships/hyperlink" Target="http://nova.ai" TargetMode="External"/><Relationship Id="rId1680" Type="http://schemas.openxmlformats.org/officeDocument/2006/relationships/hyperlink" Target="http://peoplevox.co.uk" TargetMode="External"/><Relationship Id="rId1681" Type="http://schemas.openxmlformats.org/officeDocument/2006/relationships/hyperlink" Target="http://affirm.com" TargetMode="External"/><Relationship Id="rId851" Type="http://schemas.openxmlformats.org/officeDocument/2006/relationships/hyperlink" Target="http://en.oico.com.br" TargetMode="External"/><Relationship Id="rId1682" Type="http://schemas.openxmlformats.org/officeDocument/2006/relationships/hyperlink" Target="http://playfish.com" TargetMode="External"/><Relationship Id="rId850" Type="http://schemas.openxmlformats.org/officeDocument/2006/relationships/hyperlink" Target="http://nextmv.io" TargetMode="External"/><Relationship Id="rId1683" Type="http://schemas.openxmlformats.org/officeDocument/2006/relationships/hyperlink" Target="http://airbnb.com" TargetMode="External"/><Relationship Id="rId1684" Type="http://schemas.openxmlformats.org/officeDocument/2006/relationships/hyperlink" Target="http://allsetnow.com" TargetMode="External"/><Relationship Id="rId1685" Type="http://schemas.openxmlformats.org/officeDocument/2006/relationships/hyperlink" Target="http://quixotic.io" TargetMode="External"/><Relationship Id="rId3414" Type="http://schemas.openxmlformats.org/officeDocument/2006/relationships/hyperlink" Target="http://www.fictiv.com/" TargetMode="External"/><Relationship Id="rId3413" Type="http://schemas.openxmlformats.org/officeDocument/2006/relationships/hyperlink" Target="https://fibr.ai/" TargetMode="External"/><Relationship Id="rId3416" Type="http://schemas.openxmlformats.org/officeDocument/2006/relationships/hyperlink" Target="http://www.fin.com/" TargetMode="External"/><Relationship Id="rId3415" Type="http://schemas.openxmlformats.org/officeDocument/2006/relationships/hyperlink" Target="https://filigran.io/" TargetMode="External"/><Relationship Id="rId3418" Type="http://schemas.openxmlformats.org/officeDocument/2006/relationships/hyperlink" Target="https://finbots.ai/" TargetMode="External"/><Relationship Id="rId3417" Type="http://schemas.openxmlformats.org/officeDocument/2006/relationships/hyperlink" Target="https://www.finaloop.com/" TargetMode="External"/><Relationship Id="rId3419" Type="http://schemas.openxmlformats.org/officeDocument/2006/relationships/hyperlink" Target="https://fitonapp.com/" TargetMode="External"/><Relationship Id="rId888" Type="http://schemas.openxmlformats.org/officeDocument/2006/relationships/hyperlink" Target="http://pachyderm.com" TargetMode="External"/><Relationship Id="rId887" Type="http://schemas.openxmlformats.org/officeDocument/2006/relationships/hyperlink" Target="http://useparagon.com" TargetMode="External"/><Relationship Id="rId886" Type="http://schemas.openxmlformats.org/officeDocument/2006/relationships/hyperlink" Target="http://ownlocal.com" TargetMode="External"/><Relationship Id="rId885" Type="http://schemas.openxmlformats.org/officeDocument/2006/relationships/hyperlink" Target="http://paperspace.com" TargetMode="External"/><Relationship Id="rId889" Type="http://schemas.openxmlformats.org/officeDocument/2006/relationships/hyperlink" Target="http://parrotsoftware.io" TargetMode="External"/><Relationship Id="rId880" Type="http://schemas.openxmlformats.org/officeDocument/2006/relationships/hyperlink" Target="http://pagelever.com" TargetMode="External"/><Relationship Id="rId884" Type="http://schemas.openxmlformats.org/officeDocument/2006/relationships/hyperlink" Target="http://shipoway.com" TargetMode="External"/><Relationship Id="rId3410" Type="http://schemas.openxmlformats.org/officeDocument/2006/relationships/hyperlink" Target="http://www.fashinza.com/" TargetMode="External"/><Relationship Id="rId883" Type="http://schemas.openxmlformats.org/officeDocument/2006/relationships/hyperlink" Target="http://palettehq.com" TargetMode="External"/><Relationship Id="rId882" Type="http://schemas.openxmlformats.org/officeDocument/2006/relationships/hyperlink" Target="http://overview.ai" TargetMode="External"/><Relationship Id="rId3412" Type="http://schemas.openxmlformats.org/officeDocument/2006/relationships/hyperlink" Target="http://www.fibmold.com/" TargetMode="External"/><Relationship Id="rId881" Type="http://schemas.openxmlformats.org/officeDocument/2006/relationships/hyperlink" Target="http://palenca.com" TargetMode="External"/><Relationship Id="rId3411" Type="http://schemas.openxmlformats.org/officeDocument/2006/relationships/hyperlink" Target="http://www.feverup.com/" TargetMode="External"/><Relationship Id="rId3403" Type="http://schemas.openxmlformats.org/officeDocument/2006/relationships/hyperlink" Target="http://www.getethos.com/" TargetMode="External"/><Relationship Id="rId3402" Type="http://schemas.openxmlformats.org/officeDocument/2006/relationships/hyperlink" Target="https://ermetic.com/" TargetMode="External"/><Relationship Id="rId3405" Type="http://schemas.openxmlformats.org/officeDocument/2006/relationships/hyperlink" Target="http://www.fabhotels.com/" TargetMode="External"/><Relationship Id="rId3404" Type="http://schemas.openxmlformats.org/officeDocument/2006/relationships/hyperlink" Target="http://www.etsy.com/" TargetMode="External"/><Relationship Id="rId3407" Type="http://schemas.openxmlformats.org/officeDocument/2006/relationships/hyperlink" Target="http://www.facet.ai/" TargetMode="External"/><Relationship Id="rId3406" Type="http://schemas.openxmlformats.org/officeDocument/2006/relationships/hyperlink" Target="http://www.facebook.com/" TargetMode="External"/><Relationship Id="rId3409" Type="http://schemas.openxmlformats.org/officeDocument/2006/relationships/hyperlink" Target="http://www.falconx.io/" TargetMode="External"/><Relationship Id="rId3408" Type="http://schemas.openxmlformats.org/officeDocument/2006/relationships/hyperlink" Target="http://www.facilio.com/" TargetMode="External"/><Relationship Id="rId877" Type="http://schemas.openxmlformats.org/officeDocument/2006/relationships/hyperlink" Target="http://optery.com" TargetMode="External"/><Relationship Id="rId876" Type="http://schemas.openxmlformats.org/officeDocument/2006/relationships/hyperlink" Target="http://pachyderm.com" TargetMode="External"/><Relationship Id="rId875" Type="http://schemas.openxmlformats.org/officeDocument/2006/relationships/hyperlink" Target="http://openreplay.com" TargetMode="External"/><Relationship Id="rId874" Type="http://schemas.openxmlformats.org/officeDocument/2006/relationships/hyperlink" Target="http://ownlocal.com" TargetMode="External"/><Relationship Id="rId879" Type="http://schemas.openxmlformats.org/officeDocument/2006/relationships/hyperlink" Target="http://optilly.com" TargetMode="External"/><Relationship Id="rId878" Type="http://schemas.openxmlformats.org/officeDocument/2006/relationships/hyperlink" Target="http://padlet.com" TargetMode="External"/><Relationship Id="rId873" Type="http://schemas.openxmlformats.org/officeDocument/2006/relationships/hyperlink" Target="http://onebrief.com" TargetMode="External"/><Relationship Id="rId872" Type="http://schemas.openxmlformats.org/officeDocument/2006/relationships/hyperlink" Target="http://shipoway.com" TargetMode="External"/><Relationship Id="rId871" Type="http://schemas.openxmlformats.org/officeDocument/2006/relationships/hyperlink" Target="http://onelocal.com" TargetMode="External"/><Relationship Id="rId3401" Type="http://schemas.openxmlformats.org/officeDocument/2006/relationships/hyperlink" Target="http://www.entytle.com/" TargetMode="External"/><Relationship Id="rId870" Type="http://schemas.openxmlformats.org/officeDocument/2006/relationships/hyperlink" Target="http://overview.ai" TargetMode="External"/><Relationship Id="rId3400" Type="http://schemas.openxmlformats.org/officeDocument/2006/relationships/hyperlink" Target="https://emeritus.org/" TargetMode="External"/><Relationship Id="rId1653" Type="http://schemas.openxmlformats.org/officeDocument/2006/relationships/hyperlink" Target="http://withpersona.com" TargetMode="External"/><Relationship Id="rId2984" Type="http://schemas.openxmlformats.org/officeDocument/2006/relationships/hyperlink" Target="http://worldcoin.org" TargetMode="External"/><Relationship Id="rId1654" Type="http://schemas.openxmlformats.org/officeDocument/2006/relationships/hyperlink" Target="http://lovefilm.com" TargetMode="External"/><Relationship Id="rId2985" Type="http://schemas.openxmlformats.org/officeDocument/2006/relationships/hyperlink" Target="http://waveforms.ai" TargetMode="External"/><Relationship Id="rId1655" Type="http://schemas.openxmlformats.org/officeDocument/2006/relationships/hyperlink" Target="http://scienceexchange.com" TargetMode="External"/><Relationship Id="rId2986" Type="http://schemas.openxmlformats.org/officeDocument/2006/relationships/hyperlink" Target="http://wrapbook.com" TargetMode="External"/><Relationship Id="rId1656" Type="http://schemas.openxmlformats.org/officeDocument/2006/relationships/hyperlink" Target="http://trymonad.co" TargetMode="External"/><Relationship Id="rId2987" Type="http://schemas.openxmlformats.org/officeDocument/2006/relationships/hyperlink" Target="http://waymarkcare.com" TargetMode="External"/><Relationship Id="rId1657" Type="http://schemas.openxmlformats.org/officeDocument/2006/relationships/hyperlink" Target="http://net-a-porter.com" TargetMode="External"/><Relationship Id="rId2988" Type="http://schemas.openxmlformats.org/officeDocument/2006/relationships/hyperlink" Target="http://x.ai" TargetMode="External"/><Relationship Id="rId1658" Type="http://schemas.openxmlformats.org/officeDocument/2006/relationships/hyperlink" Target="http://adallom.com" TargetMode="External"/><Relationship Id="rId2989" Type="http://schemas.openxmlformats.org/officeDocument/2006/relationships/hyperlink" Target="http://waymo.com" TargetMode="External"/><Relationship Id="rId1659" Type="http://schemas.openxmlformats.org/officeDocument/2006/relationships/hyperlink" Target="http://ozon.ru" TargetMode="External"/><Relationship Id="rId829" Type="http://schemas.openxmlformats.org/officeDocument/2006/relationships/hyperlink" Target="http://netbeez.net" TargetMode="External"/><Relationship Id="rId828" Type="http://schemas.openxmlformats.org/officeDocument/2006/relationships/hyperlink" Target="http://mynamaste.in" TargetMode="External"/><Relationship Id="rId827" Type="http://schemas.openxmlformats.org/officeDocument/2006/relationships/hyperlink" Target="http://nestorup.com" TargetMode="External"/><Relationship Id="rId822" Type="http://schemas.openxmlformats.org/officeDocument/2006/relationships/hyperlink" Target="http://mux.com" TargetMode="External"/><Relationship Id="rId821" Type="http://schemas.openxmlformats.org/officeDocument/2006/relationships/hyperlink" Target="http://natero.com" TargetMode="External"/><Relationship Id="rId820" Type="http://schemas.openxmlformats.org/officeDocument/2006/relationships/hyperlink" Target="http://mutinyhq.com" TargetMode="External"/><Relationship Id="rId826" Type="http://schemas.openxmlformats.org/officeDocument/2006/relationships/hyperlink" Target="http://mystic.ai" TargetMode="External"/><Relationship Id="rId825" Type="http://schemas.openxmlformats.org/officeDocument/2006/relationships/hyperlink" Target="http://neptune.io" TargetMode="External"/><Relationship Id="rId824" Type="http://schemas.openxmlformats.org/officeDocument/2006/relationships/hyperlink" Target="http://mypetrolpump.com" TargetMode="External"/><Relationship Id="rId823" Type="http://schemas.openxmlformats.org/officeDocument/2006/relationships/hyperlink" Target="http://navattic.com" TargetMode="External"/><Relationship Id="rId2980" Type="http://schemas.openxmlformats.org/officeDocument/2006/relationships/hyperlink" Target="http://voidpet.com" TargetMode="External"/><Relationship Id="rId1650" Type="http://schemas.openxmlformats.org/officeDocument/2006/relationships/hyperlink" Target="http://dropbox.com" TargetMode="External"/><Relationship Id="rId2981" Type="http://schemas.openxmlformats.org/officeDocument/2006/relationships/hyperlink" Target="http://workrise.com" TargetMode="External"/><Relationship Id="rId1651" Type="http://schemas.openxmlformats.org/officeDocument/2006/relationships/hyperlink" Target="http://just-eat.com" TargetMode="External"/><Relationship Id="rId2982" Type="http://schemas.openxmlformats.org/officeDocument/2006/relationships/hyperlink" Target="http://voldex.com" TargetMode="External"/><Relationship Id="rId1652" Type="http://schemas.openxmlformats.org/officeDocument/2006/relationships/hyperlink" Target="http://lacoonsecurity.com" TargetMode="External"/><Relationship Id="rId2983" Type="http://schemas.openxmlformats.org/officeDocument/2006/relationships/hyperlink" Target="http://worldlabs.ai" TargetMode="External"/><Relationship Id="rId1642" Type="http://schemas.openxmlformats.org/officeDocument/2006/relationships/hyperlink" Target="http://baller.tv" TargetMode="External"/><Relationship Id="rId2973" Type="http://schemas.openxmlformats.org/officeDocument/2006/relationships/hyperlink" Target="http://videogame.ai" TargetMode="External"/><Relationship Id="rId1643" Type="http://schemas.openxmlformats.org/officeDocument/2006/relationships/hyperlink" Target="http://curbside.com" TargetMode="External"/><Relationship Id="rId2974" Type="http://schemas.openxmlformats.org/officeDocument/2006/relationships/hyperlink" Target="http://windwalk.com" TargetMode="External"/><Relationship Id="rId1644" Type="http://schemas.openxmlformats.org/officeDocument/2006/relationships/hyperlink" Target="http://beautypie.com" TargetMode="External"/><Relationship Id="rId2975" Type="http://schemas.openxmlformats.org/officeDocument/2006/relationships/hyperlink" Target="http://viggle.ai" TargetMode="External"/><Relationship Id="rId1645" Type="http://schemas.openxmlformats.org/officeDocument/2006/relationships/hyperlink" Target="http://withdouble.com" TargetMode="External"/><Relationship Id="rId2976" Type="http://schemas.openxmlformats.org/officeDocument/2006/relationships/hyperlink" Target="http://virchmerchshop.com" TargetMode="External"/><Relationship Id="rId1646" Type="http://schemas.openxmlformats.org/officeDocument/2006/relationships/hyperlink" Target="http://biggergames.com" TargetMode="External"/><Relationship Id="rId2977" Type="http://schemas.openxmlformats.org/officeDocument/2006/relationships/hyperlink" Target="http://wonderschool.com" TargetMode="External"/><Relationship Id="rId1647" Type="http://schemas.openxmlformats.org/officeDocument/2006/relationships/hyperlink" Target="http://faceit.com" TargetMode="External"/><Relationship Id="rId2978" Type="http://schemas.openxmlformats.org/officeDocument/2006/relationships/hyperlink" Target="http://vitally.io" TargetMode="External"/><Relationship Id="rId1648" Type="http://schemas.openxmlformats.org/officeDocument/2006/relationships/hyperlink" Target="http://brightback.com" TargetMode="External"/><Relationship Id="rId2979" Type="http://schemas.openxmlformats.org/officeDocument/2006/relationships/hyperlink" Target="http://workboard.com" TargetMode="External"/><Relationship Id="rId1649" Type="http://schemas.openxmlformats.org/officeDocument/2006/relationships/hyperlink" Target="http://goat.com" TargetMode="External"/><Relationship Id="rId819" Type="http://schemas.openxmlformats.org/officeDocument/2006/relationships/hyperlink" Target="http://usenash.com" TargetMode="External"/><Relationship Id="rId818" Type="http://schemas.openxmlformats.org/officeDocument/2006/relationships/hyperlink" Target="http://munily.com" TargetMode="External"/><Relationship Id="rId817" Type="http://schemas.openxmlformats.org/officeDocument/2006/relationships/hyperlink" Target="http://namesandfaces.com" TargetMode="External"/><Relationship Id="rId816" Type="http://schemas.openxmlformats.org/officeDocument/2006/relationships/hyperlink" Target="http://mthsense.com" TargetMode="External"/><Relationship Id="rId811" Type="http://schemas.openxmlformats.org/officeDocument/2006/relationships/hyperlink" Target="http://mypetrolpump.com" TargetMode="External"/><Relationship Id="rId810" Type="http://schemas.openxmlformats.org/officeDocument/2006/relationships/hyperlink" Target="http://moltin.com" TargetMode="External"/><Relationship Id="rId815" Type="http://schemas.openxmlformats.org/officeDocument/2006/relationships/hyperlink" Target="http://mynamaste.in" TargetMode="External"/><Relationship Id="rId814" Type="http://schemas.openxmlformats.org/officeDocument/2006/relationships/hyperlink" Target="http://motionlead.com" TargetMode="External"/><Relationship Id="rId813" Type="http://schemas.openxmlformats.org/officeDocument/2006/relationships/hyperlink" Target="http://mystic.ai" TargetMode="External"/><Relationship Id="rId812" Type="http://schemas.openxmlformats.org/officeDocument/2006/relationships/hyperlink" Target="http://usemotion.com" TargetMode="External"/><Relationship Id="rId2970" Type="http://schemas.openxmlformats.org/officeDocument/2006/relationships/hyperlink" Target="http://wealthmore.net" TargetMode="External"/><Relationship Id="rId1640" Type="http://schemas.openxmlformats.org/officeDocument/2006/relationships/hyperlink" Target="http://armadainteractive.com" TargetMode="External"/><Relationship Id="rId2971" Type="http://schemas.openxmlformats.org/officeDocument/2006/relationships/hyperlink" Target="http://vicinitas.com" TargetMode="External"/><Relationship Id="rId1641" Type="http://schemas.openxmlformats.org/officeDocument/2006/relationships/hyperlink" Target="http://getjuice.com" TargetMode="External"/><Relationship Id="rId2972" Type="http://schemas.openxmlformats.org/officeDocument/2006/relationships/hyperlink" Target="http://whatnot.com" TargetMode="External"/><Relationship Id="rId1675" Type="http://schemas.openxmlformats.org/officeDocument/2006/relationships/hyperlink" Target="http://trolltech.com" TargetMode="External"/><Relationship Id="rId1676" Type="http://schemas.openxmlformats.org/officeDocument/2006/relationships/hyperlink" Target="http://net-a-porter.com" TargetMode="External"/><Relationship Id="rId1677" Type="http://schemas.openxmlformats.org/officeDocument/2006/relationships/hyperlink" Target="http://accolade.com" TargetMode="External"/><Relationship Id="rId1678" Type="http://schemas.openxmlformats.org/officeDocument/2006/relationships/hyperlink" Target="http://ozon.ru" TargetMode="External"/><Relationship Id="rId1679" Type="http://schemas.openxmlformats.org/officeDocument/2006/relationships/hyperlink" Target="http://actifio.com" TargetMode="External"/><Relationship Id="rId849" Type="http://schemas.openxmlformats.org/officeDocument/2006/relationships/hyperlink" Target="http://getofficely.com" TargetMode="External"/><Relationship Id="rId844" Type="http://schemas.openxmlformats.org/officeDocument/2006/relationships/hyperlink" Target="http://newscatcherapi.com" TargetMode="External"/><Relationship Id="rId843" Type="http://schemas.openxmlformats.org/officeDocument/2006/relationships/hyperlink" Target="http://nova.ai" TargetMode="External"/><Relationship Id="rId842" Type="http://schemas.openxmlformats.org/officeDocument/2006/relationships/hyperlink" Target="http://netbeez.net" TargetMode="External"/><Relationship Id="rId841" Type="http://schemas.openxmlformats.org/officeDocument/2006/relationships/hyperlink" Target="http://notabene.id" TargetMode="External"/><Relationship Id="rId848" Type="http://schemas.openxmlformats.org/officeDocument/2006/relationships/hyperlink" Target="http://nextcaller.com" TargetMode="External"/><Relationship Id="rId847" Type="http://schemas.openxmlformats.org/officeDocument/2006/relationships/hyperlink" Target="http://odwen.co.in" TargetMode="External"/><Relationship Id="rId846" Type="http://schemas.openxmlformats.org/officeDocument/2006/relationships/hyperlink" Target="http://nextravel.com" TargetMode="External"/><Relationship Id="rId845" Type="http://schemas.openxmlformats.org/officeDocument/2006/relationships/hyperlink" Target="http://numeralhq.com" TargetMode="External"/><Relationship Id="rId1670" Type="http://schemas.openxmlformats.org/officeDocument/2006/relationships/hyperlink" Target="http://swiftkey.net" TargetMode="External"/><Relationship Id="rId840" Type="http://schemas.openxmlformats.org/officeDocument/2006/relationships/hyperlink" Target="http://nestorup.com" TargetMode="External"/><Relationship Id="rId1671" Type="http://schemas.openxmlformats.org/officeDocument/2006/relationships/hyperlink" Target="http://lacoonsecurity.com" TargetMode="External"/><Relationship Id="rId1672" Type="http://schemas.openxmlformats.org/officeDocument/2006/relationships/hyperlink" Target="http://lovefilm.com" TargetMode="External"/><Relationship Id="rId1673" Type="http://schemas.openxmlformats.org/officeDocument/2006/relationships/hyperlink" Target="http://trialpay.com" TargetMode="External"/><Relationship Id="rId1674" Type="http://schemas.openxmlformats.org/officeDocument/2006/relationships/hyperlink" Target="http://trymonad.co" TargetMode="External"/><Relationship Id="rId1664" Type="http://schemas.openxmlformats.org/officeDocument/2006/relationships/hyperlink" Target="http://beautypie.com" TargetMode="External"/><Relationship Id="rId2995" Type="http://schemas.openxmlformats.org/officeDocument/2006/relationships/hyperlink" Target="http://yieldguild.io" TargetMode="External"/><Relationship Id="rId1665" Type="http://schemas.openxmlformats.org/officeDocument/2006/relationships/hyperlink" Target="http://biggergames.com" TargetMode="External"/><Relationship Id="rId2996" Type="http://schemas.openxmlformats.org/officeDocument/2006/relationships/hyperlink" Target="http://yubico.com" TargetMode="External"/><Relationship Id="rId1666" Type="http://schemas.openxmlformats.org/officeDocument/2006/relationships/hyperlink" Target="http://quixotic.io" TargetMode="External"/><Relationship Id="rId2997" Type="http://schemas.openxmlformats.org/officeDocument/2006/relationships/hyperlink" Target="http://wonderschool.com" TargetMode="External"/><Relationship Id="rId1667" Type="http://schemas.openxmlformats.org/officeDocument/2006/relationships/hyperlink" Target="http://brightback.com" TargetMode="External"/><Relationship Id="rId2998" Type="http://schemas.openxmlformats.org/officeDocument/2006/relationships/hyperlink" Target="http://yugalabs.io" TargetMode="External"/><Relationship Id="rId1668" Type="http://schemas.openxmlformats.org/officeDocument/2006/relationships/hyperlink" Target="http://rpxcorp.com" TargetMode="External"/><Relationship Id="rId2999" Type="http://schemas.openxmlformats.org/officeDocument/2006/relationships/hyperlink" Target="http://workboard.com" TargetMode="External"/><Relationship Id="rId1669" Type="http://schemas.openxmlformats.org/officeDocument/2006/relationships/hyperlink" Target="http://dropbox.com" TargetMode="External"/><Relationship Id="rId839" Type="http://schemas.openxmlformats.org/officeDocument/2006/relationships/hyperlink" Target="http://benoble.io" TargetMode="External"/><Relationship Id="rId838" Type="http://schemas.openxmlformats.org/officeDocument/2006/relationships/hyperlink" Target="http://neptune.io" TargetMode="External"/><Relationship Id="rId833" Type="http://schemas.openxmlformats.org/officeDocument/2006/relationships/hyperlink" Target="http://nextravel.com" TargetMode="External"/><Relationship Id="rId832" Type="http://schemas.openxmlformats.org/officeDocument/2006/relationships/hyperlink" Target="http://usenash.com" TargetMode="External"/><Relationship Id="rId831" Type="http://schemas.openxmlformats.org/officeDocument/2006/relationships/hyperlink" Target="http://newscatcherapi.com" TargetMode="External"/><Relationship Id="rId830" Type="http://schemas.openxmlformats.org/officeDocument/2006/relationships/hyperlink" Target="http://namesandfaces.com" TargetMode="External"/><Relationship Id="rId837" Type="http://schemas.openxmlformats.org/officeDocument/2006/relationships/hyperlink" Target="http://nextmv.io" TargetMode="External"/><Relationship Id="rId836" Type="http://schemas.openxmlformats.org/officeDocument/2006/relationships/hyperlink" Target="http://navattic.com" TargetMode="External"/><Relationship Id="rId835" Type="http://schemas.openxmlformats.org/officeDocument/2006/relationships/hyperlink" Target="http://nextcaller.com" TargetMode="External"/><Relationship Id="rId834" Type="http://schemas.openxmlformats.org/officeDocument/2006/relationships/hyperlink" Target="http://natero.com" TargetMode="External"/><Relationship Id="rId2990" Type="http://schemas.openxmlformats.org/officeDocument/2006/relationships/hyperlink" Target="http://wealthmore.net" TargetMode="External"/><Relationship Id="rId1660" Type="http://schemas.openxmlformats.org/officeDocument/2006/relationships/hyperlink" Target="http://armadainteractive.com" TargetMode="External"/><Relationship Id="rId2991" Type="http://schemas.openxmlformats.org/officeDocument/2006/relationships/hyperlink" Target="http://xmtp.com" TargetMode="External"/><Relationship Id="rId1661" Type="http://schemas.openxmlformats.org/officeDocument/2006/relationships/hyperlink" Target="http://peoplevox.co.uk" TargetMode="External"/><Relationship Id="rId2992" Type="http://schemas.openxmlformats.org/officeDocument/2006/relationships/hyperlink" Target="http://whatnot.com" TargetMode="External"/><Relationship Id="rId1662" Type="http://schemas.openxmlformats.org/officeDocument/2006/relationships/hyperlink" Target="http://baller.tv" TargetMode="External"/><Relationship Id="rId2993" Type="http://schemas.openxmlformats.org/officeDocument/2006/relationships/hyperlink" Target="http://yellow3d.com" TargetMode="External"/><Relationship Id="rId1663" Type="http://schemas.openxmlformats.org/officeDocument/2006/relationships/hyperlink" Target="http://playfish.com" TargetMode="External"/><Relationship Id="rId2994" Type="http://schemas.openxmlformats.org/officeDocument/2006/relationships/hyperlink" Target="http://windwalk.com" TargetMode="External"/><Relationship Id="rId2148" Type="http://schemas.openxmlformats.org/officeDocument/2006/relationships/hyperlink" Target="http://crossbeam.com" TargetMode="External"/><Relationship Id="rId2149" Type="http://schemas.openxmlformats.org/officeDocument/2006/relationships/hyperlink" Target="http://dapperlabs.com" TargetMode="External"/><Relationship Id="rId3479" Type="http://schemas.openxmlformats.org/officeDocument/2006/relationships/hyperlink" Target="https://innovist.com/" TargetMode="External"/><Relationship Id="rId3470" Type="http://schemas.openxmlformats.org/officeDocument/2006/relationships/hyperlink" Target="http://www.hotelogix.com/" TargetMode="External"/><Relationship Id="rId2140" Type="http://schemas.openxmlformats.org/officeDocument/2006/relationships/hyperlink" Target="http://current.com" TargetMode="External"/><Relationship Id="rId3472" Type="http://schemas.openxmlformats.org/officeDocument/2006/relationships/hyperlink" Target="https://www.hubble.net/" TargetMode="External"/><Relationship Id="rId2141" Type="http://schemas.openxmlformats.org/officeDocument/2006/relationships/hyperlink" Target="http://cursor.sh" TargetMode="External"/><Relationship Id="rId3471" Type="http://schemas.openxmlformats.org/officeDocument/2006/relationships/hyperlink" Target="http://www.housetrip.com/" TargetMode="External"/><Relationship Id="rId2142" Type="http://schemas.openxmlformats.org/officeDocument/2006/relationships/hyperlink" Target="http://creatordao.com" TargetMode="External"/><Relationship Id="rId3474" Type="http://schemas.openxmlformats.org/officeDocument/2006/relationships/hyperlink" Target="http://www.humio.com/" TargetMode="External"/><Relationship Id="rId2143" Type="http://schemas.openxmlformats.org/officeDocument/2006/relationships/hyperlink" Target="http://cygnvs.com" TargetMode="External"/><Relationship Id="rId3473" Type="http://schemas.openxmlformats.org/officeDocument/2006/relationships/hyperlink" Target="http://www.hudl.com/" TargetMode="External"/><Relationship Id="rId2144" Type="http://schemas.openxmlformats.org/officeDocument/2006/relationships/hyperlink" Target="http://cresta.com" TargetMode="External"/><Relationship Id="rId3476" Type="http://schemas.openxmlformats.org/officeDocument/2006/relationships/hyperlink" Target="http://www.illumio.com/" TargetMode="External"/><Relationship Id="rId2145" Type="http://schemas.openxmlformats.org/officeDocument/2006/relationships/hyperlink" Target="http://cyngn.com" TargetMode="External"/><Relationship Id="rId3475" Type="http://schemas.openxmlformats.org/officeDocument/2006/relationships/hyperlink" Target="http://hush.company/" TargetMode="External"/><Relationship Id="rId2146" Type="http://schemas.openxmlformats.org/officeDocument/2006/relationships/hyperlink" Target="http://crossriver.com" TargetMode="External"/><Relationship Id="rId3478" Type="http://schemas.openxmlformats.org/officeDocument/2006/relationships/hyperlink" Target="http://www.infra.market/" TargetMode="External"/><Relationship Id="rId2147" Type="http://schemas.openxmlformats.org/officeDocument/2006/relationships/hyperlink" Target="http://d2iq.com" TargetMode="External"/><Relationship Id="rId3477" Type="http://schemas.openxmlformats.org/officeDocument/2006/relationships/hyperlink" Target="http://www.indifi.com/" TargetMode="External"/><Relationship Id="rId2137" Type="http://schemas.openxmlformats.org/officeDocument/2006/relationships/hyperlink" Target="http://cultofthenorth.com" TargetMode="External"/><Relationship Id="rId3469" Type="http://schemas.openxmlformats.org/officeDocument/2006/relationships/hyperlink" Target="http://www.hoteltonight.com/" TargetMode="External"/><Relationship Id="rId2138" Type="http://schemas.openxmlformats.org/officeDocument/2006/relationships/hyperlink" Target="http://goculturewireless.com" TargetMode="External"/><Relationship Id="rId3468" Type="http://schemas.openxmlformats.org/officeDocument/2006/relationships/hyperlink" Target="https://hopin.to/" TargetMode="External"/><Relationship Id="rId2139" Type="http://schemas.openxmlformats.org/officeDocument/2006/relationships/hyperlink" Target="http://craterstudiosgames.com" TargetMode="External"/><Relationship Id="rId3461" Type="http://schemas.openxmlformats.org/officeDocument/2006/relationships/hyperlink" Target="http://www.helpling.com/" TargetMode="External"/><Relationship Id="rId2130" Type="http://schemas.openxmlformats.org/officeDocument/2006/relationships/hyperlink" Target="http://csm.ai" TargetMode="External"/><Relationship Id="rId3460" Type="http://schemas.openxmlformats.org/officeDocument/2006/relationships/hyperlink" Target="https://hashnode.com/" TargetMode="External"/><Relationship Id="rId2131" Type="http://schemas.openxmlformats.org/officeDocument/2006/relationships/hyperlink" Target="http://crossbeam.com" TargetMode="External"/><Relationship Id="rId3463" Type="http://schemas.openxmlformats.org/officeDocument/2006/relationships/hyperlink" Target="https://helsing.ai/" TargetMode="External"/><Relationship Id="rId2132" Type="http://schemas.openxmlformats.org/officeDocument/2006/relationships/hyperlink" Target="http://cruxclimate.com" TargetMode="External"/><Relationship Id="rId3462" Type="http://schemas.openxmlformats.org/officeDocument/2006/relationships/hyperlink" Target="https://headway.co/" TargetMode="External"/><Relationship Id="rId2133" Type="http://schemas.openxmlformats.org/officeDocument/2006/relationships/hyperlink" Target="http://concourse.co" TargetMode="External"/><Relationship Id="rId3465" Type="http://schemas.openxmlformats.org/officeDocument/2006/relationships/hyperlink" Target="https://higo.io/" TargetMode="External"/><Relationship Id="rId2134" Type="http://schemas.openxmlformats.org/officeDocument/2006/relationships/hyperlink" Target="http://onchainstudios.com" TargetMode="External"/><Relationship Id="rId3464" Type="http://schemas.openxmlformats.org/officeDocument/2006/relationships/hyperlink" Target="http://www.heptio.com/" TargetMode="External"/><Relationship Id="rId2135" Type="http://schemas.openxmlformats.org/officeDocument/2006/relationships/hyperlink" Target="http://cuenca.com" TargetMode="External"/><Relationship Id="rId3467" Type="http://schemas.openxmlformats.org/officeDocument/2006/relationships/hyperlink" Target="http://www.hootsuite.com/" TargetMode="External"/><Relationship Id="rId2136" Type="http://schemas.openxmlformats.org/officeDocument/2006/relationships/hyperlink" Target="http://coreloop.ai" TargetMode="External"/><Relationship Id="rId3466" Type="http://schemas.openxmlformats.org/officeDocument/2006/relationships/hyperlink" Target="http://www.homelane.com/" TargetMode="External"/><Relationship Id="rId3490" Type="http://schemas.openxmlformats.org/officeDocument/2006/relationships/hyperlink" Target="https://www.jify.co/" TargetMode="External"/><Relationship Id="rId2160" Type="http://schemas.openxmlformats.org/officeDocument/2006/relationships/hyperlink" Target="http://getdbt.com" TargetMode="External"/><Relationship Id="rId3492" Type="http://schemas.openxmlformats.org/officeDocument/2006/relationships/hyperlink" Target="http://www.jobtoday.com/" TargetMode="External"/><Relationship Id="rId2161" Type="http://schemas.openxmlformats.org/officeDocument/2006/relationships/hyperlink" Target="http://cursor.sh" TargetMode="External"/><Relationship Id="rId3491" Type="http://schemas.openxmlformats.org/officeDocument/2006/relationships/hyperlink" Target="https://www.jiraaf.com/" TargetMode="External"/><Relationship Id="rId2162" Type="http://schemas.openxmlformats.org/officeDocument/2006/relationships/hyperlink" Target="http://decagon.ai" TargetMode="External"/><Relationship Id="rId3494" Type="http://schemas.openxmlformats.org/officeDocument/2006/relationships/hyperlink" Target="http://www.kayak.com/" TargetMode="External"/><Relationship Id="rId2163" Type="http://schemas.openxmlformats.org/officeDocument/2006/relationships/hyperlink" Target="http://cygnvs.com" TargetMode="External"/><Relationship Id="rId3493" Type="http://schemas.openxmlformats.org/officeDocument/2006/relationships/hyperlink" Target="http://www.juspay.in/" TargetMode="External"/><Relationship Id="rId2164" Type="http://schemas.openxmlformats.org/officeDocument/2006/relationships/hyperlink" Target="http://deel.com" TargetMode="External"/><Relationship Id="rId3496" Type="http://schemas.openxmlformats.org/officeDocument/2006/relationships/hyperlink" Target="https://www.kgen.io/" TargetMode="External"/><Relationship Id="rId2165" Type="http://schemas.openxmlformats.org/officeDocument/2006/relationships/hyperlink" Target="http://cyngn.com" TargetMode="External"/><Relationship Id="rId3495" Type="http://schemas.openxmlformats.org/officeDocument/2006/relationships/hyperlink" Target="https://www.kevin.eu/" TargetMode="External"/><Relationship Id="rId2166" Type="http://schemas.openxmlformats.org/officeDocument/2006/relationships/hyperlink" Target="http://deepcell.com" TargetMode="External"/><Relationship Id="rId3498" Type="http://schemas.openxmlformats.org/officeDocument/2006/relationships/hyperlink" Target="https://www.klaviyo.com/" TargetMode="External"/><Relationship Id="rId2167" Type="http://schemas.openxmlformats.org/officeDocument/2006/relationships/hyperlink" Target="http://d2iq.com" TargetMode="External"/><Relationship Id="rId3497" Type="http://schemas.openxmlformats.org/officeDocument/2006/relationships/hyperlink" Target="http://www.kirusa.com/" TargetMode="External"/><Relationship Id="rId2168" Type="http://schemas.openxmlformats.org/officeDocument/2006/relationships/hyperlink" Target="http://deeprmusic.com" TargetMode="External"/><Relationship Id="rId2169" Type="http://schemas.openxmlformats.org/officeDocument/2006/relationships/hyperlink" Target="http://dapperlabs.com" TargetMode="External"/><Relationship Id="rId3499" Type="http://schemas.openxmlformats.org/officeDocument/2006/relationships/hyperlink" Target="https://www.knightfintech.com/" TargetMode="External"/><Relationship Id="rId2159" Type="http://schemas.openxmlformats.org/officeDocument/2006/relationships/hyperlink" Target="http://current.com" TargetMode="External"/><Relationship Id="rId3481" Type="http://schemas.openxmlformats.org/officeDocument/2006/relationships/hyperlink" Target="http://www.instabug.com/" TargetMode="External"/><Relationship Id="rId2150" Type="http://schemas.openxmlformats.org/officeDocument/2006/relationships/hyperlink" Target="http://cruxclimate.com" TargetMode="External"/><Relationship Id="rId3480" Type="http://schemas.openxmlformats.org/officeDocument/2006/relationships/hyperlink" Target="https://insify.com/" TargetMode="External"/><Relationship Id="rId2151" Type="http://schemas.openxmlformats.org/officeDocument/2006/relationships/hyperlink" Target="http://daredrop.com" TargetMode="External"/><Relationship Id="rId3483" Type="http://schemas.openxmlformats.org/officeDocument/2006/relationships/hyperlink" Target="http://www.invoca.com/" TargetMode="External"/><Relationship Id="rId2152" Type="http://schemas.openxmlformats.org/officeDocument/2006/relationships/hyperlink" Target="http://onchainstudios.com" TargetMode="External"/><Relationship Id="rId3482" Type="http://schemas.openxmlformats.org/officeDocument/2006/relationships/hyperlink" Target="http://www.instana.com/" TargetMode="External"/><Relationship Id="rId2153" Type="http://schemas.openxmlformats.org/officeDocument/2006/relationships/hyperlink" Target="http://databricks.com" TargetMode="External"/><Relationship Id="rId3485" Type="http://schemas.openxmlformats.org/officeDocument/2006/relationships/hyperlink" Target="http://www.ironcladapp.com/" TargetMode="External"/><Relationship Id="rId2154" Type="http://schemas.openxmlformats.org/officeDocument/2006/relationships/hyperlink" Target="http://cuenca.com" TargetMode="External"/><Relationship Id="rId3484" Type="http://schemas.openxmlformats.org/officeDocument/2006/relationships/hyperlink" Target="http://www.invoice2go.com/" TargetMode="External"/><Relationship Id="rId2155" Type="http://schemas.openxmlformats.org/officeDocument/2006/relationships/hyperlink" Target="http://datanomik.com" TargetMode="External"/><Relationship Id="rId3487" Type="http://schemas.openxmlformats.org/officeDocument/2006/relationships/hyperlink" Target="http://www.jet.com/" TargetMode="External"/><Relationship Id="rId2156" Type="http://schemas.openxmlformats.org/officeDocument/2006/relationships/hyperlink" Target="http://cultofthenorth.com" TargetMode="External"/><Relationship Id="rId3486" Type="http://schemas.openxmlformats.org/officeDocument/2006/relationships/hyperlink" Target="https://jellyfish.co/" TargetMode="External"/><Relationship Id="rId2157" Type="http://schemas.openxmlformats.org/officeDocument/2006/relationships/hyperlink" Target="http://godaylight.com" TargetMode="External"/><Relationship Id="rId3489" Type="http://schemas.openxmlformats.org/officeDocument/2006/relationships/hyperlink" Target="http://www.jifflenow.com/" TargetMode="External"/><Relationship Id="rId2158" Type="http://schemas.openxmlformats.org/officeDocument/2006/relationships/hyperlink" Target="http://goculturewireless.com" TargetMode="External"/><Relationship Id="rId3488" Type="http://schemas.openxmlformats.org/officeDocument/2006/relationships/hyperlink" Target="https://www.jetapult.me/" TargetMode="External"/><Relationship Id="rId2104" Type="http://schemas.openxmlformats.org/officeDocument/2006/relationships/hyperlink" Target="http://coactive.ai" TargetMode="External"/><Relationship Id="rId3436" Type="http://schemas.openxmlformats.org/officeDocument/2006/relationships/hyperlink" Target="http://fundly.ai/" TargetMode="External"/><Relationship Id="rId2105" Type="http://schemas.openxmlformats.org/officeDocument/2006/relationships/hyperlink" Target="http://shopcider.com" TargetMode="External"/><Relationship Id="rId3435" Type="http://schemas.openxmlformats.org/officeDocument/2006/relationships/hyperlink" Target="http://www.fundingcircle.com/" TargetMode="External"/><Relationship Id="rId2106" Type="http://schemas.openxmlformats.org/officeDocument/2006/relationships/hyperlink" Target="http://codecombat.com" TargetMode="External"/><Relationship Id="rId3438" Type="http://schemas.openxmlformats.org/officeDocument/2006/relationships/hyperlink" Target="https://www.accel.com/relationships/fusion-io" TargetMode="External"/><Relationship Id="rId2107" Type="http://schemas.openxmlformats.org/officeDocument/2006/relationships/hyperlink" Target="http://civitai.com" TargetMode="External"/><Relationship Id="rId3437" Type="http://schemas.openxmlformats.org/officeDocument/2006/relationships/hyperlink" Target="https://www.fuseenergy.com/" TargetMode="External"/><Relationship Id="rId2108" Type="http://schemas.openxmlformats.org/officeDocument/2006/relationships/hyperlink" Target="http://codi.com" TargetMode="External"/><Relationship Id="rId2109" Type="http://schemas.openxmlformats.org/officeDocument/2006/relationships/hyperlink" Target="http://comma.ai" TargetMode="External"/><Relationship Id="rId3439" Type="http://schemas.openxmlformats.org/officeDocument/2006/relationships/hyperlink" Target="http://www.g2crowd.com/" TargetMode="External"/><Relationship Id="rId3430" Type="http://schemas.openxmlformats.org/officeDocument/2006/relationships/hyperlink" Target="http://www.forushealth.com/" TargetMode="External"/><Relationship Id="rId2100" Type="http://schemas.openxmlformats.org/officeDocument/2006/relationships/hyperlink" Target="http://withclutch.com" TargetMode="External"/><Relationship Id="rId3432" Type="http://schemas.openxmlformats.org/officeDocument/2006/relationships/hyperlink" Target="http://www.framer.com/" TargetMode="External"/><Relationship Id="rId2101" Type="http://schemas.openxmlformats.org/officeDocument/2006/relationships/hyperlink" Target="http://chia.net" TargetMode="External"/><Relationship Id="rId3431" Type="http://schemas.openxmlformats.org/officeDocument/2006/relationships/hyperlink" Target="http://www.frame.io/" TargetMode="External"/><Relationship Id="rId2102" Type="http://schemas.openxmlformats.org/officeDocument/2006/relationships/hyperlink" Target="http://usecocreate.io" TargetMode="External"/><Relationship Id="rId3434" Type="http://schemas.openxmlformats.org/officeDocument/2006/relationships/hyperlink" Target="https://frvr.com/" TargetMode="External"/><Relationship Id="rId2103" Type="http://schemas.openxmlformats.org/officeDocument/2006/relationships/hyperlink" Target="http://chipprofessionals.com" TargetMode="External"/><Relationship Id="rId3433" Type="http://schemas.openxmlformats.org/officeDocument/2006/relationships/hyperlink" Target="http://www.freshworks.com/" TargetMode="External"/><Relationship Id="rId3425" Type="http://schemas.openxmlformats.org/officeDocument/2006/relationships/hyperlink" Target="https://www.flywire.com/" TargetMode="External"/><Relationship Id="rId3424" Type="http://schemas.openxmlformats.org/officeDocument/2006/relationships/hyperlink" Target="https://flyfin.tax/" TargetMode="External"/><Relationship Id="rId3427" Type="http://schemas.openxmlformats.org/officeDocument/2006/relationships/hyperlink" Target="http://www.forgerock.com/" TargetMode="External"/><Relationship Id="rId3426" Type="http://schemas.openxmlformats.org/officeDocument/2006/relationships/hyperlink" Target="https://www.folk.app/" TargetMode="External"/><Relationship Id="rId3429" Type="http://schemas.openxmlformats.org/officeDocument/2006/relationships/hyperlink" Target="http://www.4tigo.com/" TargetMode="External"/><Relationship Id="rId3428" Type="http://schemas.openxmlformats.org/officeDocument/2006/relationships/hyperlink" Target="http://www.3dfortify.com/" TargetMode="External"/><Relationship Id="rId899" Type="http://schemas.openxmlformats.org/officeDocument/2006/relationships/hyperlink" Target="http://blues.io" TargetMode="External"/><Relationship Id="rId898" Type="http://schemas.openxmlformats.org/officeDocument/2006/relationships/hyperlink" Target="http://paperspace.com" TargetMode="External"/><Relationship Id="rId897" Type="http://schemas.openxmlformats.org/officeDocument/2006/relationships/hyperlink" Target="http://blockaid.io" TargetMode="External"/><Relationship Id="rId896" Type="http://schemas.openxmlformats.org/officeDocument/2006/relationships/hyperlink" Target="http://palettehq.com" TargetMode="External"/><Relationship Id="rId891" Type="http://schemas.openxmlformats.org/officeDocument/2006/relationships/hyperlink" Target="http://parse.com" TargetMode="External"/><Relationship Id="rId890" Type="http://schemas.openxmlformats.org/officeDocument/2006/relationships/hyperlink" Target="http://padlet.com" TargetMode="External"/><Relationship Id="rId895" Type="http://schemas.openxmlformats.org/officeDocument/2006/relationships/hyperlink" Target="http://rox.com" TargetMode="External"/><Relationship Id="rId3421" Type="http://schemas.openxmlformats.org/officeDocument/2006/relationships/hyperlink" Target="https://miflink.com/" TargetMode="External"/><Relationship Id="rId894" Type="http://schemas.openxmlformats.org/officeDocument/2006/relationships/hyperlink" Target="http://palenca.com" TargetMode="External"/><Relationship Id="rId3420" Type="http://schemas.openxmlformats.org/officeDocument/2006/relationships/hyperlink" Target="http://www.fiverr.com/" TargetMode="External"/><Relationship Id="rId893" Type="http://schemas.openxmlformats.org/officeDocument/2006/relationships/hyperlink" Target="http://langchain.com" TargetMode="External"/><Relationship Id="rId3423" Type="http://schemas.openxmlformats.org/officeDocument/2006/relationships/hyperlink" Target="http://www.getflipturn.com/" TargetMode="External"/><Relationship Id="rId892" Type="http://schemas.openxmlformats.org/officeDocument/2006/relationships/hyperlink" Target="http://pagelever.com" TargetMode="External"/><Relationship Id="rId3422" Type="http://schemas.openxmlformats.org/officeDocument/2006/relationships/hyperlink" Target="http://www.flipkart.com/" TargetMode="External"/><Relationship Id="rId2126" Type="http://schemas.openxmlformats.org/officeDocument/2006/relationships/hyperlink" Target="http://comma.ai" TargetMode="External"/><Relationship Id="rId3458" Type="http://schemas.openxmlformats.org/officeDocument/2006/relationships/hyperlink" Target="https://www.hcompany.ai/" TargetMode="External"/><Relationship Id="rId2127" Type="http://schemas.openxmlformats.org/officeDocument/2006/relationships/hyperlink" Target="http://cresta.com" TargetMode="External"/><Relationship Id="rId3457" Type="http://schemas.openxmlformats.org/officeDocument/2006/relationships/hyperlink" Target="https://www.gutwellnessclub.in/" TargetMode="External"/><Relationship Id="rId2128" Type="http://schemas.openxmlformats.org/officeDocument/2006/relationships/hyperlink" Target="http://cmdzero.io" TargetMode="External"/><Relationship Id="rId2129" Type="http://schemas.openxmlformats.org/officeDocument/2006/relationships/hyperlink" Target="http://crossriver.com" TargetMode="External"/><Relationship Id="rId3459" Type="http://schemas.openxmlformats.org/officeDocument/2006/relationships/hyperlink" Target="http://www.haberwater.com/" TargetMode="External"/><Relationship Id="rId3450" Type="http://schemas.openxmlformats.org/officeDocument/2006/relationships/hyperlink" Target="http://www.gocardless.com/" TargetMode="External"/><Relationship Id="rId2120" Type="http://schemas.openxmlformats.org/officeDocument/2006/relationships/hyperlink" Target="http://usecocreate.io" TargetMode="External"/><Relationship Id="rId3452" Type="http://schemas.openxmlformats.org/officeDocument/2006/relationships/hyperlink" Target="https://gopuff.com/" TargetMode="External"/><Relationship Id="rId2121" Type="http://schemas.openxmlformats.org/officeDocument/2006/relationships/hyperlink" Target="http://coactive.ai" TargetMode="External"/><Relationship Id="rId3451" Type="http://schemas.openxmlformats.org/officeDocument/2006/relationships/hyperlink" Target="http://www.gofundme.com/" TargetMode="External"/><Relationship Id="rId2122" Type="http://schemas.openxmlformats.org/officeDocument/2006/relationships/hyperlink" Target="http://craterstudiosgames.com" TargetMode="External"/><Relationship Id="rId3454" Type="http://schemas.openxmlformats.org/officeDocument/2006/relationships/hyperlink" Target="https://www.gravitysketch.com/" TargetMode="External"/><Relationship Id="rId2123" Type="http://schemas.openxmlformats.org/officeDocument/2006/relationships/hyperlink" Target="http://codecombat.com" TargetMode="External"/><Relationship Id="rId3453" Type="http://schemas.openxmlformats.org/officeDocument/2006/relationships/hyperlink" Target="http://www.govini.com/" TargetMode="External"/><Relationship Id="rId2124" Type="http://schemas.openxmlformats.org/officeDocument/2006/relationships/hyperlink" Target="http://codi.com" TargetMode="External"/><Relationship Id="rId3456" Type="http://schemas.openxmlformats.org/officeDocument/2006/relationships/hyperlink" Target="http://www.getguru.com/" TargetMode="External"/><Relationship Id="rId2125" Type="http://schemas.openxmlformats.org/officeDocument/2006/relationships/hyperlink" Target="http://creatordao.com" TargetMode="External"/><Relationship Id="rId3455" Type="http://schemas.openxmlformats.org/officeDocument/2006/relationships/hyperlink" Target="http://www.groupon.com/" TargetMode="External"/><Relationship Id="rId2115" Type="http://schemas.openxmlformats.org/officeDocument/2006/relationships/hyperlink" Target="http://clover.com" TargetMode="External"/><Relationship Id="rId3447" Type="http://schemas.openxmlformats.org/officeDocument/2006/relationships/hyperlink" Target="https://www.gloat.com/" TargetMode="External"/><Relationship Id="rId2116" Type="http://schemas.openxmlformats.org/officeDocument/2006/relationships/hyperlink" Target="http://concourse.co" TargetMode="External"/><Relationship Id="rId3446" Type="http://schemas.openxmlformats.org/officeDocument/2006/relationships/hyperlink" Target="https://www.gently.co.id/" TargetMode="External"/><Relationship Id="rId2117" Type="http://schemas.openxmlformats.org/officeDocument/2006/relationships/hyperlink" Target="http://clubhouse.com" TargetMode="External"/><Relationship Id="rId3449" Type="http://schemas.openxmlformats.org/officeDocument/2006/relationships/hyperlink" Target="http://www.goat.com/" TargetMode="External"/><Relationship Id="rId2118" Type="http://schemas.openxmlformats.org/officeDocument/2006/relationships/hyperlink" Target="http://withclutch.com" TargetMode="External"/><Relationship Id="rId3448" Type="http://schemas.openxmlformats.org/officeDocument/2006/relationships/hyperlink" Target="http://www.glowroad.com/" TargetMode="External"/><Relationship Id="rId2119" Type="http://schemas.openxmlformats.org/officeDocument/2006/relationships/hyperlink" Target="http://coreloop.ai" TargetMode="External"/><Relationship Id="rId3441" Type="http://schemas.openxmlformats.org/officeDocument/2006/relationships/hyperlink" Target="https://gameforge.com/en-US/" TargetMode="External"/><Relationship Id="rId2110" Type="http://schemas.openxmlformats.org/officeDocument/2006/relationships/hyperlink" Target="http://clerk.com" TargetMode="External"/><Relationship Id="rId3440" Type="http://schemas.openxmlformats.org/officeDocument/2006/relationships/hyperlink" Target="http://www.galileo-ft.com/" TargetMode="External"/><Relationship Id="rId2111" Type="http://schemas.openxmlformats.org/officeDocument/2006/relationships/hyperlink" Target="http://cmdzero.io" TargetMode="External"/><Relationship Id="rId3443" Type="http://schemas.openxmlformats.org/officeDocument/2006/relationships/hyperlink" Target="https://gamma.app/" TargetMode="External"/><Relationship Id="rId2112" Type="http://schemas.openxmlformats.org/officeDocument/2006/relationships/hyperlink" Target="http://clickup.com" TargetMode="External"/><Relationship Id="rId3442" Type="http://schemas.openxmlformats.org/officeDocument/2006/relationships/hyperlink" Target="http://www.gametime.co/" TargetMode="External"/><Relationship Id="rId2113" Type="http://schemas.openxmlformats.org/officeDocument/2006/relationships/hyperlink" Target="http://csm.ai" TargetMode="External"/><Relationship Id="rId3445" Type="http://schemas.openxmlformats.org/officeDocument/2006/relationships/hyperlink" Target="https://genesis.global/" TargetMode="External"/><Relationship Id="rId2114" Type="http://schemas.openxmlformats.org/officeDocument/2006/relationships/hyperlink" Target="http://closingtheory.com" TargetMode="External"/><Relationship Id="rId3444" Type="http://schemas.openxmlformats.org/officeDocument/2006/relationships/hyperlink" Target="http://www.gem.com/" TargetMode="External"/></Relationships>
</file>

<file path=xl/worksheets/_rels/sheet3.xml.rels><?xml version="1.0" encoding="UTF-8" standalone="yes"?><Relationships xmlns="http://schemas.openxmlformats.org/package/2006/relationships"><Relationship Id="rId10" Type="http://schemas.openxmlformats.org/officeDocument/2006/relationships/drawing" Target="../drawings/drawing3.xml"/><Relationship Id="rId1" Type="http://schemas.openxmlformats.org/officeDocument/2006/relationships/hyperlink" Target="http://tessl.io" TargetMode="External"/><Relationship Id="rId2" Type="http://schemas.openxmlformats.org/officeDocument/2006/relationships/hyperlink" Target="http://iterable.com/" TargetMode="External"/><Relationship Id="rId3" Type="http://schemas.openxmlformats.org/officeDocument/2006/relationships/hyperlink" Target="http://lever.co/" TargetMode="External"/><Relationship Id="rId4" Type="http://schemas.openxmlformats.org/officeDocument/2006/relationships/hyperlink" Target="http://reclaim.ai" TargetMode="External"/><Relationship Id="rId9" Type="http://schemas.openxmlformats.org/officeDocument/2006/relationships/hyperlink" Target="http://ozon.ru" TargetMode="External"/><Relationship Id="rId5" Type="http://schemas.openxmlformats.org/officeDocument/2006/relationships/hyperlink" Target="http://abacus.ai" TargetMode="External"/><Relationship Id="rId6" Type="http://schemas.openxmlformats.org/officeDocument/2006/relationships/hyperlink" Target="http://covariant.ai" TargetMode="External"/><Relationship Id="rId7" Type="http://schemas.openxmlformats.org/officeDocument/2006/relationships/hyperlink" Target="http://nexos.ai" TargetMode="External"/><Relationship Id="rId8" Type="http://schemas.openxmlformats.org/officeDocument/2006/relationships/hyperlink" Target="http://last.f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zeet.co" TargetMode="External"/><Relationship Id="rId2" Type="http://schemas.openxmlformats.org/officeDocument/2006/relationships/hyperlink" Target="http://day.ai"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infinitus.ai/" TargetMode="External"/><Relationship Id="rId42" Type="http://schemas.openxmlformats.org/officeDocument/2006/relationships/hyperlink" Target="http://linq.gg" TargetMode="External"/><Relationship Id="rId41" Type="http://schemas.openxmlformats.org/officeDocument/2006/relationships/hyperlink" Target="https://kikiworld.io/" TargetMode="External"/><Relationship Id="rId44" Type="http://schemas.openxmlformats.org/officeDocument/2006/relationships/hyperlink" Target="https://www.miluhealth.com/" TargetMode="External"/><Relationship Id="rId43" Type="http://schemas.openxmlformats.org/officeDocument/2006/relationships/hyperlink" Target="https://mana.bio/" TargetMode="External"/><Relationship Id="rId46" Type="http://schemas.openxmlformats.org/officeDocument/2006/relationships/hyperlink" Target="https://originalgames.io/" TargetMode="External"/><Relationship Id="rId45" Type="http://schemas.openxmlformats.org/officeDocument/2006/relationships/hyperlink" Target="https://ml4t.org/" TargetMode="External"/><Relationship Id="rId48" Type="http://schemas.openxmlformats.org/officeDocument/2006/relationships/hyperlink" Target="http://people.ai" TargetMode="External"/><Relationship Id="rId47" Type="http://schemas.openxmlformats.org/officeDocument/2006/relationships/hyperlink" Target="http://peepal.co" TargetMode="External"/><Relationship Id="rId49" Type="http://schemas.openxmlformats.org/officeDocument/2006/relationships/hyperlink" Target="http://pug.ai" TargetMode="External"/><Relationship Id="rId31" Type="http://schemas.openxmlformats.org/officeDocument/2006/relationships/hyperlink" Target="https://www.favorited.com/" TargetMode="External"/><Relationship Id="rId30" Type="http://schemas.openxmlformats.org/officeDocument/2006/relationships/hyperlink" Target="http://fal.ai/" TargetMode="External"/><Relationship Id="rId33" Type="http://schemas.openxmlformats.org/officeDocument/2006/relationships/hyperlink" Target="https://www.flow.life/" TargetMode="External"/><Relationship Id="rId32" Type="http://schemas.openxmlformats.org/officeDocument/2006/relationships/hyperlink" Target="https://www.flashhoops.com/" TargetMode="External"/><Relationship Id="rId35" Type="http://schemas.openxmlformats.org/officeDocument/2006/relationships/hyperlink" Target="https://www.functionhealth.com/" TargetMode="External"/><Relationship Id="rId34" Type="http://schemas.openxmlformats.org/officeDocument/2006/relationships/hyperlink" Target="https://fortunahealth.com/" TargetMode="External"/><Relationship Id="rId37" Type="http://schemas.openxmlformats.org/officeDocument/2006/relationships/hyperlink" Target="https://www.hedra.com/" TargetMode="External"/><Relationship Id="rId36" Type="http://schemas.openxmlformats.org/officeDocument/2006/relationships/hyperlink" Target="https://gatebio.com/" TargetMode="External"/><Relationship Id="rId39" Type="http://schemas.openxmlformats.org/officeDocument/2006/relationships/hyperlink" Target="https://inductive.bio/" TargetMode="External"/><Relationship Id="rId38" Type="http://schemas.openxmlformats.org/officeDocument/2006/relationships/hyperlink" Target="https://inceptive.life/" TargetMode="External"/><Relationship Id="rId20" Type="http://schemas.openxmlformats.org/officeDocument/2006/relationships/hyperlink" Target="http://bash.gg" TargetMode="External"/><Relationship Id="rId22" Type="http://schemas.openxmlformats.org/officeDocument/2006/relationships/hyperlink" Target="http://blackbird.xyz" TargetMode="External"/><Relationship Id="rId21" Type="http://schemas.openxmlformats.org/officeDocument/2006/relationships/hyperlink" Target="https://www.meldium.com/" TargetMode="External"/><Relationship Id="rId24" Type="http://schemas.openxmlformats.org/officeDocument/2006/relationships/hyperlink" Target="http://branch.co" TargetMode="External"/><Relationship Id="rId23" Type="http://schemas.openxmlformats.org/officeDocument/2006/relationships/hyperlink" Target="http://braid.ai" TargetMode="External"/><Relationship Id="rId26" Type="http://schemas.openxmlformats.org/officeDocument/2006/relationships/hyperlink" Target="https://www.clover.com/" TargetMode="External"/><Relationship Id="rId25" Type="http://schemas.openxmlformats.org/officeDocument/2006/relationships/hyperlink" Target="https://cantoreality.com/" TargetMode="External"/><Relationship Id="rId28" Type="http://schemas.openxmlformats.org/officeDocument/2006/relationships/hyperlink" Target="https://counsel.health/" TargetMode="External"/><Relationship Id="rId27" Type="http://schemas.openxmlformats.org/officeDocument/2006/relationships/hyperlink" Target="http://comma.ai" TargetMode="External"/><Relationship Id="rId29" Type="http://schemas.openxmlformats.org/officeDocument/2006/relationships/hyperlink" Target="https://e-3.tech/" TargetMode="External"/><Relationship Id="rId11" Type="http://schemas.openxmlformats.org/officeDocument/2006/relationships/hyperlink" Target="https://www.nautilus.bio/" TargetMode="External"/><Relationship Id="rId10" Type="http://schemas.openxmlformats.org/officeDocument/2006/relationships/hyperlink" Target="http://lowkey.gg" TargetMode="External"/><Relationship Id="rId13" Type="http://schemas.openxmlformats.org/officeDocument/2006/relationships/hyperlink" Target="https://www.patientping.com/" TargetMode="External"/><Relationship Id="rId12" Type="http://schemas.openxmlformats.org/officeDocument/2006/relationships/hyperlink" Target="https://www.vmware.com/products/nsx.html" TargetMode="External"/><Relationship Id="rId15" Type="http://schemas.openxmlformats.org/officeDocument/2006/relationships/hyperlink" Target="https://www.tomfoolery.com/" TargetMode="External"/><Relationship Id="rId14" Type="http://schemas.openxmlformats.org/officeDocument/2006/relationships/hyperlink" Target="https://rtfkt.com/" TargetMode="External"/><Relationship Id="rId17" Type="http://schemas.openxmlformats.org/officeDocument/2006/relationships/hyperlink" Target="https://alchemyhealth.com/" TargetMode="External"/><Relationship Id="rId16" Type="http://schemas.openxmlformats.org/officeDocument/2006/relationships/hyperlink" Target="http://wit.ai" TargetMode="External"/><Relationship Id="rId19" Type="http://schemas.openxmlformats.org/officeDocument/2006/relationships/hyperlink" Target="http://autograph.io" TargetMode="External"/><Relationship Id="rId18" Type="http://schemas.openxmlformats.org/officeDocument/2006/relationships/hyperlink" Target="https://almostapps.com/" TargetMode="External"/><Relationship Id="rId62" Type="http://schemas.openxmlformats.org/officeDocument/2006/relationships/hyperlink" Target="http://videogame.ai" TargetMode="External"/><Relationship Id="rId61" Type="http://schemas.openxmlformats.org/officeDocument/2006/relationships/hyperlink" Target="http://tackle.io" TargetMode="External"/><Relationship Id="rId64" Type="http://schemas.openxmlformats.org/officeDocument/2006/relationships/hyperlink" Target="https://x.ai/" TargetMode="External"/><Relationship Id="rId63" Type="http://schemas.openxmlformats.org/officeDocument/2006/relationships/hyperlink" Target="https://www.videogame.ai/" TargetMode="External"/><Relationship Id="rId66" Type="http://schemas.openxmlformats.org/officeDocument/2006/relationships/drawing" Target="../drawings/drawing5.xml"/><Relationship Id="rId65" Type="http://schemas.openxmlformats.org/officeDocument/2006/relationships/hyperlink" Target="https://yellow3d.com/" TargetMode="External"/><Relationship Id="rId60" Type="http://schemas.openxmlformats.org/officeDocument/2006/relationships/hyperlink" Target="https://www.swaybrand.com/" TargetMode="External"/><Relationship Id="rId51" Type="http://schemas.openxmlformats.org/officeDocument/2006/relationships/hyperlink" Target="https://www.rademploy.com/" TargetMode="External"/><Relationship Id="rId50" Type="http://schemas.openxmlformats.org/officeDocument/2006/relationships/hyperlink" Target="https://quora.com/" TargetMode="External"/><Relationship Id="rId53" Type="http://schemas.openxmlformats.org/officeDocument/2006/relationships/hyperlink" Target="https://rollup.ai/" TargetMode="External"/><Relationship Id="rId52" Type="http://schemas.openxmlformats.org/officeDocument/2006/relationships/hyperlink" Target="https://playonray.com/" TargetMode="External"/><Relationship Id="rId55" Type="http://schemas.openxmlformats.org/officeDocument/2006/relationships/hyperlink" Target="http://setpoint.io" TargetMode="External"/><Relationship Id="rId54" Type="http://schemas.openxmlformats.org/officeDocument/2006/relationships/hyperlink" Target="https://santaanabio.com/" TargetMode="External"/><Relationship Id="rId57" Type="http://schemas.openxmlformats.org/officeDocument/2006/relationships/hyperlink" Target="https://sloyd.ai/" TargetMode="External"/><Relationship Id="rId56" Type="http://schemas.openxmlformats.org/officeDocument/2006/relationships/hyperlink" Target="https://www.slingshot.xyz/" TargetMode="External"/><Relationship Id="rId59" Type="http://schemas.openxmlformats.org/officeDocument/2006/relationships/hyperlink" Target="https://www.swan.tech/" TargetMode="External"/><Relationship Id="rId58" Type="http://schemas.openxmlformats.org/officeDocument/2006/relationships/hyperlink" Target="http://sound.xyz" TargetMode="External"/><Relationship Id="rId1" Type="http://schemas.openxmlformats.org/officeDocument/2006/relationships/hyperlink" Target="http://capital.xyz" TargetMode="External"/><Relationship Id="rId2" Type="http://schemas.openxmlformats.org/officeDocument/2006/relationships/hyperlink" Target="http://character.ai" TargetMode="External"/><Relationship Id="rId3" Type="http://schemas.openxmlformats.org/officeDocument/2006/relationships/hyperlink" Target="http://deepmap.ai" TargetMode="External"/><Relationship Id="rId4" Type="http://schemas.openxmlformats.org/officeDocument/2006/relationships/hyperlink" Target="http://earn.com" TargetMode="External"/><Relationship Id="rId9" Type="http://schemas.openxmlformats.org/officeDocument/2006/relationships/hyperlink" Target="http://keybase.io" TargetMode="External"/><Relationship Id="rId5" Type="http://schemas.openxmlformats.org/officeDocument/2006/relationships/hyperlink" Target="http://www.fusionio.com/" TargetMode="External"/><Relationship Id="rId6" Type="http://schemas.openxmlformats.org/officeDocument/2006/relationships/hyperlink" Target="https://www.grep.ly/" TargetMode="External"/><Relationship Id="rId7" Type="http://schemas.openxmlformats.org/officeDocument/2006/relationships/hyperlink" Target="https://instagram.com/" TargetMode="External"/><Relationship Id="rId8" Type="http://schemas.openxmlformats.org/officeDocument/2006/relationships/hyperlink" Target="https://intrinsic.com/"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khoslaventures.com/wp-content/uploads/KV3_Highlight-LiIndustries.svg" TargetMode="External"/><Relationship Id="rId42" Type="http://schemas.openxmlformats.org/officeDocument/2006/relationships/hyperlink" Target="https://www.khoslaventures.com/wp-content/uploads/KVPortfolio-HelloHeart-White.png" TargetMode="External"/><Relationship Id="rId41" Type="http://schemas.openxmlformats.org/officeDocument/2006/relationships/hyperlink" Target="https://www.khoslaventures.com/wp-content/uploads/RTV.png" TargetMode="External"/><Relationship Id="rId44" Type="http://schemas.openxmlformats.org/officeDocument/2006/relationships/hyperlink" Target="https://www.khoslaventures.com/wp-content/uploads/KVPortfolio-Inflammatix-White.png" TargetMode="External"/><Relationship Id="rId43" Type="http://schemas.openxmlformats.org/officeDocument/2006/relationships/hyperlink" Target="https://www.khoslaventures.com/wp-content/uploads/KV_Highlight-Oscar.svg" TargetMode="External"/><Relationship Id="rId46" Type="http://schemas.openxmlformats.org/officeDocument/2006/relationships/hyperlink" Target="https://www.khoslaventures.com/wp-content/uploads/KV_Highlight-Rubdeo.svg" TargetMode="External"/><Relationship Id="rId45" Type="http://schemas.openxmlformats.org/officeDocument/2006/relationships/hyperlink" Target="https://www.khoslaventures.com/wp-content/uploads/KV_Highlight-Synchron.svg" TargetMode="External"/><Relationship Id="rId48" Type="http://schemas.openxmlformats.org/officeDocument/2006/relationships/hyperlink" Target="https://www.khoslaventures.com/wp-content/uploads/Inkitt.png" TargetMode="External"/><Relationship Id="rId47" Type="http://schemas.openxmlformats.org/officeDocument/2006/relationships/hyperlink" Target="https://www.khoslaventures.com/wp-content/uploads/KV_Highlight-Faire.svg" TargetMode="External"/><Relationship Id="rId49" Type="http://schemas.openxmlformats.org/officeDocument/2006/relationships/hyperlink" Target="https://www.khoslaventures.com/wp-content/uploads/Proclaim.png" TargetMode="External"/><Relationship Id="rId31" Type="http://schemas.openxmlformats.org/officeDocument/2006/relationships/hyperlink" Target="https://www.khoslaventures.com/wp-content/uploads/KVPortfolio-DoorDash-White.svg" TargetMode="External"/><Relationship Id="rId30" Type="http://schemas.openxmlformats.org/officeDocument/2006/relationships/hyperlink" Target="https://www.khoslaventures.com/wp-content/uploads/KV_Highlight-SiPho.svg" TargetMode="External"/><Relationship Id="rId33" Type="http://schemas.openxmlformats.org/officeDocument/2006/relationships/hyperlink" Target="https://www.khoslaventures.com/wp-content/uploads/Replika-AI.png" TargetMode="External"/><Relationship Id="rId32" Type="http://schemas.openxmlformats.org/officeDocument/2006/relationships/hyperlink" Target="https://www.khoslaventures.com/wp-content/uploads/Playback.png" TargetMode="External"/><Relationship Id="rId35" Type="http://schemas.openxmlformats.org/officeDocument/2006/relationships/hyperlink" Target="https://www.khoslaventures.com/wp-content/uploads/Chipstack-2.png" TargetMode="External"/><Relationship Id="rId34" Type="http://schemas.openxmlformats.org/officeDocument/2006/relationships/hyperlink" Target="https://www.khoslaventures.com/wp-content/uploads/Athena-2.png" TargetMode="External"/><Relationship Id="rId37" Type="http://schemas.openxmlformats.org/officeDocument/2006/relationships/hyperlink" Target="https://www.khoslaventures.com/wp-content/uploads/KV_Highlight-Fundbox.svg" TargetMode="External"/><Relationship Id="rId36" Type="http://schemas.openxmlformats.org/officeDocument/2006/relationships/hyperlink" Target="https://www.khoslaventures.com/wp-content/uploads/Loft.png" TargetMode="External"/><Relationship Id="rId39" Type="http://schemas.openxmlformats.org/officeDocument/2006/relationships/hyperlink" Target="https://www.khoslaventures.com/wp-content/uploads/KV_Highlight-Vayu.svg" TargetMode="External"/><Relationship Id="rId38" Type="http://schemas.openxmlformats.org/officeDocument/2006/relationships/hyperlink" Target="https://www.khoslaventures.com/wp-content/uploads/KV_Highlight-Analog.svg" TargetMode="External"/><Relationship Id="rId20" Type="http://schemas.openxmlformats.org/officeDocument/2006/relationships/hyperlink" Target="https://www.khoslaventures.com/wp-content/uploads/Redoxblox.svg" TargetMode="External"/><Relationship Id="rId22" Type="http://schemas.openxmlformats.org/officeDocument/2006/relationships/hyperlink" Target="https://www.khoslaventures.com/wp-content/uploads/KVPortfolio-VistaAI-White.png" TargetMode="External"/><Relationship Id="rId21" Type="http://schemas.openxmlformats.org/officeDocument/2006/relationships/hyperlink" Target="https://www.khoslaventures.com/wp-content/uploads/Limbic-2.svg" TargetMode="External"/><Relationship Id="rId24" Type="http://schemas.openxmlformats.org/officeDocument/2006/relationships/hyperlink" Target="https://www.khoslaventures.com/wp-content/uploads/Pearl.png" TargetMode="External"/><Relationship Id="rId23" Type="http://schemas.openxmlformats.org/officeDocument/2006/relationships/hyperlink" Target="https://www.khoslaventures.com/wp-content/uploads/KV_Highlight-Opentrons.svg" TargetMode="External"/><Relationship Id="rId26" Type="http://schemas.openxmlformats.org/officeDocument/2006/relationships/hyperlink" Target="https://www.khoslaventures.com/wp-content/uploads/KVPortfolio-Nitricity-White.svg" TargetMode="External"/><Relationship Id="rId25" Type="http://schemas.openxmlformats.org/officeDocument/2006/relationships/hyperlink" Target="https://www.khoslaventures.com/wp-content/uploads/KV_Highlight-Zordi.svg" TargetMode="External"/><Relationship Id="rId28" Type="http://schemas.openxmlformats.org/officeDocument/2006/relationships/hyperlink" Target="https://www.khoslaventures.com/wp-content/uploads/KVPortfolio-Lexion-White.png" TargetMode="External"/><Relationship Id="rId27" Type="http://schemas.openxmlformats.org/officeDocument/2006/relationships/hyperlink" Target="https://www.khoslaventures.com/wp-content/uploads/arkifi.png" TargetMode="External"/><Relationship Id="rId29" Type="http://schemas.openxmlformats.org/officeDocument/2006/relationships/hyperlink" Target="https://www.khoslaventures.com/wp-content/uploads/KVPortfolio-Guardant-White.svg" TargetMode="External"/><Relationship Id="rId11" Type="http://schemas.openxmlformats.org/officeDocument/2006/relationships/hyperlink" Target="https://www.khoslaventures.com/wp-content/uploads/Parallel-Web-2.png" TargetMode="External"/><Relationship Id="rId10" Type="http://schemas.openxmlformats.org/officeDocument/2006/relationships/hyperlink" Target="https://www.khoslaventures.com/wp-content/uploads/KV_Highlight-Neon.svg" TargetMode="External"/><Relationship Id="rId13" Type="http://schemas.openxmlformats.org/officeDocument/2006/relationships/hyperlink" Target="https://www.khoslaventures.com/wp-content/uploads/KV_Highlight-Rubrik.svg" TargetMode="External"/><Relationship Id="rId12" Type="http://schemas.openxmlformats.org/officeDocument/2006/relationships/hyperlink" Target="https://www.khoslaventures.com/wp-content/uploads/KVPortfolio-RingCentral-White.svg" TargetMode="External"/><Relationship Id="rId15" Type="http://schemas.openxmlformats.org/officeDocument/2006/relationships/hyperlink" Target="https://www.khoslaventures.com/wp-content/uploads/KV_Highlight-Roofstock.svg" TargetMode="External"/><Relationship Id="rId14" Type="http://schemas.openxmlformats.org/officeDocument/2006/relationships/hyperlink" Target="https://www.khoslaventures.com/wp-content/uploads/Skyflow.png" TargetMode="External"/><Relationship Id="rId17" Type="http://schemas.openxmlformats.org/officeDocument/2006/relationships/hyperlink" Target="https://www.khoslaventures.com/wp-content/uploads/KVPortfolio-Nomagic-White.svg" TargetMode="External"/><Relationship Id="rId16" Type="http://schemas.openxmlformats.org/officeDocument/2006/relationships/hyperlink" Target="https://www.khoslaventures.com/wp-content/uploads/KV_Highlight-BerkshireGrey.svg" TargetMode="External"/><Relationship Id="rId19" Type="http://schemas.openxmlformats.org/officeDocument/2006/relationships/hyperlink" Target="https://www.khoslaventures.com/wp-content/uploads/KV1_Highlight-BlueRiver.svg" TargetMode="External"/><Relationship Id="rId18" Type="http://schemas.openxmlformats.org/officeDocument/2006/relationships/hyperlink" Target="https://www.khoslaventures.com/wp-content/uploads/Symbolica.png" TargetMode="External"/><Relationship Id="rId84" Type="http://schemas.openxmlformats.org/officeDocument/2006/relationships/hyperlink" Target="https://www.khoslaventures.com/wp-content/uploads/Collaborative.png" TargetMode="External"/><Relationship Id="rId83" Type="http://schemas.openxmlformats.org/officeDocument/2006/relationships/hyperlink" Target="https://www.khoslaventures.com/wp-content/uploads/KV_Highlight-Upandup.svg" TargetMode="External"/><Relationship Id="rId86" Type="http://schemas.openxmlformats.org/officeDocument/2006/relationships/hyperlink" Target="https://www.khoslaventures.com/wp-content/uploads/KVPortfolio-Skybox-White.svg" TargetMode="External"/><Relationship Id="rId85" Type="http://schemas.openxmlformats.org/officeDocument/2006/relationships/hyperlink" Target="https://www.khoslaventures.com/wp-content/uploads/KVPortfolio-Fulfil-White.svg" TargetMode="External"/><Relationship Id="rId88" Type="http://schemas.openxmlformats.org/officeDocument/2006/relationships/hyperlink" Target="https://www.khoslaventures.com/wp-content/uploads/KV_Highlight-Ceibo.svg" TargetMode="External"/><Relationship Id="rId87" Type="http://schemas.openxmlformats.org/officeDocument/2006/relationships/hyperlink" Target="https://www.khoslaventures.com/wp-content/uploads/Windborne.png" TargetMode="External"/><Relationship Id="rId89" Type="http://schemas.openxmlformats.org/officeDocument/2006/relationships/hyperlink" Target="https://www.khoslaventures.com/wp-content/uploads/KV1_Highlight-Leaft.svg" TargetMode="External"/><Relationship Id="rId80" Type="http://schemas.openxmlformats.org/officeDocument/2006/relationships/hyperlink" Target="https://www.khoslaventures.com/wp-content/uploads/Exaforce.png" TargetMode="External"/><Relationship Id="rId82" Type="http://schemas.openxmlformats.org/officeDocument/2006/relationships/hyperlink" Target="https://www.khoslaventures.com/wp-content/uploads/Lead.png" TargetMode="External"/><Relationship Id="rId81" Type="http://schemas.openxmlformats.org/officeDocument/2006/relationships/hyperlink" Target="https://www.khoslaventures.com/wp-content/uploads/KV_Highlight-Aven.svg" TargetMode="External"/><Relationship Id="rId73" Type="http://schemas.openxmlformats.org/officeDocument/2006/relationships/hyperlink" Target="https://www.khoslaventures.com/wp-content/uploads/KVPortfolio-Cellino-White.svg" TargetMode="External"/><Relationship Id="rId72" Type="http://schemas.openxmlformats.org/officeDocument/2006/relationships/hyperlink" Target="https://www.khoslaventures.com/wp-content/uploads/KV_Highlight-BionautLabs.svg" TargetMode="External"/><Relationship Id="rId75" Type="http://schemas.openxmlformats.org/officeDocument/2006/relationships/hyperlink" Target="https://www.khoslaventures.com/wp-content/uploads/KV_Highlight-LiberateBio.svg" TargetMode="External"/><Relationship Id="rId74" Type="http://schemas.openxmlformats.org/officeDocument/2006/relationships/hyperlink" Target="https://www.khoslaventures.com/wp-content/uploads/KVPortfolio-EveryoneMedicines-White.svg" TargetMode="External"/><Relationship Id="rId77" Type="http://schemas.openxmlformats.org/officeDocument/2006/relationships/hyperlink" Target="https://www.khoslaventures.com/wp-content/uploads/KV_Highlight-LightFieldLab.svg" TargetMode="External"/><Relationship Id="rId76" Type="http://schemas.openxmlformats.org/officeDocument/2006/relationships/hyperlink" Target="https://www.khoslaventures.com/wp-content/uploads/KV_Highlight-PrellisBio.svg" TargetMode="External"/><Relationship Id="rId79" Type="http://schemas.openxmlformats.org/officeDocument/2006/relationships/hyperlink" Target="https://www.khoslaventures.com/wp-content/uploads/Somnee.png" TargetMode="External"/><Relationship Id="rId78" Type="http://schemas.openxmlformats.org/officeDocument/2006/relationships/hyperlink" Target="https://www.khoslaventures.com/wp-content/uploads/Luzia-2.svg" TargetMode="External"/><Relationship Id="rId71" Type="http://schemas.openxmlformats.org/officeDocument/2006/relationships/hyperlink" Target="https://www.khoslaventures.com/wp-content/uploads/Overture-Life.png" TargetMode="External"/><Relationship Id="rId70" Type="http://schemas.openxmlformats.org/officeDocument/2006/relationships/hyperlink" Target="https://www.khoslaventures.com/wp-content/uploads/KVPortfolio-Flow-White.svg" TargetMode="External"/><Relationship Id="rId62" Type="http://schemas.openxmlformats.org/officeDocument/2006/relationships/hyperlink" Target="https://www.khoslaventures.com/wp-content/uploads/CFS-1.svg" TargetMode="External"/><Relationship Id="rId61" Type="http://schemas.openxmlformats.org/officeDocument/2006/relationships/hyperlink" Target="https://www.khoslaventures.com/wp-content/uploads/KV_Highlight-Caelux.svg" TargetMode="External"/><Relationship Id="rId64" Type="http://schemas.openxmlformats.org/officeDocument/2006/relationships/hyperlink" Target="https://www.khoslaventures.com/wp-content/uploads/KV1_Highlight-Mainspring.svg" TargetMode="External"/><Relationship Id="rId63" Type="http://schemas.openxmlformats.org/officeDocument/2006/relationships/hyperlink" Target="https://www.khoslaventures.com/wp-content/uploads/KVPortfolio-LanzaTech-White.svg" TargetMode="External"/><Relationship Id="rId66" Type="http://schemas.openxmlformats.org/officeDocument/2006/relationships/hyperlink" Target="https://www.khoslaventures.com/wp-content/uploads/KV1_Highlight-Verdagy.svg" TargetMode="External"/><Relationship Id="rId65" Type="http://schemas.openxmlformats.org/officeDocument/2006/relationships/hyperlink" Target="https://www.khoslaventures.com/wp-content/uploads/KVPortfolio-QuantumScape-White.png" TargetMode="External"/><Relationship Id="rId68" Type="http://schemas.openxmlformats.org/officeDocument/2006/relationships/hyperlink" Target="https://www.khoslaventures.com/wp-content/uploads/KV_Highlight-Rightway.svg" TargetMode="External"/><Relationship Id="rId67" Type="http://schemas.openxmlformats.org/officeDocument/2006/relationships/hyperlink" Target="https://www.khoslaventures.com/wp-content/uploads/Rad-AI.png" TargetMode="External"/><Relationship Id="rId60" Type="http://schemas.openxmlformats.org/officeDocument/2006/relationships/hyperlink" Target="https://www.khoslaventures.com/wp-content/uploads/KV_Highlight-Hermeus.svg" TargetMode="External"/><Relationship Id="rId69" Type="http://schemas.openxmlformats.org/officeDocument/2006/relationships/hyperlink" Target="https://www.khoslaventures.com/wp-content/uploads/Tortus-AI.png" TargetMode="External"/><Relationship Id="rId51" Type="http://schemas.openxmlformats.org/officeDocument/2006/relationships/hyperlink" Target="https://www.khoslaventures.com/wp-content/uploads/KV_Highlight-Cyclance.svg" TargetMode="External"/><Relationship Id="rId50" Type="http://schemas.openxmlformats.org/officeDocument/2006/relationships/hyperlink" Target="https://www.khoslaventures.com/wp-content/uploads/Rabbit.svg" TargetMode="External"/><Relationship Id="rId53" Type="http://schemas.openxmlformats.org/officeDocument/2006/relationships/hyperlink" Target="https://www.khoslaventures.com/wp-content/uploads/KVPortfolio-Nutanix-White.svg" TargetMode="External"/><Relationship Id="rId52" Type="http://schemas.openxmlformats.org/officeDocument/2006/relationships/hyperlink" Target="https://www.khoslaventures.com/wp-content/uploads/KVPortfolio-Moonhub-White.png" TargetMode="External"/><Relationship Id="rId55" Type="http://schemas.openxmlformats.org/officeDocument/2006/relationships/hyperlink" Target="https://www.khoslaventures.com/wp-content/uploads/Sakana-2.svg" TargetMode="External"/><Relationship Id="rId54" Type="http://schemas.openxmlformats.org/officeDocument/2006/relationships/hyperlink" Target="https://www.khoslaventures.com/wp-content/uploads/KV_Highlight-PolyAI.svg" TargetMode="External"/><Relationship Id="rId57" Type="http://schemas.openxmlformats.org/officeDocument/2006/relationships/hyperlink" Target="https://www.khoslaventures.com/wp-content/uploads/KV_Highlight-Vectra.svg" TargetMode="External"/><Relationship Id="rId56" Type="http://schemas.openxmlformats.org/officeDocument/2006/relationships/hyperlink" Target="https://www.khoslaventures.com/wp-content/uploads/Sarvam-ai-1-1.svg" TargetMode="External"/><Relationship Id="rId59" Type="http://schemas.openxmlformats.org/officeDocument/2006/relationships/hyperlink" Target="https://www.khoslaventures.com/wp-content/uploads/KV_Highlight-Upstart.svg" TargetMode="External"/><Relationship Id="rId58" Type="http://schemas.openxmlformats.org/officeDocument/2006/relationships/hyperlink" Target="https://www.khoslaventures.com/wp-content/uploads/KV_Highlight-AtBay.svg" TargetMode="External"/><Relationship Id="rId95" Type="http://schemas.openxmlformats.org/officeDocument/2006/relationships/hyperlink" Target="https://www.khoslaventures.com/wp-content/uploads/Stylus-Med.png" TargetMode="External"/><Relationship Id="rId94" Type="http://schemas.openxmlformats.org/officeDocument/2006/relationships/hyperlink" Target="https://www.khoslaventures.com/wp-content/uploads/KV_Highlight-NextVivo.svg" TargetMode="External"/><Relationship Id="rId97" Type="http://schemas.openxmlformats.org/officeDocument/2006/relationships/hyperlink" Target="https://www.khoslaventures.com/wp-content/uploads/KV_Highlight-Teamshares.svg" TargetMode="External"/><Relationship Id="rId96" Type="http://schemas.openxmlformats.org/officeDocument/2006/relationships/hyperlink" Target="https://www.khoslaventures.com/wp-content/uploads/Vivodyne.png" TargetMode="External"/><Relationship Id="rId99" Type="http://schemas.openxmlformats.org/officeDocument/2006/relationships/hyperlink" Target="https://www.khoslaventures.com/wp-content/uploads/KV_Highlight-Zendar.svg" TargetMode="External"/><Relationship Id="rId98" Type="http://schemas.openxmlformats.org/officeDocument/2006/relationships/hyperlink" Target="https://www.khoslaventures.com/wp-content/uploads/KV_Highlight-Varda.svg" TargetMode="External"/><Relationship Id="rId91" Type="http://schemas.openxmlformats.org/officeDocument/2006/relationships/hyperlink" Target="https://www.khoslaventures.com/wp-content/uploads/Cellfe-2.svg" TargetMode="External"/><Relationship Id="rId90" Type="http://schemas.openxmlformats.org/officeDocument/2006/relationships/hyperlink" Target="https://www.khoslaventures.com/wp-content/uploads/KV_Highlight-Headspace.svg" TargetMode="External"/><Relationship Id="rId93" Type="http://schemas.openxmlformats.org/officeDocument/2006/relationships/hyperlink" Target="https://www.khoslaventures.com/wp-content/uploads/Moonwalk-2.png" TargetMode="External"/><Relationship Id="rId92" Type="http://schemas.openxmlformats.org/officeDocument/2006/relationships/hyperlink" Target="https://www.khoslaventures.com/wp-content/uploads/KV_Highlight-Loyal.svg" TargetMode="External"/><Relationship Id="rId1" Type="http://schemas.openxmlformats.org/officeDocument/2006/relationships/hyperlink" Target="https://www.khoslaventures.com/wp-content/uploads/KVPortfolio-Fireflies.ai-White.svg" TargetMode="External"/><Relationship Id="rId2" Type="http://schemas.openxmlformats.org/officeDocument/2006/relationships/hyperlink" Target="https://www.khoslaventures.com/wp-content/uploads/Sketchpro.png" TargetMode="External"/><Relationship Id="rId3" Type="http://schemas.openxmlformats.org/officeDocument/2006/relationships/hyperlink" Target="https://www.khoslaventures.com/wp-content/uploads/KV_Highlight-Scipher.svg" TargetMode="External"/><Relationship Id="rId4" Type="http://schemas.openxmlformats.org/officeDocument/2006/relationships/hyperlink" Target="https://www.khoslaventures.com/wp-content/uploads/KV_Highlight-Eight.svg" TargetMode="External"/><Relationship Id="rId9" Type="http://schemas.openxmlformats.org/officeDocument/2006/relationships/hyperlink" Target="https://www.khoslaventures.com/wp-content/uploads/Kognitos-3.png" TargetMode="External"/><Relationship Id="rId5" Type="http://schemas.openxmlformats.org/officeDocument/2006/relationships/hyperlink" Target="https://www.khoslaventures.com/wp-content/uploads/Honey-Homes-2.svg" TargetMode="External"/><Relationship Id="rId6" Type="http://schemas.openxmlformats.org/officeDocument/2006/relationships/hyperlink" Target="https://www.khoslaventures.com/wp-content/uploads/KV_Highlight-Splash.svg" TargetMode="External"/><Relationship Id="rId7" Type="http://schemas.openxmlformats.org/officeDocument/2006/relationships/hyperlink" Target="https://www.khoslaventures.com/wp-content/uploads/Astrus.png" TargetMode="External"/><Relationship Id="rId8" Type="http://schemas.openxmlformats.org/officeDocument/2006/relationships/hyperlink" Target="https://www.khoslaventures.com/wp-content/uploads/Cogntion.png" TargetMode="External"/><Relationship Id="rId107" Type="http://schemas.openxmlformats.org/officeDocument/2006/relationships/hyperlink" Target="https://www.khoslaventures.com/wp-content/uploads/KV_Highlight-Vitara.svg" TargetMode="External"/><Relationship Id="rId106" Type="http://schemas.openxmlformats.org/officeDocument/2006/relationships/hyperlink" Target="https://www.khoslaventures.com/wp-content/uploads/KV_Highlight-Vicarious.svg" TargetMode="External"/><Relationship Id="rId105" Type="http://schemas.openxmlformats.org/officeDocument/2006/relationships/hyperlink" Target="https://www.khoslaventures.com/wp-content/uploads/KV_Highlight-CuraiHealth.svg" TargetMode="External"/><Relationship Id="rId104" Type="http://schemas.openxmlformats.org/officeDocument/2006/relationships/hyperlink" Target="https://www.khoslaventures.com/wp-content/uploads/TerraAI.png" TargetMode="External"/><Relationship Id="rId108" Type="http://schemas.openxmlformats.org/officeDocument/2006/relationships/drawing" Target="../drawings/drawing6.xml"/><Relationship Id="rId103" Type="http://schemas.openxmlformats.org/officeDocument/2006/relationships/hyperlink" Target="https://www.khoslaventures.com/wp-content/uploads/Spiritus.svg" TargetMode="External"/><Relationship Id="rId102" Type="http://schemas.openxmlformats.org/officeDocument/2006/relationships/hyperlink" Target="https://www.khoslaventures.com/wp-content/uploads/Realta-1.png" TargetMode="External"/><Relationship Id="rId101" Type="http://schemas.openxmlformats.org/officeDocument/2006/relationships/hyperlink" Target="https://www.khoslaventures.com/wp-content/uploads/koloma.png" TargetMode="External"/><Relationship Id="rId100" Type="http://schemas.openxmlformats.org/officeDocument/2006/relationships/hyperlink" Target="https://www.khoslaventures.com/wp-content/uploads/KV_Highlight-Glydways.svg" TargetMode="External"/></Relationships>
</file>

<file path=xl/worksheets/_rels/sheet7.xml.rels><?xml version="1.0" encoding="UTF-8" standalone="yes"?><Relationships xmlns="http://schemas.openxmlformats.org/package/2006/relationships"><Relationship Id="rId392" Type="http://schemas.openxmlformats.org/officeDocument/2006/relationships/hyperlink" Target="https://bookface-images.s3.amazonaws.com/small_logos/f839e103f7e1028b0f7e89364155b4822a02357c.png" TargetMode="External"/><Relationship Id="rId391" Type="http://schemas.openxmlformats.org/officeDocument/2006/relationships/hyperlink" Target="https://bookface-images.s3.amazonaws.com/small_logos/98c81b58887d29ebe7bf174d8feef71f4ae64b25.png" TargetMode="External"/><Relationship Id="rId390" Type="http://schemas.openxmlformats.org/officeDocument/2006/relationships/hyperlink" Target="https://bookface-images.s3.amazonaws.com/small_logos/c38f4fd804cb3af2c6c3f749644efdff401f0a2c.png" TargetMode="External"/><Relationship Id="rId385" Type="http://schemas.openxmlformats.org/officeDocument/2006/relationships/hyperlink" Target="https://bookface-images.s3.amazonaws.com/small_logos/d2e2140644182cb7ec4a70381a94543d8c8de82a.png" TargetMode="External"/><Relationship Id="rId384" Type="http://schemas.openxmlformats.org/officeDocument/2006/relationships/hyperlink" Target="https://bookface-images.s3.amazonaws.com/small_logos/9e95c084b565d46c789767d2ecb4d17aca814585.png" TargetMode="External"/><Relationship Id="rId383" Type="http://schemas.openxmlformats.org/officeDocument/2006/relationships/hyperlink" Target="https://bookface-images.s3.amazonaws.com/small_logos/ade195fb171ec12fecc274a79f8d990383bd7142.png" TargetMode="External"/><Relationship Id="rId382" Type="http://schemas.openxmlformats.org/officeDocument/2006/relationships/hyperlink" Target="https://bookface-images.s3.amazonaws.com/small_logos/be982807a0a8b2d7a22e6247219e680616ddd517.png" TargetMode="External"/><Relationship Id="rId389" Type="http://schemas.openxmlformats.org/officeDocument/2006/relationships/hyperlink" Target="https://bookface-images.s3.amazonaws.com/small_logos/a1eda5fbe5161f15b09714a408c3288e4f948adf.png" TargetMode="External"/><Relationship Id="rId388" Type="http://schemas.openxmlformats.org/officeDocument/2006/relationships/hyperlink" Target="https://bookface-images.s3.amazonaws.com/small_logos/1d0bf05671926ad00ff8728c45f6416fb329f300.png" TargetMode="External"/><Relationship Id="rId387" Type="http://schemas.openxmlformats.org/officeDocument/2006/relationships/hyperlink" Target="https://bookface-images.s3.amazonaws.com/small_logos/4fdfe6ee3e3551142b62a5144a0c5d6494e9c0ac.png" TargetMode="External"/><Relationship Id="rId386" Type="http://schemas.openxmlformats.org/officeDocument/2006/relationships/hyperlink" Target="https://bookface-images.s3.amazonaws.com/small_logos/98189b51f5b6f25d164e611f2ea6a3c5f972de3f.png" TargetMode="External"/><Relationship Id="rId381" Type="http://schemas.openxmlformats.org/officeDocument/2006/relationships/hyperlink" Target="https://bookface-images.s3.amazonaws.com/small_logos/6b7be3c4ba661d5b0f410a12fded0d9add5f93d1.png" TargetMode="External"/><Relationship Id="rId380" Type="http://schemas.openxmlformats.org/officeDocument/2006/relationships/hyperlink" Target="https://bookface-images.s3.amazonaws.com/small_logos/73b0dfdeb1c9238884730f0ea6e15baf17611120.png" TargetMode="External"/><Relationship Id="rId379" Type="http://schemas.openxmlformats.org/officeDocument/2006/relationships/hyperlink" Target="https://bookface-images.s3.amazonaws.com/small_logos/dc8d28e84cb985c9cc0b597aae845c99c32f9a23.png" TargetMode="External"/><Relationship Id="rId374" Type="http://schemas.openxmlformats.org/officeDocument/2006/relationships/hyperlink" Target="https://bookface-images.s3.amazonaws.com/small_logos/d9238e86542fecb16b8599ba8f4748c9160f7266.png" TargetMode="External"/><Relationship Id="rId373" Type="http://schemas.openxmlformats.org/officeDocument/2006/relationships/hyperlink" Target="http://meru.com" TargetMode="External"/><Relationship Id="rId372" Type="http://schemas.openxmlformats.org/officeDocument/2006/relationships/hyperlink" Target="https://bookface-images.s3.amazonaws.com/small_logos/00edfb93127d4366b2f890aa7fb0274a122e45c2.png" TargetMode="External"/><Relationship Id="rId371" Type="http://schemas.openxmlformats.org/officeDocument/2006/relationships/hyperlink" Target="https://bookface-images.s3.amazonaws.com/small_logos/69aff41aabfb54d70629bb4411a828953bd10011.png" TargetMode="External"/><Relationship Id="rId378" Type="http://schemas.openxmlformats.org/officeDocument/2006/relationships/hyperlink" Target="https://bookface-images.s3.amazonaws.com/small_logos/fedf74c9ad94dc349198477810eed3f94568f7ec.png" TargetMode="External"/><Relationship Id="rId377" Type="http://schemas.openxmlformats.org/officeDocument/2006/relationships/hyperlink" Target="https://bookface-images.s3.amazonaws.com/small_logos/aa2c854ed688cf4ff0f5cf7f48786c533f00b943.png" TargetMode="External"/><Relationship Id="rId376" Type="http://schemas.openxmlformats.org/officeDocument/2006/relationships/hyperlink" Target="https://bookface-images.s3.amazonaws.com/small_logos/d405f124083ad95be24745d98de294a71b7cf71c.png" TargetMode="External"/><Relationship Id="rId375" Type="http://schemas.openxmlformats.org/officeDocument/2006/relationships/hyperlink" Target="https://bookface-images.s3.amazonaws.com/small_logos/cf76de4e9247f1df01330ed971ece0949a9f6c87.png" TargetMode="External"/><Relationship Id="rId396" Type="http://schemas.openxmlformats.org/officeDocument/2006/relationships/hyperlink" Target="https://bookface-images.s3.amazonaws.com/small_logos/7f3a9eb63a2c18f13705cd10ff1859e90dbff5bb.png" TargetMode="External"/><Relationship Id="rId395" Type="http://schemas.openxmlformats.org/officeDocument/2006/relationships/hyperlink" Target="https://bookface-images.s3.amazonaws.com/small_logos/0e506d56d7c881b7aaf4341d22a276be88c1ec16.png" TargetMode="External"/><Relationship Id="rId394" Type="http://schemas.openxmlformats.org/officeDocument/2006/relationships/hyperlink" Target="https://bookface-images.s3.amazonaws.com/small_logos/13df6243cbbce163d95235b9604ed80a95d8e734.png" TargetMode="External"/><Relationship Id="rId393" Type="http://schemas.openxmlformats.org/officeDocument/2006/relationships/hyperlink" Target="https://bookface-images.s3.amazonaws.com/small_logos/25b0dd2e6d40928386efa49045651d24ad82e60b.png" TargetMode="External"/><Relationship Id="rId399" Type="http://schemas.openxmlformats.org/officeDocument/2006/relationships/hyperlink" Target="https://bookface-images.s3.amazonaws.com/small_logos/2a434704677560934762a7eb4897fecdba24c9e7.png" TargetMode="External"/><Relationship Id="rId398" Type="http://schemas.openxmlformats.org/officeDocument/2006/relationships/hyperlink" Target="https://bookface-images.s3.amazonaws.com/small_logos/f860b32ddb9b39b9b1ae8c22f0c17f140dc5e9d4.png" TargetMode="External"/><Relationship Id="rId397" Type="http://schemas.openxmlformats.org/officeDocument/2006/relationships/hyperlink" Target="https://bookface-images.s3.amazonaws.com/small_logos/873e6a24dc0099a9092da2dab96e2393961c5ecb.png" TargetMode="External"/><Relationship Id="rId40" Type="http://schemas.openxmlformats.org/officeDocument/2006/relationships/hyperlink" Target="https://bookface-images.s3.amazonaws.com/small_logos/9e3ab6dfee04b0656a2f1305abae1a3f240453a1.png" TargetMode="External"/><Relationship Id="rId42" Type="http://schemas.openxmlformats.org/officeDocument/2006/relationships/hyperlink" Target="https://bookface-images.s3.amazonaws.com/small_logos/5c5e4db7724db9cc411212c0a36b0c2b276b67e7.png" TargetMode="External"/><Relationship Id="rId41" Type="http://schemas.openxmlformats.org/officeDocument/2006/relationships/hyperlink" Target="https://bookface-images.s3.amazonaws.com/small_logos/4857d95e94326dab2796fc4935e39cb912bd34e3.png" TargetMode="External"/><Relationship Id="rId44" Type="http://schemas.openxmlformats.org/officeDocument/2006/relationships/hyperlink" Target="https://bookface-images.s3.amazonaws.com/small_logos/8b1c3c4a91e008bf2dae946586ed7d25fa59ec49.png" TargetMode="External"/><Relationship Id="rId43" Type="http://schemas.openxmlformats.org/officeDocument/2006/relationships/hyperlink" Target="https://bookface-images.s3.amazonaws.com/small_logos/8b1c3c4a91e008bf2dae946586ed7d25fa59ec49.png" TargetMode="External"/><Relationship Id="rId46" Type="http://schemas.openxmlformats.org/officeDocument/2006/relationships/hyperlink" Target="https://bookface-images.s3.amazonaws.com/small_logos/1201a58c5de47a287ab4ea6a262a2598a1e6f3af.png" TargetMode="External"/><Relationship Id="rId45" Type="http://schemas.openxmlformats.org/officeDocument/2006/relationships/hyperlink" Target="https://bookface-images.s3.amazonaws.com/small_logos/290c0065a5ffe07236a3cc433e4c722863914784.png" TargetMode="External"/><Relationship Id="rId48" Type="http://schemas.openxmlformats.org/officeDocument/2006/relationships/hyperlink" Target="https://bookface-images.s3.amazonaws.com/small_logos/35b93ab2671a1397037aa92e0703d5f6c2ec0fba.png" TargetMode="External"/><Relationship Id="rId47" Type="http://schemas.openxmlformats.org/officeDocument/2006/relationships/hyperlink" Target="https://bookface-images.s3.amazonaws.com/small_logos/0da6fd5bf7648bc26ba469b7a2a03b08186196dd.png" TargetMode="External"/><Relationship Id="rId49" Type="http://schemas.openxmlformats.org/officeDocument/2006/relationships/hyperlink" Target="https://bookface-images.s3.amazonaws.com/small_logos/428feb2a5e495458be88abd1793ebca289d4798b.png" TargetMode="External"/><Relationship Id="rId31" Type="http://schemas.openxmlformats.org/officeDocument/2006/relationships/hyperlink" Target="https://bookface-images.s3.amazonaws.com/small_logos/8b3eab0f3f7a93ab29c8cd0078890fd2b01b0cc9.png" TargetMode="External"/><Relationship Id="rId30" Type="http://schemas.openxmlformats.org/officeDocument/2006/relationships/hyperlink" Target="https://bookface-images.s3.amazonaws.com/small_logos/cc47caa7e31fea5c360f9785c10119a3bfcafbe8.png" TargetMode="External"/><Relationship Id="rId33" Type="http://schemas.openxmlformats.org/officeDocument/2006/relationships/hyperlink" Target="https://bookface-images.s3.amazonaws.com/small_logos/cd493d3173a7c398db40f624d4168ca0dc51665c.png" TargetMode="External"/><Relationship Id="rId32" Type="http://schemas.openxmlformats.org/officeDocument/2006/relationships/hyperlink" Target="https://bookface-images.s3.amazonaws.com/small_logos/b3127fdf5e5c4be37c6ea79ff2812b08ce513d40.png" TargetMode="External"/><Relationship Id="rId35" Type="http://schemas.openxmlformats.org/officeDocument/2006/relationships/hyperlink" Target="https://bookface-images.s3.amazonaws.com/small_logos/88a29ec13035e5082aa0fc15b5e1d34257c60895.png" TargetMode="External"/><Relationship Id="rId34" Type="http://schemas.openxmlformats.org/officeDocument/2006/relationships/hyperlink" Target="https://bookface-images.s3.amazonaws.com/small_logos/88a29ec13035e5082aa0fc15b5e1d34257c60895.png" TargetMode="External"/><Relationship Id="rId37" Type="http://schemas.openxmlformats.org/officeDocument/2006/relationships/hyperlink" Target="https://bookface-images.s3.amazonaws.com/small_logos/c34e2e7cee5cb8a890e2123c1f9f8621bd9f7e45.png" TargetMode="External"/><Relationship Id="rId36" Type="http://schemas.openxmlformats.org/officeDocument/2006/relationships/hyperlink" Target="https://bookface-images.s3.amazonaws.com/small_logos/621ac44e76ec8f002f47c567b4533df1d318abcc.png" TargetMode="External"/><Relationship Id="rId39" Type="http://schemas.openxmlformats.org/officeDocument/2006/relationships/hyperlink" Target="https://bookface-images.s3.amazonaws.com/small_logos/75747b61e59eadbd8831c406fbe1beed2fd4957b.png" TargetMode="External"/><Relationship Id="rId38" Type="http://schemas.openxmlformats.org/officeDocument/2006/relationships/hyperlink" Target="https://bookface-images.s3.amazonaws.com/small_logos/a50be8732ac92931d91e10a75379eb7b6b844ab1.png" TargetMode="External"/><Relationship Id="rId20" Type="http://schemas.openxmlformats.org/officeDocument/2006/relationships/hyperlink" Target="https://bookface-images.s3.amazonaws.com/small_logos/637e029a9dd28023684af2fb257e1a2adbe4db31.png" TargetMode="External"/><Relationship Id="rId22" Type="http://schemas.openxmlformats.org/officeDocument/2006/relationships/hyperlink" Target="https://bookface-images.s3.amazonaws.com/small_logos/e209d278473c98c7356a71ec3f7357fa784222a3.png" TargetMode="External"/><Relationship Id="rId21" Type="http://schemas.openxmlformats.org/officeDocument/2006/relationships/hyperlink" Target="https://bookface-images.s3.amazonaws.com/small_logos/970b0a4ef3d00dbfd511f2fe9ccdb3e524078221.png" TargetMode="External"/><Relationship Id="rId24" Type="http://schemas.openxmlformats.org/officeDocument/2006/relationships/hyperlink" Target="https://bookface-images.s3.amazonaws.com/small_logos/3aa68965eefe42dc96e16073740dae2087ad188f.png" TargetMode="External"/><Relationship Id="rId23" Type="http://schemas.openxmlformats.org/officeDocument/2006/relationships/hyperlink" Target="https://bookface-images.s3.amazonaws.com/small_logos/4cad69ca6c0d7b0893e00fda5e3fc74251d91fb9.png" TargetMode="External"/><Relationship Id="rId26" Type="http://schemas.openxmlformats.org/officeDocument/2006/relationships/hyperlink" Target="https://bookface-images.s3.amazonaws.com/small_logos/067a567fc6eee729415d72514491e970329e357d.png" TargetMode="External"/><Relationship Id="rId25" Type="http://schemas.openxmlformats.org/officeDocument/2006/relationships/hyperlink" Target="https://bookface-images.s3.amazonaws.com/small_logos/911263357a6383968942bb9fe2d9288aa036b92e.png" TargetMode="External"/><Relationship Id="rId28" Type="http://schemas.openxmlformats.org/officeDocument/2006/relationships/hyperlink" Target="https://bookface-images.s3.amazonaws.com/small_logos/2cd8af0cab42bc6084be64d866151163c3120d15.png" TargetMode="External"/><Relationship Id="rId27" Type="http://schemas.openxmlformats.org/officeDocument/2006/relationships/hyperlink" Target="https://bookface-images.s3.amazonaws.com/small_logos/45a420bd235fd41d8ee714d37c421a5f053f3657.png" TargetMode="External"/><Relationship Id="rId29" Type="http://schemas.openxmlformats.org/officeDocument/2006/relationships/hyperlink" Target="https://bookface-images.s3.amazonaws.com/small_logos/a5c69ec33755d985775fbfb96b7d715538abbd37.png" TargetMode="External"/><Relationship Id="rId11" Type="http://schemas.openxmlformats.org/officeDocument/2006/relationships/hyperlink" Target="https://bookface-images.s3.amazonaws.com/small_logos/99d6144bd15df315cd76d735be86467d893d772a.png" TargetMode="External"/><Relationship Id="rId10" Type="http://schemas.openxmlformats.org/officeDocument/2006/relationships/hyperlink" Target="https://bookface-images.s3.amazonaws.com/small_logos/3e26c677c431ea29e44d25107bafd6e19ac2839e.png" TargetMode="External"/><Relationship Id="rId13" Type="http://schemas.openxmlformats.org/officeDocument/2006/relationships/hyperlink" Target="https://bookface-images.s3.amazonaws.com/small_logos/3818df985d5f502f5dc4a6816903ce174528467f.png" TargetMode="External"/><Relationship Id="rId12" Type="http://schemas.openxmlformats.org/officeDocument/2006/relationships/hyperlink" Target="https://bookface-images.s3.amazonaws.com/small_logos/99d6144bd15df315cd76d735be86467d893d772a.png" TargetMode="External"/><Relationship Id="rId15" Type="http://schemas.openxmlformats.org/officeDocument/2006/relationships/hyperlink" Target="https://bookface-images.s3.amazonaws.com/small_logos/995749b249373d88528eca173b29dc4d2d8e77da.png" TargetMode="External"/><Relationship Id="rId14" Type="http://schemas.openxmlformats.org/officeDocument/2006/relationships/hyperlink" Target="https://bookface-images.s3.amazonaws.com/small_logos/995749b249373d88528eca173b29dc4d2d8e77da.png" TargetMode="External"/><Relationship Id="rId17" Type="http://schemas.openxmlformats.org/officeDocument/2006/relationships/hyperlink" Target="http://socap.ai" TargetMode="External"/><Relationship Id="rId16" Type="http://schemas.openxmlformats.org/officeDocument/2006/relationships/hyperlink" Target="https://bookface-images.s3.amazonaws.com/small_logos/91a2527875c81ede160e36ea318e02945c2b588d.png" TargetMode="External"/><Relationship Id="rId19" Type="http://schemas.openxmlformats.org/officeDocument/2006/relationships/hyperlink" Target="https://bookface-images.s3.amazonaws.com/small_logos/2f909fcfa4b1bfac3a61c82e3d1b8ee42e93bf79.png" TargetMode="External"/><Relationship Id="rId18" Type="http://schemas.openxmlformats.org/officeDocument/2006/relationships/hyperlink" Target="https://bookface-images.s3.amazonaws.com/small_logos/a0d359323a088882f5c78f86aabe906060961e19.png" TargetMode="External"/><Relationship Id="rId84" Type="http://schemas.openxmlformats.org/officeDocument/2006/relationships/hyperlink" Target="https://bookface-images.s3.amazonaws.com/small_logos/e9bc3a224a6ab03aa39009f5213c25815ae6a7d5.png" TargetMode="External"/><Relationship Id="rId83" Type="http://schemas.openxmlformats.org/officeDocument/2006/relationships/hyperlink" Target="https://bookface-images.s3.amazonaws.com/small_logos/26b425639c740c8e014304e1ad6412f83c2d1dba.png" TargetMode="External"/><Relationship Id="rId86" Type="http://schemas.openxmlformats.org/officeDocument/2006/relationships/hyperlink" Target="https://bookface-images.s3.amazonaws.com/small_logos/688b5c2786948f05b6cdae30e72d3113fea715bb.png" TargetMode="External"/><Relationship Id="rId85" Type="http://schemas.openxmlformats.org/officeDocument/2006/relationships/hyperlink" Target="https://bookface-images.s3.amazonaws.com/small_logos/53ea4d51af442b2e772375c2d3b30d3170a36f20.png" TargetMode="External"/><Relationship Id="rId88" Type="http://schemas.openxmlformats.org/officeDocument/2006/relationships/hyperlink" Target="https://bookface-images.s3.amazonaws.com/small_logos/711701aab43e1cf32d5d6f30ef959de45cbc80c1.png" TargetMode="External"/><Relationship Id="rId87" Type="http://schemas.openxmlformats.org/officeDocument/2006/relationships/hyperlink" Target="https://bookface-images.s3.amazonaws.com/small_logos/fc4c9a8bb7a853c14be4dac967fb9717f36fca1c.png" TargetMode="External"/><Relationship Id="rId89" Type="http://schemas.openxmlformats.org/officeDocument/2006/relationships/hyperlink" Target="https://bookface-images.s3.amazonaws.com/small_logos/5081dc0b5cc701ef9510fa5b027a59ab3401b472.png" TargetMode="External"/><Relationship Id="rId80" Type="http://schemas.openxmlformats.org/officeDocument/2006/relationships/hyperlink" Target="https://bookface-images.s3.amazonaws.com/small_logos/7fbfc5106c32c35b1a0242652667b0ea1ceb47b8.png" TargetMode="External"/><Relationship Id="rId82" Type="http://schemas.openxmlformats.org/officeDocument/2006/relationships/hyperlink" Target="https://bookface-images.s3.amazonaws.com/small_logos/d64a8d4a7fd2ff08cd85f22f8bd8525fd1a2a965.png" TargetMode="External"/><Relationship Id="rId81" Type="http://schemas.openxmlformats.org/officeDocument/2006/relationships/hyperlink" Target="https://bookface-images.s3.amazonaws.com/small_logos/c516ed5054847ecb1afb63f795f712b8d5c7f23d.png" TargetMode="External"/><Relationship Id="rId73" Type="http://schemas.openxmlformats.org/officeDocument/2006/relationships/hyperlink" Target="https://bookface-images.s3.amazonaws.com/small_logos/abd74929259a8edfae6670bf2b3306e002e8064a.png" TargetMode="External"/><Relationship Id="rId72" Type="http://schemas.openxmlformats.org/officeDocument/2006/relationships/hyperlink" Target="https://bookface-images.s3.amazonaws.com/small_logos/418fe819ff51f7a93e3dfa5ef6d26990a3053c22.png" TargetMode="External"/><Relationship Id="rId75" Type="http://schemas.openxmlformats.org/officeDocument/2006/relationships/hyperlink" Target="https://bookface-images.s3.amazonaws.com/small_logos/98ad9900ef7f6da311cde40df3e919b54084a4ba.png" TargetMode="External"/><Relationship Id="rId74" Type="http://schemas.openxmlformats.org/officeDocument/2006/relationships/hyperlink" Target="https://bookface-images.s3.amazonaws.com/small_logos/c6034119b98e2931dff82142dcd69ad4993b8c77.png" TargetMode="External"/><Relationship Id="rId77" Type="http://schemas.openxmlformats.org/officeDocument/2006/relationships/hyperlink" Target="https://bookface-images.s3.amazonaws.com/small_logos/95bd3baee270d1b082340a1d56709977638c161c.png" TargetMode="External"/><Relationship Id="rId76" Type="http://schemas.openxmlformats.org/officeDocument/2006/relationships/hyperlink" Target="https://bookface-images.s3.amazonaws.com/small_logos/287995687a9786c7778f274e8e79316c0534ed44.png" TargetMode="External"/><Relationship Id="rId79" Type="http://schemas.openxmlformats.org/officeDocument/2006/relationships/hyperlink" Target="https://bookface-images.s3.amazonaws.com/small_logos/ea7226636e49fe4dde4372e69139e8b1c7429ecd.png" TargetMode="External"/><Relationship Id="rId78" Type="http://schemas.openxmlformats.org/officeDocument/2006/relationships/hyperlink" Target="https://bookface-images.s3.amazonaws.com/small_logos/26789e46d6456ae17e25d6e964c47f65717f0e92.png" TargetMode="External"/><Relationship Id="rId71" Type="http://schemas.openxmlformats.org/officeDocument/2006/relationships/hyperlink" Target="https://bookface-images.s3.amazonaws.com/small_logos/418fe819ff51f7a93e3dfa5ef6d26990a3053c22.png" TargetMode="External"/><Relationship Id="rId70" Type="http://schemas.openxmlformats.org/officeDocument/2006/relationships/hyperlink" Target="https://bookface-images.s3.amazonaws.com/small_logos/7b71e1e8adce18f87e8ef73ee6a188e9e025e033.png" TargetMode="External"/><Relationship Id="rId62" Type="http://schemas.openxmlformats.org/officeDocument/2006/relationships/hyperlink" Target="https://bookface-images.s3.amazonaws.com/small_logos/497093f34ecc13678b906d7569a6740cbcbb4952.png" TargetMode="External"/><Relationship Id="rId61" Type="http://schemas.openxmlformats.org/officeDocument/2006/relationships/hyperlink" Target="https://bookface-images.s3.amazonaws.com/small_logos/20c74945d30965bb5d2101fd68ae3e99cc624985.png" TargetMode="External"/><Relationship Id="rId64" Type="http://schemas.openxmlformats.org/officeDocument/2006/relationships/hyperlink" Target="https://bookface-images.s3.amazonaws.com/small_logos/1265ce908f9437a3001af3e36bdbbfd9a00821ca.png" TargetMode="External"/><Relationship Id="rId63" Type="http://schemas.openxmlformats.org/officeDocument/2006/relationships/hyperlink" Target="https://bookface-images.s3.amazonaws.com/small_logos/d21edd589862cd64f905545df119c53426538c8d.png" TargetMode="External"/><Relationship Id="rId66" Type="http://schemas.openxmlformats.org/officeDocument/2006/relationships/hyperlink" Target="https://bookface-images.s3.amazonaws.com/small_logos/0e3da00ac0f6b66a7e896be53679d01b6fe5fd45.png" TargetMode="External"/><Relationship Id="rId65" Type="http://schemas.openxmlformats.org/officeDocument/2006/relationships/hyperlink" Target="https://bookface-images.s3.amazonaws.com/small_logos/614919230c549139251a7066248014fc2bb86bb7.png" TargetMode="External"/><Relationship Id="rId68" Type="http://schemas.openxmlformats.org/officeDocument/2006/relationships/hyperlink" Target="https://bookface-images.s3.amazonaws.com/small_logos/90725285723955c6a718c11c6de42fac109093c5.png" TargetMode="External"/><Relationship Id="rId67" Type="http://schemas.openxmlformats.org/officeDocument/2006/relationships/hyperlink" Target="https://bookface-images.s3.amazonaws.com/small_logos/7b3b44ab11047bbfddb4bfe44c9d2d3c87027258.png" TargetMode="External"/><Relationship Id="rId60" Type="http://schemas.openxmlformats.org/officeDocument/2006/relationships/hyperlink" Target="https://bookface-images.s3.amazonaws.com/small_logos/1291f709de04bd35266cafcf047e0cc80f5b1280.png" TargetMode="External"/><Relationship Id="rId69" Type="http://schemas.openxmlformats.org/officeDocument/2006/relationships/hyperlink" Target="https://bookface-images.s3.amazonaws.com/small_logos/4c17a303b95defe0b51fc282067b942a4dbdaa25.png" TargetMode="External"/><Relationship Id="rId51" Type="http://schemas.openxmlformats.org/officeDocument/2006/relationships/hyperlink" Target="https://bookface-images.s3.amazonaws.com/small_logos/4c19e5f223f5e07fad692fb4bea179778c08b018.png" TargetMode="External"/><Relationship Id="rId50" Type="http://schemas.openxmlformats.org/officeDocument/2006/relationships/hyperlink" Target="https://bookface-images.s3.amazonaws.com/small_logos/6519c1c9ffc92217f36449c3d731f02ef19aedb2.png" TargetMode="External"/><Relationship Id="rId53" Type="http://schemas.openxmlformats.org/officeDocument/2006/relationships/hyperlink" Target="https://bookface-images.s3.amazonaws.com/small_logos/565db1f58d2ff6409bb5c8eb3aefcdbc3f515329.png" TargetMode="External"/><Relationship Id="rId52" Type="http://schemas.openxmlformats.org/officeDocument/2006/relationships/hyperlink" Target="https://bookface-images.s3.amazonaws.com/small_logos/1f26d831f2c3961adfb05a98f923a285cd1aa50e.png" TargetMode="External"/><Relationship Id="rId55" Type="http://schemas.openxmlformats.org/officeDocument/2006/relationships/hyperlink" Target="https://bookface-images.s3.amazonaws.com/small_logos/d2bd98c7cb8de435d88c71bda24056e4db21bc5f.png" TargetMode="External"/><Relationship Id="rId54" Type="http://schemas.openxmlformats.org/officeDocument/2006/relationships/hyperlink" Target="https://bookface-images.s3.amazonaws.com/small_logos/d914e5099612c52b407ca205a19346b7915e770f.png" TargetMode="External"/><Relationship Id="rId57" Type="http://schemas.openxmlformats.org/officeDocument/2006/relationships/hyperlink" Target="https://bookface-images.s3.amazonaws.com/small_logos/ba6801f432e8bfe7e4b8428c160da89816133ee9.png" TargetMode="External"/><Relationship Id="rId56" Type="http://schemas.openxmlformats.org/officeDocument/2006/relationships/hyperlink" Target="https://bookface-images.s3.amazonaws.com/small_logos/780b4e13b382139633e716a4aa5a74afed2cbe10.png" TargetMode="External"/><Relationship Id="rId59" Type="http://schemas.openxmlformats.org/officeDocument/2006/relationships/hyperlink" Target="https://bookface-images.s3.amazonaws.com/small_logos/665420abe7a2a638f961788b9da9b46a44702dfd.png" TargetMode="External"/><Relationship Id="rId58" Type="http://schemas.openxmlformats.org/officeDocument/2006/relationships/hyperlink" Target="https://bookface-images.s3.amazonaws.com/small_logos/e168db75ab4f6e439a5dece49f30bdbbbedfd7f6.png" TargetMode="External"/><Relationship Id="rId349" Type="http://schemas.openxmlformats.org/officeDocument/2006/relationships/hyperlink" Target="https://bookface-images.s3.amazonaws.com/small_logos/ecc7e8c288b10148057bc68d0b6b2bb86b0fcdc6.png" TargetMode="External"/><Relationship Id="rId348" Type="http://schemas.openxmlformats.org/officeDocument/2006/relationships/hyperlink" Target="https://bookface-images.s3.amazonaws.com/small_logos/29939f1cfbd3fe315d3ded8f43c33775de6b9c89.png" TargetMode="External"/><Relationship Id="rId347" Type="http://schemas.openxmlformats.org/officeDocument/2006/relationships/hyperlink" Target="https://bookface-images.s3.amazonaws.com/small_logos/c20d11e986368dc6d97c924d4d62583ec9585a01.png" TargetMode="External"/><Relationship Id="rId346" Type="http://schemas.openxmlformats.org/officeDocument/2006/relationships/hyperlink" Target="https://bookface-images.s3.amazonaws.com/small_logos/622d1a1575c6b2aa9e5581889aff53e6bd867289.png" TargetMode="External"/><Relationship Id="rId341" Type="http://schemas.openxmlformats.org/officeDocument/2006/relationships/hyperlink" Target="https://bookface-images.s3.amazonaws.com/small_logos/e62eb8fc8bb104db629027f029c23e342c23d7f2.png" TargetMode="External"/><Relationship Id="rId340" Type="http://schemas.openxmlformats.org/officeDocument/2006/relationships/hyperlink" Target="https://bookface-images.s3.amazonaws.com/small_logos/3c79d80de8f1c859dfa1ed888601f47888bb8f4b.png" TargetMode="External"/><Relationship Id="rId345" Type="http://schemas.openxmlformats.org/officeDocument/2006/relationships/hyperlink" Target="http://konta.com" TargetMode="External"/><Relationship Id="rId344" Type="http://schemas.openxmlformats.org/officeDocument/2006/relationships/hyperlink" Target="https://bookface-images.s3.amazonaws.com/small_logos/1ea96f644bc25cfeaa1198b5db442e95f63b56b4.png" TargetMode="External"/><Relationship Id="rId343" Type="http://schemas.openxmlformats.org/officeDocument/2006/relationships/hyperlink" Target="https://bookface-images.s3.amazonaws.com/small_logos/3663c3ac728bfa42632af932ea3bfd56b28a9239.png" TargetMode="External"/><Relationship Id="rId342" Type="http://schemas.openxmlformats.org/officeDocument/2006/relationships/hyperlink" Target="https://bookface-images.s3.amazonaws.com/small_logos/8fbed2b65acfc0ba30a15ec3e34a5585d8624b9c.png" TargetMode="External"/><Relationship Id="rId338" Type="http://schemas.openxmlformats.org/officeDocument/2006/relationships/hyperlink" Target="https://bookface-images.s3.amazonaws.com/small_logos/6c8f5c4943929604147699496cec762e6182921b.png" TargetMode="External"/><Relationship Id="rId337" Type="http://schemas.openxmlformats.org/officeDocument/2006/relationships/hyperlink" Target="https://bookface-images.s3.amazonaws.com/small_logos/f06ad45b7f49712e329e6cfd50db0616164f6ce0.png" TargetMode="External"/><Relationship Id="rId336" Type="http://schemas.openxmlformats.org/officeDocument/2006/relationships/hyperlink" Target="https://bookface-images.s3.amazonaws.com/small_logos/69eb01b9a77c8101b0acffcb7de83b989be1a2ed.png" TargetMode="External"/><Relationship Id="rId335" Type="http://schemas.openxmlformats.org/officeDocument/2006/relationships/hyperlink" Target="https://bookface-images.s3.amazonaws.com/small_logos/14a1841964a7b67a276aa01bfe4416451177ed93.png" TargetMode="External"/><Relationship Id="rId339" Type="http://schemas.openxmlformats.org/officeDocument/2006/relationships/hyperlink" Target="https://bookface-images.s3.amazonaws.com/small_logos/3a973399e59c8f4e8a780a1b7de322e6fff79878.png" TargetMode="External"/><Relationship Id="rId330" Type="http://schemas.openxmlformats.org/officeDocument/2006/relationships/hyperlink" Target="https://bookface-images.s3.amazonaws.com/small_logos/4c333bc20547915ff3daa523d6f51721837974bc.png" TargetMode="External"/><Relationship Id="rId334" Type="http://schemas.openxmlformats.org/officeDocument/2006/relationships/hyperlink" Target="https://bookface-images.s3.amazonaws.com/small_logos/3dd0767f5aa369853ca43c4cfdc902eda25965f9.png" TargetMode="External"/><Relationship Id="rId333" Type="http://schemas.openxmlformats.org/officeDocument/2006/relationships/hyperlink" Target="https://bookface-images.s3.amazonaws.com/small_logos/db834b21af4ce2705ca320994110533bc0a0b2c6.png" TargetMode="External"/><Relationship Id="rId332" Type="http://schemas.openxmlformats.org/officeDocument/2006/relationships/hyperlink" Target="https://bookface-images.s3.amazonaws.com/small_logos/d2e3c9b022819f2037f731e715774474465db9c7.png" TargetMode="External"/><Relationship Id="rId331" Type="http://schemas.openxmlformats.org/officeDocument/2006/relationships/hyperlink" Target="https://bookface-images.s3.amazonaws.com/small_logos/e054eb9c71bc1227e5948307d9af61a46a784d79.png" TargetMode="External"/><Relationship Id="rId370" Type="http://schemas.openxmlformats.org/officeDocument/2006/relationships/hyperlink" Target="https://bookface-images.s3.amazonaws.com/small_logos/b0fa48b99116985657fd362e4dcb5948c48c050d.png" TargetMode="External"/><Relationship Id="rId369" Type="http://schemas.openxmlformats.org/officeDocument/2006/relationships/hyperlink" Target="https://bookface-images.s3.amazonaws.com/small_logos/13362ad0f9fe2210f277eca43146c05172aaf237.png" TargetMode="External"/><Relationship Id="rId368" Type="http://schemas.openxmlformats.org/officeDocument/2006/relationships/hyperlink" Target="https://bookface-images.s3.amazonaws.com/small_logos/5883f8852f673efcb705f840a66ea4747e755db5.png" TargetMode="External"/><Relationship Id="rId363" Type="http://schemas.openxmlformats.org/officeDocument/2006/relationships/hyperlink" Target="https://bookface-images.s3.amazonaws.com/small_logos/2d112d21825239851033ed226096467016755e57.png" TargetMode="External"/><Relationship Id="rId362" Type="http://schemas.openxmlformats.org/officeDocument/2006/relationships/hyperlink" Target="https://bookface-images.s3.amazonaws.com/small_logos/72dc9ccfe26e8c21c74a8e2ae9b64027c599c994.png" TargetMode="External"/><Relationship Id="rId361" Type="http://schemas.openxmlformats.org/officeDocument/2006/relationships/hyperlink" Target="https://bookface-images.s3.amazonaws.com/small_logos/232339d6edde0605ea880f4aaef47c45acf14848.png" TargetMode="External"/><Relationship Id="rId360" Type="http://schemas.openxmlformats.org/officeDocument/2006/relationships/hyperlink" Target="https://bookface-images.s3.amazonaws.com/small_logos/5cf2a6787e214eab9a646841d7032f5365ef6f8e.png" TargetMode="External"/><Relationship Id="rId367" Type="http://schemas.openxmlformats.org/officeDocument/2006/relationships/hyperlink" Target="https://bookface-images.s3.amazonaws.com/small_logos/70881ad94c495ff9a1501555a31b61ee9ba0c769.png" TargetMode="External"/><Relationship Id="rId366" Type="http://schemas.openxmlformats.org/officeDocument/2006/relationships/hyperlink" Target="https://bookface-images.s3.amazonaws.com/small_logos/bd7ff2b3db9bbbc82a79afababdad873d16b6e54.png" TargetMode="External"/><Relationship Id="rId365" Type="http://schemas.openxmlformats.org/officeDocument/2006/relationships/hyperlink" Target="https://bookface-images.s3.amazonaws.com/small_logos/ab148653f771ae83b42b2726259e7e2be8e1e60a.png" TargetMode="External"/><Relationship Id="rId364" Type="http://schemas.openxmlformats.org/officeDocument/2006/relationships/hyperlink" Target="https://bookface-images.s3.amazonaws.com/small_logos/66c946ddc2dbfb955e186610de2e888e7e5dd204.png" TargetMode="External"/><Relationship Id="rId95" Type="http://schemas.openxmlformats.org/officeDocument/2006/relationships/hyperlink" Target="https://bookface-images.s3.amazonaws.com/small_logos/876f66dff22e97cba80fe969792f2c63dd568d79.png" TargetMode="External"/><Relationship Id="rId94" Type="http://schemas.openxmlformats.org/officeDocument/2006/relationships/hyperlink" Target="https://bookface-images.s3.amazonaws.com/small_logos/d611b19e76b1fd47ac709a3f9e194fac2e46bcaa.png" TargetMode="External"/><Relationship Id="rId97" Type="http://schemas.openxmlformats.org/officeDocument/2006/relationships/hyperlink" Target="http://ambient.ai" TargetMode="External"/><Relationship Id="rId96" Type="http://schemas.openxmlformats.org/officeDocument/2006/relationships/hyperlink" Target="https://bookface-images.s3.amazonaws.com/small_logos/e146a068595154f54b5d7dc8ec6ed0fecd7005ee.png" TargetMode="External"/><Relationship Id="rId99" Type="http://schemas.openxmlformats.org/officeDocument/2006/relationships/hyperlink" Target="https://bookface-images.s3.amazonaws.com/small_logos/7651fbde07f5ac811e98325179c3cd86d42041fc.png" TargetMode="External"/><Relationship Id="rId98" Type="http://schemas.openxmlformats.org/officeDocument/2006/relationships/hyperlink" Target="https://bookface-images.s3.amazonaws.com/small_logos/624d0ce6f387431048bed692cfded210ffc7d139.png" TargetMode="External"/><Relationship Id="rId91" Type="http://schemas.openxmlformats.org/officeDocument/2006/relationships/hyperlink" Target="https://bookface-images.s3.amazonaws.com/small_logos/0e96b6bc17ebf7096f2c359dc1c0c940169a54c3.png" TargetMode="External"/><Relationship Id="rId90" Type="http://schemas.openxmlformats.org/officeDocument/2006/relationships/hyperlink" Target="https://bookface-images.s3.amazonaws.com/small_logos/6a98a9ce4a798ccf7b09142ac820b92e9c1d5fee.png" TargetMode="External"/><Relationship Id="rId93" Type="http://schemas.openxmlformats.org/officeDocument/2006/relationships/hyperlink" Target="https://bookface-images.s3.amazonaws.com/small_logos/a245b251345898b1be8d12a5e6c8a1de81dc99d7.png" TargetMode="External"/><Relationship Id="rId92" Type="http://schemas.openxmlformats.org/officeDocument/2006/relationships/hyperlink" Target="https://bookface-images.s3.amazonaws.com/small_logos/8ecbbe0f22eaf0cdb09c9e525fe15a53c013d389.png" TargetMode="External"/><Relationship Id="rId359" Type="http://schemas.openxmlformats.org/officeDocument/2006/relationships/hyperlink" Target="https://bookface-images.s3.amazonaws.com/small_logos/79b74bf1a8009a0f4c3b0fd036ff57515ff6760b.png" TargetMode="External"/><Relationship Id="rId358" Type="http://schemas.openxmlformats.org/officeDocument/2006/relationships/hyperlink" Target="https://bookface-images.s3.amazonaws.com/small_logos/cb1688bb9b23736439a735b81f27fec6b88a2ebd.png" TargetMode="External"/><Relationship Id="rId357" Type="http://schemas.openxmlformats.org/officeDocument/2006/relationships/hyperlink" Target="https://bookface-images.s3.amazonaws.com/small_logos/1b391651246e6b26c3186726ec8d9f3a5ff8d41a.png" TargetMode="External"/><Relationship Id="rId352" Type="http://schemas.openxmlformats.org/officeDocument/2006/relationships/hyperlink" Target="http://lexter.ai" TargetMode="External"/><Relationship Id="rId351" Type="http://schemas.openxmlformats.org/officeDocument/2006/relationships/hyperlink" Target="https://bookface-images.s3.amazonaws.com/small_logos/37e8e62d8a79db7c006e15d1cce3365c5fc7e469.png" TargetMode="External"/><Relationship Id="rId350" Type="http://schemas.openxmlformats.org/officeDocument/2006/relationships/hyperlink" Target="https://bookface-images.s3.amazonaws.com/small_logos/bb78f80434f450bb2cb261fa10cb242ca6510307.png" TargetMode="External"/><Relationship Id="rId356" Type="http://schemas.openxmlformats.org/officeDocument/2006/relationships/hyperlink" Target="https://bookface-images.s3.amazonaws.com/small_logos/a242752edfa5f103e890124d48ba63059b9901b6.png" TargetMode="External"/><Relationship Id="rId355" Type="http://schemas.openxmlformats.org/officeDocument/2006/relationships/hyperlink" Target="https://bookface-images.s3.amazonaws.com/small_logos/402852e3566e889222be9e56fedc85550dffb711.png" TargetMode="External"/><Relationship Id="rId354" Type="http://schemas.openxmlformats.org/officeDocument/2006/relationships/hyperlink" Target="https://bookface-images.s3.amazonaws.com/small_logos/c032b59ff3abc91c5c4d56d6a49ada79fc68de09.png" TargetMode="External"/><Relationship Id="rId353" Type="http://schemas.openxmlformats.org/officeDocument/2006/relationships/hyperlink" Target="https://bookface-images.s3.amazonaws.com/small_logos/13fb400d02f64e196fddff48bb201121acd1fa1d.png" TargetMode="External"/><Relationship Id="rId305" Type="http://schemas.openxmlformats.org/officeDocument/2006/relationships/hyperlink" Target="https://bookface-images.s3.amazonaws.com/small_logos/3900f12b2f8432e71839e72a5168f6cb6ad06454.png" TargetMode="External"/><Relationship Id="rId304" Type="http://schemas.openxmlformats.org/officeDocument/2006/relationships/hyperlink" Target="https://bookface-images.s3.amazonaws.com/small_logos/3d5766f94f07a2964ca9e00f65bd78d8b7a53ded.png" TargetMode="External"/><Relationship Id="rId303" Type="http://schemas.openxmlformats.org/officeDocument/2006/relationships/hyperlink" Target="https://bookface-images.s3.amazonaws.com/small_logos/4c060531ea33b3550b25532f59de594cc620f374.png" TargetMode="External"/><Relationship Id="rId302" Type="http://schemas.openxmlformats.org/officeDocument/2006/relationships/hyperlink" Target="https://bookface-images.s3.amazonaws.com/small_logos/cbc38c395f4f32191dcaac60013ed038a0a40611.png" TargetMode="External"/><Relationship Id="rId309" Type="http://schemas.openxmlformats.org/officeDocument/2006/relationships/hyperlink" Target="https://bookface-images.s3.amazonaws.com/small_logos/251df7a6d1d16ee11aac63b910791aca861aff29.png" TargetMode="External"/><Relationship Id="rId308" Type="http://schemas.openxmlformats.org/officeDocument/2006/relationships/hyperlink" Target="https://bookface-images.s3.amazonaws.com/small_logos/ac3d6ebaf0dfdd9434b6a3dd78182d498f7b6587.png" TargetMode="External"/><Relationship Id="rId307" Type="http://schemas.openxmlformats.org/officeDocument/2006/relationships/hyperlink" Target="https://bookface-images.s3.amazonaws.com/small_logos/8490dae3dafb5e213b1c6281bb3561f426bf994f.png" TargetMode="External"/><Relationship Id="rId306" Type="http://schemas.openxmlformats.org/officeDocument/2006/relationships/hyperlink" Target="https://bookface-images.s3.amazonaws.com/small_logos/fd3e59db650540efed4a5b4af9e1693188ca3a4d.png" TargetMode="External"/><Relationship Id="rId301" Type="http://schemas.openxmlformats.org/officeDocument/2006/relationships/hyperlink" Target="https://bookface-images.s3.amazonaws.com/small_logos/bba37502ba38f42df1df621e97c2d5fffd434c73.png" TargetMode="External"/><Relationship Id="rId300" Type="http://schemas.openxmlformats.org/officeDocument/2006/relationships/hyperlink" Target="https://bookface-images.s3.amazonaws.com/small_logos/19b2d3b1ab50845c2cb174d05f4201d30e698595.png" TargetMode="External"/><Relationship Id="rId327" Type="http://schemas.openxmlformats.org/officeDocument/2006/relationships/hyperlink" Target="https://bookface-images.s3.amazonaws.com/small_logos/3737c187775ea558bbe68c57b6fedb1145dcace9.png" TargetMode="External"/><Relationship Id="rId326" Type="http://schemas.openxmlformats.org/officeDocument/2006/relationships/hyperlink" Target="https://bookface-images.s3.amazonaws.com/small_logos/4e52952fdb211b49817df2113a24373bf56b70ef.png" TargetMode="External"/><Relationship Id="rId325" Type="http://schemas.openxmlformats.org/officeDocument/2006/relationships/hyperlink" Target="https://bookface-images.s3.amazonaws.com/small_logos/db128807c45c4e66979161cb1469269d81323e67.png" TargetMode="External"/><Relationship Id="rId324" Type="http://schemas.openxmlformats.org/officeDocument/2006/relationships/hyperlink" Target="https://bookface-images.s3.amazonaws.com/small_logos/b25c7b5a70e0fab68abb8837d04d772f89ba6623.png" TargetMode="External"/><Relationship Id="rId329" Type="http://schemas.openxmlformats.org/officeDocument/2006/relationships/hyperlink" Target="https://bookface-images.s3.amazonaws.com/small_logos/dc7d9010a87027e6273b47d80643278ca2e03619.png" TargetMode="External"/><Relationship Id="rId328" Type="http://schemas.openxmlformats.org/officeDocument/2006/relationships/hyperlink" Target="https://bookface-images.s3.amazonaws.com/small_logos/fe6b97eef16a2d22e437f6cf663c11b64b223fc8.png" TargetMode="External"/><Relationship Id="rId323" Type="http://schemas.openxmlformats.org/officeDocument/2006/relationships/hyperlink" Target="https://bookface-images.s3.amazonaws.com/small_logos/e341d51ab4846625abc0f683c15083bfa5785f1a.png" TargetMode="External"/><Relationship Id="rId322" Type="http://schemas.openxmlformats.org/officeDocument/2006/relationships/hyperlink" Target="https://bookface-images.s3.amazonaws.com/small_logos/8f8784d91cd57dc68a051e2c674bfe829b9aaefc.png" TargetMode="External"/><Relationship Id="rId321" Type="http://schemas.openxmlformats.org/officeDocument/2006/relationships/hyperlink" Target="https://bookface-images.s3.amazonaws.com/small_logos/364a02bb6e0092111a4c8bbb119301d2264c7ace.png" TargetMode="External"/><Relationship Id="rId320" Type="http://schemas.openxmlformats.org/officeDocument/2006/relationships/hyperlink" Target="https://bookface-images.s3.amazonaws.com/small_logos/5d9d92284da5e0578d6ae11b390f879ee72085b9.png" TargetMode="External"/><Relationship Id="rId316" Type="http://schemas.openxmlformats.org/officeDocument/2006/relationships/hyperlink" Target="https://bookface-images.s3.amazonaws.com/small_logos/badfb865d3956c905328a893ade1fc0f2253e57b.png" TargetMode="External"/><Relationship Id="rId315" Type="http://schemas.openxmlformats.org/officeDocument/2006/relationships/hyperlink" Target="https://bookface-images.s3.amazonaws.com/small_logos/96d6585dd5c6970a5bdb324b4a4d6e71b977b149.png" TargetMode="External"/><Relationship Id="rId314" Type="http://schemas.openxmlformats.org/officeDocument/2006/relationships/hyperlink" Target="https://bookface-images.s3.amazonaws.com/small_logos/7cf9657613db14a7e4f2038b460049ae160568bc.png" TargetMode="External"/><Relationship Id="rId313" Type="http://schemas.openxmlformats.org/officeDocument/2006/relationships/hyperlink" Target="https://bookface-images.s3.amazonaws.com/small_logos/1313424ffcccb181d4a78eec0cde6b8bcab2da6d.png" TargetMode="External"/><Relationship Id="rId319" Type="http://schemas.openxmlformats.org/officeDocument/2006/relationships/hyperlink" Target="https://bookface-images.s3.amazonaws.com/small_logos/fe59bf79400d08cf1699c0ed05913ffda85a5b89.png" TargetMode="External"/><Relationship Id="rId318" Type="http://schemas.openxmlformats.org/officeDocument/2006/relationships/hyperlink" Target="https://bookface-images.s3.amazonaws.com/small_logos/f2774c90b6477ab8f737e3b9ae637d15847ea8de.png" TargetMode="External"/><Relationship Id="rId317" Type="http://schemas.openxmlformats.org/officeDocument/2006/relationships/hyperlink" Target="https://bookface-images.s3.amazonaws.com/small_logos/7796601cb8c746f78b720f5509beb20c0e6fd6c1.png" TargetMode="External"/><Relationship Id="rId312" Type="http://schemas.openxmlformats.org/officeDocument/2006/relationships/hyperlink" Target="https://bookface-images.s3.amazonaws.com/small_logos/b36436bcb84be8e217d46771a3d924ea6ba393a8.png" TargetMode="External"/><Relationship Id="rId311" Type="http://schemas.openxmlformats.org/officeDocument/2006/relationships/hyperlink" Target="https://bookface-images.s3.amazonaws.com/small_logos/94e9b636b74d579c5321c7c9dcd9349d3ca2685b.png" TargetMode="External"/><Relationship Id="rId310" Type="http://schemas.openxmlformats.org/officeDocument/2006/relationships/hyperlink" Target="https://bookface-images.s3.amazonaws.com/small_logos/390e7f2f1ec123f79b81c83239389cb870fd0235.png" TargetMode="External"/><Relationship Id="rId297" Type="http://schemas.openxmlformats.org/officeDocument/2006/relationships/hyperlink" Target="https://bookface-images.s3.amazonaws.com/small_logos/1c92df8bc210fd186d92f28cce482984f5f181d3.png" TargetMode="External"/><Relationship Id="rId296" Type="http://schemas.openxmlformats.org/officeDocument/2006/relationships/hyperlink" Target="http://glowing.io" TargetMode="External"/><Relationship Id="rId295" Type="http://schemas.openxmlformats.org/officeDocument/2006/relationships/hyperlink" Target="https://bookface-images.s3.amazonaws.com/small_logos/43d2fbfbaba3aeb673e435f9035b2a74c1dc35d7.png" TargetMode="External"/><Relationship Id="rId294" Type="http://schemas.openxmlformats.org/officeDocument/2006/relationships/hyperlink" Target="https://bookface-images.s3.amazonaws.com/small_logos/26fef31f4719ab5a8c2e4a0ba8f081e756d63f0d.png" TargetMode="External"/><Relationship Id="rId299" Type="http://schemas.openxmlformats.org/officeDocument/2006/relationships/hyperlink" Target="https://bookface-images.s3.amazonaws.com/small_logos/40376bae8f7c53265c200ad111505e5a76251905.png" TargetMode="External"/><Relationship Id="rId298" Type="http://schemas.openxmlformats.org/officeDocument/2006/relationships/hyperlink" Target="https://bookface-images.s3.amazonaws.com/small_logos/afc06ceb5b91f55a715f39051c3426043e5094c8.png" TargetMode="External"/><Relationship Id="rId271" Type="http://schemas.openxmlformats.org/officeDocument/2006/relationships/hyperlink" Target="https://bookface-images.s3.amazonaws.com/small_logos/5327a1b9de06d3ab5f954ccf40f13fc5fa417cb8.png" TargetMode="External"/><Relationship Id="rId270" Type="http://schemas.openxmlformats.org/officeDocument/2006/relationships/hyperlink" Target="https://bookface-images.s3.amazonaws.com/small_logos/b971472cf0d2638ad01eeaaf35f5a56a8abd2541.png" TargetMode="External"/><Relationship Id="rId269" Type="http://schemas.openxmlformats.org/officeDocument/2006/relationships/hyperlink" Target="https://bookface-images.s3.amazonaws.com/small_logos/fd58b70bf08ebd04681433b867e55d90f1a18a12.png" TargetMode="External"/><Relationship Id="rId264" Type="http://schemas.openxmlformats.org/officeDocument/2006/relationships/hyperlink" Target="https://bookface-images.s3.amazonaws.com/small_logos/09c76f2c8efc3d34c7d5faf491ca2acdfa542fb7.png" TargetMode="External"/><Relationship Id="rId263" Type="http://schemas.openxmlformats.org/officeDocument/2006/relationships/hyperlink" Target="https://bookface-images.s3.amazonaws.com/small_logos/e25b587ba0f496e6716664e7fc54e10f8b437fdb.png" TargetMode="External"/><Relationship Id="rId262" Type="http://schemas.openxmlformats.org/officeDocument/2006/relationships/hyperlink" Target="http://firstbase.io" TargetMode="External"/><Relationship Id="rId261" Type="http://schemas.openxmlformats.org/officeDocument/2006/relationships/hyperlink" Target="https://bookface-images.s3.amazonaws.com/small_logos/71ea8566db212df8f6c23e62b0d21ec93eedd66d.png" TargetMode="External"/><Relationship Id="rId268" Type="http://schemas.openxmlformats.org/officeDocument/2006/relationships/hyperlink" Target="https://bookface-images.s3.amazonaws.com/small_logos/e8335edd9d00bd8491042a36ce074c09859358b3.png" TargetMode="External"/><Relationship Id="rId267" Type="http://schemas.openxmlformats.org/officeDocument/2006/relationships/hyperlink" Target="https://bookface-images.s3.amazonaws.com/small_logos/784e322314b424b51a956f67ca758620ef053f13.png" TargetMode="External"/><Relationship Id="rId266" Type="http://schemas.openxmlformats.org/officeDocument/2006/relationships/hyperlink" Target="https://bookface-images.s3.amazonaws.com/small_logos/61d73a23ca8d3531ce9851a776298327d051ac1d.png" TargetMode="External"/><Relationship Id="rId265" Type="http://schemas.openxmlformats.org/officeDocument/2006/relationships/hyperlink" Target="https://bookface-images.s3.amazonaws.com/small_logos/e59a010ccf4743c6fdc551ce25a5ef996c764b2b.png" TargetMode="External"/><Relationship Id="rId260" Type="http://schemas.openxmlformats.org/officeDocument/2006/relationships/hyperlink" Target="https://bookface-images.s3.amazonaws.com/small_logos/204c5a234c0f203a89d58c1407d93894d494118d.png" TargetMode="External"/><Relationship Id="rId259" Type="http://schemas.openxmlformats.org/officeDocument/2006/relationships/hyperlink" Target="https://bookface-images.s3.amazonaws.com/small_logos/44c799568df44fb4f129df3ebec9417b8d588116.png" TargetMode="External"/><Relationship Id="rId258" Type="http://schemas.openxmlformats.org/officeDocument/2006/relationships/hyperlink" Target="https://bookface-images.s3.amazonaws.com/small_logos/3192e22ad8bcecbda29689a9c3165d08802d21e8.png" TargetMode="External"/><Relationship Id="rId253" Type="http://schemas.openxmlformats.org/officeDocument/2006/relationships/hyperlink" Target="https://bookface-images.s3.amazonaws.com/small_logos/cb7fe1b3f89d693041018270e2cb671fb9b106d6.png" TargetMode="External"/><Relationship Id="rId252" Type="http://schemas.openxmlformats.org/officeDocument/2006/relationships/hyperlink" Target="https://bookface-images.s3.amazonaws.com/small_logos/928742dd0ca5d162febb2be4f4103878aab7ce52.png" TargetMode="External"/><Relationship Id="rId251" Type="http://schemas.openxmlformats.org/officeDocument/2006/relationships/hyperlink" Target="https://bookface-images.s3.amazonaws.com/small_logos/3628951a3d0760d9fcc3099d4360ec712d6f72b3.png" TargetMode="External"/><Relationship Id="rId250" Type="http://schemas.openxmlformats.org/officeDocument/2006/relationships/hyperlink" Target="https://bookface-images.s3.amazonaws.com/small_logos/b038a5e905f1f6cf97ad14baa85b93658ffe2791.png" TargetMode="External"/><Relationship Id="rId257" Type="http://schemas.openxmlformats.org/officeDocument/2006/relationships/hyperlink" Target="https://bookface-images.s3.amazonaws.com/small_logos/1070c02900596bd056caf454feb7a0bd8add2715.png" TargetMode="External"/><Relationship Id="rId256" Type="http://schemas.openxmlformats.org/officeDocument/2006/relationships/hyperlink" Target="https://bookface-images.s3.amazonaws.com/small_logos/4f48c426b67826bae7fd3fded6bfc3e891fd72d2.png" TargetMode="External"/><Relationship Id="rId255" Type="http://schemas.openxmlformats.org/officeDocument/2006/relationships/hyperlink" Target="https://bookface-images.s3.amazonaws.com/small_logos/008e65b3fdfccde7a316a6c0911fd59301ff1025.png" TargetMode="External"/><Relationship Id="rId254" Type="http://schemas.openxmlformats.org/officeDocument/2006/relationships/hyperlink" Target="https://bookface-images.s3.amazonaws.com/small_logos/8eabc6dba9b2a0e33f2d5e33a93d1f2d97e03940.png" TargetMode="External"/><Relationship Id="rId293" Type="http://schemas.openxmlformats.org/officeDocument/2006/relationships/hyperlink" Target="https://bookface-images.s3.amazonaws.com/small_logos/410acaf649ddb5822f7639caa9757423b17424c5.png" TargetMode="External"/><Relationship Id="rId292" Type="http://schemas.openxmlformats.org/officeDocument/2006/relationships/hyperlink" Target="https://bookface-images.s3.amazonaws.com/small_logos/90a19b69d83b8dcb66c12aababed617ce677be87.png" TargetMode="External"/><Relationship Id="rId291" Type="http://schemas.openxmlformats.org/officeDocument/2006/relationships/hyperlink" Target="https://bookface-images.s3.amazonaws.com/small_logos/4f444340e9c64c3d358ff850ab1b009ff8af62d7.png" TargetMode="External"/><Relationship Id="rId290" Type="http://schemas.openxmlformats.org/officeDocument/2006/relationships/hyperlink" Target="https://bookface-images.s3.amazonaws.com/small_logos/89a7b53fb2d9e4a5231c362b84c71fe445c95d99.png" TargetMode="External"/><Relationship Id="rId286" Type="http://schemas.openxmlformats.org/officeDocument/2006/relationships/hyperlink" Target="https://bookface-images.s3.amazonaws.com/small_logos/d2c73e5062e24e6ab706d5a4ca96f1004cb7ca20.png" TargetMode="External"/><Relationship Id="rId285" Type="http://schemas.openxmlformats.org/officeDocument/2006/relationships/hyperlink" Target="https://bookface-images.s3.amazonaws.com/small_logos/3f33f5c2c6c8f8eae4c79b3afb782709b112e4b8.png" TargetMode="External"/><Relationship Id="rId284" Type="http://schemas.openxmlformats.org/officeDocument/2006/relationships/hyperlink" Target="https://bookface-images.s3.amazonaws.com/small_logos/c3b9795e229abf871658c50860feea60e62240de.png" TargetMode="External"/><Relationship Id="rId283" Type="http://schemas.openxmlformats.org/officeDocument/2006/relationships/hyperlink" Target="https://bookface-images.s3.amazonaws.com/small_logos/52fd123ee789698d9312aae73f8fa198328173e7.png" TargetMode="External"/><Relationship Id="rId289" Type="http://schemas.openxmlformats.org/officeDocument/2006/relationships/hyperlink" Target="https://bookface-images.s3.amazonaws.com/small_logos/1929026faf3c4064b3cb414a5ef1d62b2ee8021b.png" TargetMode="External"/><Relationship Id="rId288" Type="http://schemas.openxmlformats.org/officeDocument/2006/relationships/hyperlink" Target="https://bookface-images.s3.amazonaws.com/small_logos/2af07bc05265ab98710e52ec7c714c24063df621.png" TargetMode="External"/><Relationship Id="rId287" Type="http://schemas.openxmlformats.org/officeDocument/2006/relationships/hyperlink" Target="https://bookface-images.s3.amazonaws.com/small_logos/083acf84edb567678955a3853f652e2b1328fea3.png" TargetMode="External"/><Relationship Id="rId282" Type="http://schemas.openxmlformats.org/officeDocument/2006/relationships/hyperlink" Target="https://bookface-images.s3.amazonaws.com/small_logos/5f64879cc9b2e90a8ad210fd47f7c8d59390ff5a.png" TargetMode="External"/><Relationship Id="rId281" Type="http://schemas.openxmlformats.org/officeDocument/2006/relationships/hyperlink" Target="https://bookface-images.s3.amazonaws.com/small_logos/68a34b0a86ae2d3f1b2df61f609c0c41bb4ae9e6.png" TargetMode="External"/><Relationship Id="rId280" Type="http://schemas.openxmlformats.org/officeDocument/2006/relationships/hyperlink" Target="https://bookface-images.s3.amazonaws.com/small_logos/3c5bf5efdae9a1f09f6bf09d6ac33cf2461c3698.png" TargetMode="External"/><Relationship Id="rId275" Type="http://schemas.openxmlformats.org/officeDocument/2006/relationships/hyperlink" Target="https://bookface-images.s3.amazonaws.com/small_logos/38affe0570d352e64345559689e7af680bfb0493.png" TargetMode="External"/><Relationship Id="rId274" Type="http://schemas.openxmlformats.org/officeDocument/2006/relationships/hyperlink" Target="https://bookface-images.s3.amazonaws.com/small_logos/1f45b27d4d49f4a54250a3f57030ed625d633c74.png" TargetMode="External"/><Relationship Id="rId273" Type="http://schemas.openxmlformats.org/officeDocument/2006/relationships/hyperlink" Target="http://fly.io" TargetMode="External"/><Relationship Id="rId272" Type="http://schemas.openxmlformats.org/officeDocument/2006/relationships/hyperlink" Target="https://bookface-images.s3.amazonaws.com/small_logos/3df7b6e09c2fda2538b0426203b84e4e92ca7471.png" TargetMode="External"/><Relationship Id="rId279" Type="http://schemas.openxmlformats.org/officeDocument/2006/relationships/hyperlink" Target="https://bookface-images.s3.amazonaws.com/small_logos/66941efea1bbb96c0037b8eb01cd10d72092895c.png" TargetMode="External"/><Relationship Id="rId278" Type="http://schemas.openxmlformats.org/officeDocument/2006/relationships/hyperlink" Target="https://bookface-images.s3.amazonaws.com/small_logos/6ec4d2785125c906ed8554bdfaca38ba13097af0.png" TargetMode="External"/><Relationship Id="rId277" Type="http://schemas.openxmlformats.org/officeDocument/2006/relationships/hyperlink" Target="https://bookface-images.s3.amazonaws.com/small_logos/fa479320e3d153a191f13fca9e3c89b631a02350.png" TargetMode="External"/><Relationship Id="rId276" Type="http://schemas.openxmlformats.org/officeDocument/2006/relationships/hyperlink" Target="https://bookface-images.s3.amazonaws.com/small_logos/2f0b5fe4e91dafcccff1f484b17acd3b14006850.png" TargetMode="External"/><Relationship Id="rId228" Type="http://schemas.openxmlformats.org/officeDocument/2006/relationships/hyperlink" Target="https://bookface-images.s3.amazonaws.com/small_logos/66a107c5c83003596991722f8d3d73d13a0b6da2.png" TargetMode="External"/><Relationship Id="rId227" Type="http://schemas.openxmlformats.org/officeDocument/2006/relationships/hyperlink" Target="https://bookface-images.s3.amazonaws.com/small_logos/efe7334aa351791d82bb37028b9f9bc229817771.png" TargetMode="External"/><Relationship Id="rId226" Type="http://schemas.openxmlformats.org/officeDocument/2006/relationships/hyperlink" Target="https://bookface-images.s3.amazonaws.com/small_logos/74c7e5700b37d004a21b21f411b10e188028b085.png" TargetMode="External"/><Relationship Id="rId225" Type="http://schemas.openxmlformats.org/officeDocument/2006/relationships/hyperlink" Target="https://bookface-images.s3.amazonaws.com/small_logos/fb718afca7b940f8fcefff5f61a1eb17f9bbc3c0.png" TargetMode="External"/><Relationship Id="rId229" Type="http://schemas.openxmlformats.org/officeDocument/2006/relationships/hyperlink" Target="https://bookface-images.s3.amazonaws.com/small_logos/718046638373d3ceab63b7430c6b668859bb2cc2.png" TargetMode="External"/><Relationship Id="rId220" Type="http://schemas.openxmlformats.org/officeDocument/2006/relationships/hyperlink" Target="https://bookface-images.s3.amazonaws.com/small_logos/157ef705774b4b91cf62de3244f82d80101e257a.png" TargetMode="External"/><Relationship Id="rId224" Type="http://schemas.openxmlformats.org/officeDocument/2006/relationships/hyperlink" Target="https://bookface-images.s3.amazonaws.com/small_logos/a0a68dcf9898cd2ec07ae77181dd232dfe03396f.png" TargetMode="External"/><Relationship Id="rId223" Type="http://schemas.openxmlformats.org/officeDocument/2006/relationships/hyperlink" Target="https://bookface-images.s3.amazonaws.com/small_logos/d251539438cb0eef66e90304a3ff25d30dfcf607.png" TargetMode="External"/><Relationship Id="rId222" Type="http://schemas.openxmlformats.org/officeDocument/2006/relationships/hyperlink" Target="https://bookface-images.s3.amazonaws.com/small_logos/ab7c0b045e631107c80e1bfa7e008c9c211f8bb9.png" TargetMode="External"/><Relationship Id="rId221" Type="http://schemas.openxmlformats.org/officeDocument/2006/relationships/hyperlink" Target="https://bookface-images.s3.amazonaws.com/small_logos/0a6238d6a169f2a7cfa9e5f25562e94956a1e0f5.png" TargetMode="External"/><Relationship Id="rId217" Type="http://schemas.openxmlformats.org/officeDocument/2006/relationships/hyperlink" Target="https://bookface-images.s3.amazonaws.com/small_logos/26546d4be80e83088bea9fc9e77f6aa3cd234174.png" TargetMode="External"/><Relationship Id="rId216" Type="http://schemas.openxmlformats.org/officeDocument/2006/relationships/hyperlink" Target="https://bookface-images.s3.amazonaws.com/small_logos/aa9178d0b014c641d94c14957d7103e94f2bda01.png" TargetMode="External"/><Relationship Id="rId215" Type="http://schemas.openxmlformats.org/officeDocument/2006/relationships/hyperlink" Target="https://bookface-images.s3.amazonaws.com/small_logos/6fc4eed9550a66ab0a862b8bee8e561d3be5134a.png" TargetMode="External"/><Relationship Id="rId214" Type="http://schemas.openxmlformats.org/officeDocument/2006/relationships/hyperlink" Target="https://bookface-images.s3.amazonaws.com/small_logos/ff8ea6145bd2655e4c3aad9c3d5e8252e1b412d0.png" TargetMode="External"/><Relationship Id="rId219" Type="http://schemas.openxmlformats.org/officeDocument/2006/relationships/hyperlink" Target="https://bookface-images.s3.amazonaws.com/small_logos/40895f9d8f2b40522c600e5eaad2d50a265b76ca.png" TargetMode="External"/><Relationship Id="rId218" Type="http://schemas.openxmlformats.org/officeDocument/2006/relationships/hyperlink" Target="https://bookface-images.s3.amazonaws.com/small_logos/1b80a4df0b9154b81c10f1f6293cdab63dc635a1.png" TargetMode="External"/><Relationship Id="rId213" Type="http://schemas.openxmlformats.org/officeDocument/2006/relationships/hyperlink" Target="https://bookface-images.s3.amazonaws.com/small_logos/b034ae95d0987f25f5a158decefc230711671261.png" TargetMode="External"/><Relationship Id="rId212" Type="http://schemas.openxmlformats.org/officeDocument/2006/relationships/hyperlink" Target="https://bookface-images.s3.amazonaws.com/small_logos/5c93e96c934069a8ed8555602a5fa1924663bdd0.png" TargetMode="External"/><Relationship Id="rId211" Type="http://schemas.openxmlformats.org/officeDocument/2006/relationships/hyperlink" Target="https://bookface-images.s3.amazonaws.com/small_logos/46c81a7dc1e9ec184f2bab776059e6e905b81100.png" TargetMode="External"/><Relationship Id="rId210" Type="http://schemas.openxmlformats.org/officeDocument/2006/relationships/hyperlink" Target="https://bookface-images.s3.amazonaws.com/small_logos/196898f11a9311436ed24d99e2972511f8433f5d.png" TargetMode="External"/><Relationship Id="rId249" Type="http://schemas.openxmlformats.org/officeDocument/2006/relationships/hyperlink" Target="https://bookface-images.s3.amazonaws.com/small_logos/07c9b19241da3d7897596f5f34b6c9baa7c7518e.png" TargetMode="External"/><Relationship Id="rId248" Type="http://schemas.openxmlformats.org/officeDocument/2006/relationships/hyperlink" Target="https://bookface-images.s3.amazonaws.com/small_logos/71f341b6c5d940dbe7bcf499c6b92a8ee3fdb1f4.png" TargetMode="External"/><Relationship Id="rId247" Type="http://schemas.openxmlformats.org/officeDocument/2006/relationships/hyperlink" Target="https://bookface-images.s3.amazonaws.com/small_logos/b1022b189da1170d9d3a55d289c07ace6650eb51.png" TargetMode="External"/><Relationship Id="rId242" Type="http://schemas.openxmlformats.org/officeDocument/2006/relationships/hyperlink" Target="https://bookface-images.s3.amazonaws.com/small_logos/d44c347d2423e9e5111ff1d951050b1e74ca9883.png" TargetMode="External"/><Relationship Id="rId241" Type="http://schemas.openxmlformats.org/officeDocument/2006/relationships/hyperlink" Target="https://bookface-images.s3.amazonaws.com/small_logos/25a8aa23cfff119b7471947d3dd11822c805174e.png" TargetMode="External"/><Relationship Id="rId240" Type="http://schemas.openxmlformats.org/officeDocument/2006/relationships/hyperlink" Target="https://bookface-images.s3.amazonaws.com/small_logos/6c5df7e755694ec01e6b16cfc307e0ddf5712e43.png" TargetMode="External"/><Relationship Id="rId246" Type="http://schemas.openxmlformats.org/officeDocument/2006/relationships/hyperlink" Target="https://bookface-images.s3.amazonaws.com/small_logos/b4f2dd64a7e6eed13a24457daafdaa5723f661a7.png" TargetMode="External"/><Relationship Id="rId245" Type="http://schemas.openxmlformats.org/officeDocument/2006/relationships/hyperlink" Target="https://bookface-images.s3.amazonaws.com/small_logos/6bb6677a8475d7e45f3bdaa25abe71e53f68ffca.png" TargetMode="External"/><Relationship Id="rId244" Type="http://schemas.openxmlformats.org/officeDocument/2006/relationships/hyperlink" Target="https://bookface-images.s3.amazonaws.com/small_logos/b6759a6164c3fd0594119ff78b7d4a6206f80f1b.png" TargetMode="External"/><Relationship Id="rId243" Type="http://schemas.openxmlformats.org/officeDocument/2006/relationships/hyperlink" Target="https://bookface-images.s3.amazonaws.com/small_logos/b0c0b8150edc64332f4d529343a9096db99002e1.png" TargetMode="External"/><Relationship Id="rId239" Type="http://schemas.openxmlformats.org/officeDocument/2006/relationships/hyperlink" Target="https://bookface-images.s3.amazonaws.com/small_logos/e2e7cc961daf91fd34139f65969fe6d1eb62c853.png" TargetMode="External"/><Relationship Id="rId238" Type="http://schemas.openxmlformats.org/officeDocument/2006/relationships/hyperlink" Target="https://bookface-images.s3.amazonaws.com/small_logos/45aadc83c7554b356da35bb6d48a350f575804b2.png" TargetMode="External"/><Relationship Id="rId237" Type="http://schemas.openxmlformats.org/officeDocument/2006/relationships/hyperlink" Target="https://bookface-images.s3.amazonaws.com/small_logos/6f59a6cd72ad7a541111cd58bd8a38bbd6fb95f4.png" TargetMode="External"/><Relationship Id="rId236" Type="http://schemas.openxmlformats.org/officeDocument/2006/relationships/hyperlink" Target="https://bookface-images.s3.amazonaws.com/small_logos/37f58af9ede41176af776f779ec507cd820dd514.png" TargetMode="External"/><Relationship Id="rId231" Type="http://schemas.openxmlformats.org/officeDocument/2006/relationships/hyperlink" Target="https://bookface-images.s3.amazonaws.com/small_logos/7ed3effeac481fb858f8cf67828524e20b606b12.png" TargetMode="External"/><Relationship Id="rId230" Type="http://schemas.openxmlformats.org/officeDocument/2006/relationships/hyperlink" Target="https://bookface-images.s3.amazonaws.com/small_logos/d17a0ed990c48104bc90127a4fb06f01edc52a17.png" TargetMode="External"/><Relationship Id="rId235" Type="http://schemas.openxmlformats.org/officeDocument/2006/relationships/hyperlink" Target="https://bookface-images.s3.amazonaws.com/small_logos/9ced7b33328e934d0dba3f16b4bd312b431da86b.png" TargetMode="External"/><Relationship Id="rId234" Type="http://schemas.openxmlformats.org/officeDocument/2006/relationships/hyperlink" Target="https://bookface-images.s3.amazonaws.com/small_logos/7c80ed0df2139f0c86b3495949b5e539365d8a02.png" TargetMode="External"/><Relationship Id="rId233" Type="http://schemas.openxmlformats.org/officeDocument/2006/relationships/hyperlink" Target="https://bookface-images.s3.amazonaws.com/small_logos/770e5b3b347dbbb7f635ee0bda4a8e6f8f4a3f14.png" TargetMode="External"/><Relationship Id="rId232" Type="http://schemas.openxmlformats.org/officeDocument/2006/relationships/hyperlink" Target="https://bookface-images.s3.amazonaws.com/small_logos/3304eb7be6e1ef3c98fcc797f946b15b44191759.png" TargetMode="External"/><Relationship Id="rId206" Type="http://schemas.openxmlformats.org/officeDocument/2006/relationships/hyperlink" Target="https://bookface-images.s3.amazonaws.com/small_logos/a64005bed7a505fdb8ec6767c1f1c599ebf660ca.png" TargetMode="External"/><Relationship Id="rId205" Type="http://schemas.openxmlformats.org/officeDocument/2006/relationships/hyperlink" Target="https://bookface-images.s3.amazonaws.com/small_logos/0bfa35a853487ffdadce50500de098ce5beb965d.png" TargetMode="External"/><Relationship Id="rId204" Type="http://schemas.openxmlformats.org/officeDocument/2006/relationships/hyperlink" Target="https://bookface-images.s3.amazonaws.com/small_logos/9c93afdca59e284c9f7ffb0e5af75d2830c485d1.png" TargetMode="External"/><Relationship Id="rId203" Type="http://schemas.openxmlformats.org/officeDocument/2006/relationships/hyperlink" Target="https://bookface-images.s3.amazonaws.com/small_logos/c8057663fa98c67ad45f460aa90f60f3fb6495bb.png" TargetMode="External"/><Relationship Id="rId209" Type="http://schemas.openxmlformats.org/officeDocument/2006/relationships/hyperlink" Target="https://bookface-images.s3.amazonaws.com/small_logos/041cd41aaf413fd601a958566433246e70084357.png" TargetMode="External"/><Relationship Id="rId208" Type="http://schemas.openxmlformats.org/officeDocument/2006/relationships/hyperlink" Target="https://bookface-images.s3.amazonaws.com/small_logos/a315fec23343c70a7ff5db47daaacb878c366bac.png" TargetMode="External"/><Relationship Id="rId207" Type="http://schemas.openxmlformats.org/officeDocument/2006/relationships/hyperlink" Target="https://bookface-images.s3.amazonaws.com/small_logos/927c390a496a781ceefe9112931064f3f4b058ea.png" TargetMode="External"/><Relationship Id="rId202" Type="http://schemas.openxmlformats.org/officeDocument/2006/relationships/hyperlink" Target="https://bookface-images.s3.amazonaws.com/small_logos/02b255dba5cc6178830e11a1fe8f76f6d0c86367.png" TargetMode="External"/><Relationship Id="rId201" Type="http://schemas.openxmlformats.org/officeDocument/2006/relationships/hyperlink" Target="https://bookface-images.s3.amazonaws.com/small_logos/8cbb332fb00714e64d88c8a08f5dbea1b1555e66.png" TargetMode="External"/><Relationship Id="rId200" Type="http://schemas.openxmlformats.org/officeDocument/2006/relationships/hyperlink" Target="https://bookface-images.s3.amazonaws.com/small_logos/65641ddd8516f01cc3bf87dd2c876cd999d398f0.png" TargetMode="External"/><Relationship Id="rId509" Type="http://schemas.openxmlformats.org/officeDocument/2006/relationships/hyperlink" Target="https://www.pulse.qa" TargetMode="External"/><Relationship Id="rId508" Type="http://schemas.openxmlformats.org/officeDocument/2006/relationships/hyperlink" Target="https://bookface-images.s3.amazonaws.com/small_logos/8c132121b7d4ec5ea81300966ada8fd09448ac76.png" TargetMode="External"/><Relationship Id="rId503" Type="http://schemas.openxmlformats.org/officeDocument/2006/relationships/hyperlink" Target="http://www.pullrequest.com" TargetMode="External"/><Relationship Id="rId502" Type="http://schemas.openxmlformats.org/officeDocument/2006/relationships/hyperlink" Target="https://bookface-images.s3.amazonaws.com/small_logos/d5080bb4e9d3cbdac8c35addffff537031b3acee.png" TargetMode="External"/><Relationship Id="rId501" Type="http://schemas.openxmlformats.org/officeDocument/2006/relationships/hyperlink" Target="http://www.properfinance.io" TargetMode="External"/><Relationship Id="rId500" Type="http://schemas.openxmlformats.org/officeDocument/2006/relationships/hyperlink" Target="https://bookface-images.s3.amazonaws.com/small_logos/bd28656a2bd5b2cc24a2d0577bedc594f2e0ffe7.png" TargetMode="External"/><Relationship Id="rId507" Type="http://schemas.openxmlformats.org/officeDocument/2006/relationships/hyperlink" Target="https://www.pulpix.com" TargetMode="External"/><Relationship Id="rId506" Type="http://schemas.openxmlformats.org/officeDocument/2006/relationships/hyperlink" Target="https://bookface-images.s3.amazonaws.com/small_logos/fdd0d51a51c1c725d1102b217d8d58c41b1ed138.png" TargetMode="External"/><Relationship Id="rId505" Type="http://schemas.openxmlformats.org/officeDocument/2006/relationships/hyperlink" Target="https://pulley.com" TargetMode="External"/><Relationship Id="rId504" Type="http://schemas.openxmlformats.org/officeDocument/2006/relationships/hyperlink" Target="https://bookface-images.s3.amazonaws.com/small_logos/0d273feda3c98c77e8a69cbc192e821b1ed15e25.png" TargetMode="External"/><Relationship Id="rId525" Type="http://schemas.openxmlformats.org/officeDocument/2006/relationships/hyperlink" Target="https://www.quotabook.com/en" TargetMode="External"/><Relationship Id="rId524" Type="http://schemas.openxmlformats.org/officeDocument/2006/relationships/hyperlink" Target="https://bookface-images.s3.amazonaws.com/small_logos/1b3afc7c2c63e523dc5a45e2f08fde4ab63901d0.png" TargetMode="External"/><Relationship Id="rId523" Type="http://schemas.openxmlformats.org/officeDocument/2006/relationships/hyperlink" Target="https://qulture.rocks/en/home/" TargetMode="External"/><Relationship Id="rId522" Type="http://schemas.openxmlformats.org/officeDocument/2006/relationships/hyperlink" Target="https://bookface-images.s3.amazonaws.com/small_logos/447c26098f201e96b72e35ef0e8866fe4310f08a.png" TargetMode="External"/><Relationship Id="rId529" Type="http://schemas.openxmlformats.org/officeDocument/2006/relationships/hyperlink" Target="https://bookface-images.s3.amazonaws.com/small_logos/e3214e5b63f02d78b040b5d2b3b07eb77155020f.png" TargetMode="External"/><Relationship Id="rId528" Type="http://schemas.openxmlformats.org/officeDocument/2006/relationships/hyperlink" Target="http://rossintelligence.com" TargetMode="External"/><Relationship Id="rId527" Type="http://schemas.openxmlformats.org/officeDocument/2006/relationships/hyperlink" Target="https://goradar.com" TargetMode="External"/><Relationship Id="rId526" Type="http://schemas.openxmlformats.org/officeDocument/2006/relationships/hyperlink" Target="https://bookface-images.s3.amazonaws.com/small_logos/adfbf8022b6e8fb22a4da40b767f1def4bb6cf2f.png" TargetMode="External"/><Relationship Id="rId521" Type="http://schemas.openxmlformats.org/officeDocument/2006/relationships/hyperlink" Target="https://quickchat.ai/" TargetMode="External"/><Relationship Id="rId520" Type="http://schemas.openxmlformats.org/officeDocument/2006/relationships/hyperlink" Target="https://bookface-images.s3.amazonaws.com/small_logos/3aef5c655cdc851ccad387554c204466a87669e7.png" TargetMode="External"/><Relationship Id="rId519" Type="http://schemas.openxmlformats.org/officeDocument/2006/relationships/hyperlink" Target="https://questdb.io/" TargetMode="External"/><Relationship Id="rId514" Type="http://schemas.openxmlformats.org/officeDocument/2006/relationships/hyperlink" Target="https://bookface-images.s3.amazonaws.com/small_logos/b3573ed35730b92a5b04a47f7fa6fb74e053a4a4.png" TargetMode="External"/><Relationship Id="rId513" Type="http://schemas.openxmlformats.org/officeDocument/2006/relationships/hyperlink" Target="https://www.quanwellbeing.com/" TargetMode="External"/><Relationship Id="rId512" Type="http://schemas.openxmlformats.org/officeDocument/2006/relationships/hyperlink" Target="https://bookface-images.s3.amazonaws.com/small_logos/412a6b3ef532664df77532bc5d7ae3c1233de965.png" TargetMode="External"/><Relationship Id="rId511" Type="http://schemas.openxmlformats.org/officeDocument/2006/relationships/hyperlink" Target="https://usepylon.com/?utm_source=ycdirectory&amp;amp;utm_medium=yc" TargetMode="External"/><Relationship Id="rId518" Type="http://schemas.openxmlformats.org/officeDocument/2006/relationships/hyperlink" Target="https://bookface-images.s3.amazonaws.com/small_logos/734a6a33e019411f619b73219afce2e9d4af8ef7.png" TargetMode="External"/><Relationship Id="rId517" Type="http://schemas.openxmlformats.org/officeDocument/2006/relationships/hyperlink" Target="https://www.querypie.com" TargetMode="External"/><Relationship Id="rId516" Type="http://schemas.openxmlformats.org/officeDocument/2006/relationships/hyperlink" Target="https://bookface-images.s3.amazonaws.com/small_logos/2dc377e8276c3eddb8f99613f0b90ed45fea6ee7.png" TargetMode="External"/><Relationship Id="rId515" Type="http://schemas.openxmlformats.org/officeDocument/2006/relationships/hyperlink" Target="https://quantstamp.com" TargetMode="External"/><Relationship Id="rId510" Type="http://schemas.openxmlformats.org/officeDocument/2006/relationships/hyperlink" Target="https://bookface-images.s3.amazonaws.com/small_logos/25d86eb03156941574fe6ae1c6503e39212d3030.png" TargetMode="External"/><Relationship Id="rId590" Type="http://schemas.openxmlformats.org/officeDocument/2006/relationships/hyperlink" Target="http://rocketrip.com" TargetMode="External"/><Relationship Id="rId589" Type="http://schemas.openxmlformats.org/officeDocument/2006/relationships/hyperlink" Target="https://bookface-images.s3.amazonaws.com/small_logos/ba0036069bd338a4c6188cb137722d8f584d0016.png" TargetMode="External"/><Relationship Id="rId588" Type="http://schemas.openxmlformats.org/officeDocument/2006/relationships/hyperlink" Target="https://roboflow.com" TargetMode="External"/><Relationship Id="rId583" Type="http://schemas.openxmlformats.org/officeDocument/2006/relationships/hyperlink" Target="http://gorickshaw.com" TargetMode="External"/><Relationship Id="rId582" Type="http://schemas.openxmlformats.org/officeDocument/2006/relationships/hyperlink" Target="https://bookface-images.s3.amazonaws.com/small_logos/22c87d9ebe7f3211cc7fc4e6b1c3691c72354478.png" TargetMode="External"/><Relationship Id="rId581" Type="http://schemas.openxmlformats.org/officeDocument/2006/relationships/hyperlink" Target="https://revl.com/" TargetMode="External"/><Relationship Id="rId580" Type="http://schemas.openxmlformats.org/officeDocument/2006/relationships/hyperlink" Target="https://bookface-images.s3.amazonaws.com/small_logos/f8dc20fcc951e007754d6896f9f4c42ee9502a51.png" TargetMode="External"/><Relationship Id="rId587" Type="http://schemas.openxmlformats.org/officeDocument/2006/relationships/hyperlink" Target="https://bookface-images.s3.amazonaws.com/small_logos/235fa7abe99ce1450fee55e5504bf0fc6c3dbefd.png" TargetMode="External"/><Relationship Id="rId586" Type="http://schemas.openxmlformats.org/officeDocument/2006/relationships/hyperlink" Target="https://tryriot.com/" TargetMode="External"/><Relationship Id="rId585" Type="http://schemas.openxmlformats.org/officeDocument/2006/relationships/hyperlink" Target="https://bookface-images.s3.amazonaws.com/small_logos/e04c655a1fa7eded2a929a6692b1417c648b4a2f.png" TargetMode="External"/><Relationship Id="rId584" Type="http://schemas.openxmlformats.org/officeDocument/2006/relationships/hyperlink" Target="https://www.rinsed.com" TargetMode="External"/><Relationship Id="rId579" Type="http://schemas.openxmlformats.org/officeDocument/2006/relationships/hyperlink" Target="https://www.revenuecat.com/" TargetMode="External"/><Relationship Id="rId578" Type="http://schemas.openxmlformats.org/officeDocument/2006/relationships/hyperlink" Target="http://rethinkdb.com" TargetMode="External"/><Relationship Id="rId577" Type="http://schemas.openxmlformats.org/officeDocument/2006/relationships/hyperlink" Target="https://bookface-images.s3.amazonaws.com/small_logos/b5be9e39b7c1acccc4e73c9f5973b901bd2ae7a4.png" TargetMode="External"/><Relationship Id="rId572" Type="http://schemas.openxmlformats.org/officeDocument/2006/relationships/hyperlink" Target="https://replo.app/" TargetMode="External"/><Relationship Id="rId571" Type="http://schemas.openxmlformats.org/officeDocument/2006/relationships/hyperlink" Target="https://bookface-images.s3.amazonaws.com/small_logos/256be79b4f9ac851425e3bf2a60af5ae33ca72ba.png" TargetMode="External"/><Relationship Id="rId570" Type="http://schemas.openxmlformats.org/officeDocument/2006/relationships/hyperlink" Target="https://replicate.com" TargetMode="External"/><Relationship Id="rId576" Type="http://schemas.openxmlformats.org/officeDocument/2006/relationships/hyperlink" Target="http://re2.ai" TargetMode="External"/><Relationship Id="rId575" Type="http://schemas.openxmlformats.org/officeDocument/2006/relationships/hyperlink" Target="https://bookface-images.s3.amazonaws.com/small_logos/8af96b82dfc6a218480e3c6ad5ac4747e3dec0b1.png" TargetMode="External"/><Relationship Id="rId574" Type="http://schemas.openxmlformats.org/officeDocument/2006/relationships/hyperlink" Target="http://rescuetime.com" TargetMode="External"/><Relationship Id="rId573" Type="http://schemas.openxmlformats.org/officeDocument/2006/relationships/hyperlink" Target="https://bookface-images.s3.amazonaws.com/small_logos/6d35b8ea019eb95e63016971bc2bcc28e3bffcaa.png" TargetMode="External"/><Relationship Id="rId599" Type="http://schemas.openxmlformats.org/officeDocument/2006/relationships/hyperlink" Target="https://bookface-images.s3.amazonaws.com/small_logos/9198e32a9228cae0e505965e16a622656e9c5d27.png" TargetMode="External"/><Relationship Id="rId594" Type="http://schemas.openxmlformats.org/officeDocument/2006/relationships/hyperlink" Target="https://rootly.com" TargetMode="External"/><Relationship Id="rId593" Type="http://schemas.openxmlformats.org/officeDocument/2006/relationships/hyperlink" Target="https://bookface-images.s3.amazonaws.com/small_logos/fd99f12f76a266177e14e70e980faa586211bdce.png" TargetMode="External"/><Relationship Id="rId592" Type="http://schemas.openxmlformats.org/officeDocument/2006/relationships/hyperlink" Target="https://www.rollstack.com" TargetMode="External"/><Relationship Id="rId591" Type="http://schemas.openxmlformats.org/officeDocument/2006/relationships/hyperlink" Target="https://bookface-images.s3.amazonaws.com/small_logos/68f0dc07afa30d8d9567bca45465b77295c80321.png" TargetMode="External"/><Relationship Id="rId598" Type="http://schemas.openxmlformats.org/officeDocument/2006/relationships/hyperlink" Target="http://runahr.com/" TargetMode="External"/><Relationship Id="rId597" Type="http://schemas.openxmlformats.org/officeDocument/2006/relationships/hyperlink" Target="https://bookface-images.s3.amazonaws.com/small_logos/a83287c586a112549fd07af3737d8b67becbeeaf.png" TargetMode="External"/><Relationship Id="rId596" Type="http://schemas.openxmlformats.org/officeDocument/2006/relationships/hyperlink" Target="http://routine.co" TargetMode="External"/><Relationship Id="rId595" Type="http://schemas.openxmlformats.org/officeDocument/2006/relationships/hyperlink" Target="https://bookface-images.s3.amazonaws.com/small_logos/6a2564e596519346980eeb0db1c1545af7126b49.png" TargetMode="External"/><Relationship Id="rId547" Type="http://schemas.openxmlformats.org/officeDocument/2006/relationships/hyperlink" Target="https://bookface-images.s3.amazonaws.com/small_logos/5de4d57756c747e087b70e720cbfdb09672b0cc7.png" TargetMode="External"/><Relationship Id="rId546" Type="http://schemas.openxmlformats.org/officeDocument/2006/relationships/hyperlink" Target="http://www.realitydefender.com" TargetMode="External"/><Relationship Id="rId545" Type="http://schemas.openxmlformats.org/officeDocument/2006/relationships/hyperlink" Target="https://bookface-images.s3.amazonaws.com/small_logos/b439037aa1eff5c68f155380d209a8b299776afc.png" TargetMode="External"/><Relationship Id="rId544" Type="http://schemas.openxmlformats.org/officeDocument/2006/relationships/hyperlink" Target="https://ready.net" TargetMode="External"/><Relationship Id="rId549" Type="http://schemas.openxmlformats.org/officeDocument/2006/relationships/hyperlink" Target="https://bookface-images.s3.amazonaws.com/small_logos/e7c0efa8c2a26fb6420ba78e65ca6bed2a565d94.png" TargetMode="External"/><Relationship Id="rId548" Type="http://schemas.openxmlformats.org/officeDocument/2006/relationships/hyperlink" Target="http://realm.io" TargetMode="External"/><Relationship Id="rId543" Type="http://schemas.openxmlformats.org/officeDocument/2006/relationships/hyperlink" Target="https://bookface-images.s3.amazonaws.com/small_logos/5a8bd3afbbc73a7d4c44e873cf178a675ddaa19d.png" TargetMode="External"/><Relationship Id="rId542" Type="http://schemas.openxmlformats.org/officeDocument/2006/relationships/hyperlink" Target="http://readme.com" TargetMode="External"/><Relationship Id="rId541" Type="http://schemas.openxmlformats.org/officeDocument/2006/relationships/hyperlink" Target="https://bookface-images.s3.amazonaws.com/small_logos/463c3d193688528df24476e8cb9f38c5c795dadf.png" TargetMode="External"/><Relationship Id="rId540" Type="http://schemas.openxmlformats.org/officeDocument/2006/relationships/hyperlink" Target="https://raycast.com" TargetMode="External"/><Relationship Id="rId536" Type="http://schemas.openxmlformats.org/officeDocument/2006/relationships/hyperlink" Target="https://www.rankscience.com" TargetMode="External"/><Relationship Id="rId535" Type="http://schemas.openxmlformats.org/officeDocument/2006/relationships/hyperlink" Target="https://bookface-images.s3.amazonaws.com/small_logos/22f0a7cd19d2131e98d125831b7f88d7f3314bbe.png" TargetMode="External"/><Relationship Id="rId534" Type="http://schemas.openxmlformats.org/officeDocument/2006/relationships/hyperlink" Target="http://www.ramani.io" TargetMode="External"/><Relationship Id="rId533" Type="http://schemas.openxmlformats.org/officeDocument/2006/relationships/hyperlink" Target="https://bookface-images.s3.amazonaws.com/small_logos/8d1bec746269f46935a108658fb17cddc54ed760.png" TargetMode="External"/><Relationship Id="rId539" Type="http://schemas.openxmlformats.org/officeDocument/2006/relationships/hyperlink" Target="https://bookface-images.s3.amazonaws.com/small_logos/478b0d63f1d899f9ce8c0bb8ba1bb2a8a7a42392.png" TargetMode="External"/><Relationship Id="rId538" Type="http://schemas.openxmlformats.org/officeDocument/2006/relationships/hyperlink" Target="http://raventech.com" TargetMode="External"/><Relationship Id="rId537" Type="http://schemas.openxmlformats.org/officeDocument/2006/relationships/hyperlink" Target="https://bookface-images.s3.amazonaws.com/small_logos/b0e1a686e82d7baf1431c13fde889f55c35832d4.png" TargetMode="External"/><Relationship Id="rId532" Type="http://schemas.openxmlformats.org/officeDocument/2006/relationships/hyperlink" Target="https://www.rallyuxr.com/" TargetMode="External"/><Relationship Id="rId531" Type="http://schemas.openxmlformats.org/officeDocument/2006/relationships/hyperlink" Target="https://bookface-images.s3.amazonaws.com/small_logos/49bc9e493d029a722d06cf9c8ebef18ffa6edc92.png" TargetMode="External"/><Relationship Id="rId530" Type="http://schemas.openxmlformats.org/officeDocument/2006/relationships/hyperlink" Target="https://www.rainforestqa.com" TargetMode="External"/><Relationship Id="rId569" Type="http://schemas.openxmlformats.org/officeDocument/2006/relationships/hyperlink" Target="https://bookface-images.s3.amazonaws.com/small_logos/ab42675041aef132402c992806f4c6055f9cad60.png" TargetMode="External"/><Relationship Id="rId568" Type="http://schemas.openxmlformats.org/officeDocument/2006/relationships/hyperlink" Target="http://www.getreplenish.com" TargetMode="External"/><Relationship Id="rId567" Type="http://schemas.openxmlformats.org/officeDocument/2006/relationships/hyperlink" Target="https://bookface-images.s3.amazonaws.com/small_logos/d0982d6d00a58ecb3bc95af145fb87d497262073.png" TargetMode="External"/><Relationship Id="rId566" Type="http://schemas.openxmlformats.org/officeDocument/2006/relationships/hyperlink" Target="https://rendernet.ai" TargetMode="External"/><Relationship Id="rId561" Type="http://schemas.openxmlformats.org/officeDocument/2006/relationships/hyperlink" Target="https://rehook.ai/" TargetMode="External"/><Relationship Id="rId560" Type="http://schemas.openxmlformats.org/officeDocument/2006/relationships/hyperlink" Target="https://bookface-images.s3.amazonaws.com/small_logos/2d64f3c4f837e97a80dc51e0a1c6f4bc76b3626e.png" TargetMode="External"/><Relationship Id="rId565" Type="http://schemas.openxmlformats.org/officeDocument/2006/relationships/hyperlink" Target="https://bookface-images.s3.amazonaws.com/small_logos/0e6c64767a125ee87298d334abf30db7dd217302.png" TargetMode="External"/><Relationship Id="rId564" Type="http://schemas.openxmlformats.org/officeDocument/2006/relationships/hyperlink" Target="https://release.com" TargetMode="External"/><Relationship Id="rId563" Type="http://schemas.openxmlformats.org/officeDocument/2006/relationships/hyperlink" Target="https://bookface-images.s3.amazonaws.com/small_logos/53da24c36b479dbe73257b4e0460bbc902e023bf.png" TargetMode="External"/><Relationship Id="rId562" Type="http://schemas.openxmlformats.org/officeDocument/2006/relationships/hyperlink" Target="http://rehook.ai" TargetMode="External"/><Relationship Id="rId558" Type="http://schemas.openxmlformats.org/officeDocument/2006/relationships/hyperlink" Target="https://bookface-images.s3.amazonaws.com/small_logos/10e60623a6f9ead582ef32a7eb60d830f6544cbe.png" TargetMode="External"/><Relationship Id="rId557" Type="http://schemas.openxmlformats.org/officeDocument/2006/relationships/hyperlink" Target="https://redbrickai.com" TargetMode="External"/><Relationship Id="rId556" Type="http://schemas.openxmlformats.org/officeDocument/2006/relationships/hyperlink" Target="https://bookface-images.s3.amazonaws.com/small_logos/5fe4ce1410d8f06bc2d1f59d61a7c96d9c9fccdd.png" TargetMode="External"/><Relationship Id="rId555" Type="http://schemas.openxmlformats.org/officeDocument/2006/relationships/hyperlink" Target="http://www.recurrency.com" TargetMode="External"/><Relationship Id="rId559" Type="http://schemas.openxmlformats.org/officeDocument/2006/relationships/hyperlink" Target="http://regology.com" TargetMode="External"/><Relationship Id="rId550" Type="http://schemas.openxmlformats.org/officeDocument/2006/relationships/hyperlink" Target="https://www.recall.ai" TargetMode="External"/><Relationship Id="rId554" Type="http://schemas.openxmlformats.org/officeDocument/2006/relationships/hyperlink" Target="https://bookface-images.s3.amazonaws.com/small_logos/3875d1d979cbc4f3d637b7d4c36031d0e7abc4ec.png" TargetMode="External"/><Relationship Id="rId553" Type="http://schemas.openxmlformats.org/officeDocument/2006/relationships/hyperlink" Target="https://play.google.com/store/apps/details?id=com.foodmonk.rekordapp" TargetMode="External"/><Relationship Id="rId552" Type="http://schemas.openxmlformats.org/officeDocument/2006/relationships/hyperlink" Target="https://bookface-images.s3.amazonaws.com/small_logos/2d6872d13351da06ebec7a2375682212667cb787.png" TargetMode="External"/><Relationship Id="rId551" Type="http://schemas.openxmlformats.org/officeDocument/2006/relationships/hyperlink" Target="http://recall.ai" TargetMode="External"/><Relationship Id="rId495" Type="http://schemas.openxmlformats.org/officeDocument/2006/relationships/hyperlink" Target="https://bookface-images.s3.amazonaws.com/small_logos/c11b529afd406376db5eecdb08ae765601c28526.png" TargetMode="External"/><Relationship Id="rId494" Type="http://schemas.openxmlformats.org/officeDocument/2006/relationships/hyperlink" Target="https://prembly.com/" TargetMode="External"/><Relationship Id="rId493" Type="http://schemas.openxmlformats.org/officeDocument/2006/relationships/hyperlink" Target="https://bookface-images.s3.amazonaws.com/small_logos/07b8447f479f15c7ba47b48df5baa9957b41afdb.png" TargetMode="External"/><Relationship Id="rId492" Type="http://schemas.openxmlformats.org/officeDocument/2006/relationships/hyperlink" Target="https://prelay.com" TargetMode="External"/><Relationship Id="rId499" Type="http://schemas.openxmlformats.org/officeDocument/2006/relationships/hyperlink" Target="http://promoted.ai" TargetMode="External"/><Relationship Id="rId498" Type="http://schemas.openxmlformats.org/officeDocument/2006/relationships/hyperlink" Target="http://www.promoted.ai" TargetMode="External"/><Relationship Id="rId497" Type="http://schemas.openxmlformats.org/officeDocument/2006/relationships/hyperlink" Target="https://bookface-images.s3.amazonaws.com/small_logos/7af3ebc3d01b55f1bcbe3d6c0c7f7edbaae31b20.png" TargetMode="External"/><Relationship Id="rId496" Type="http://schemas.openxmlformats.org/officeDocument/2006/relationships/hyperlink" Target="https://prosights.co/" TargetMode="External"/><Relationship Id="rId409" Type="http://schemas.openxmlformats.org/officeDocument/2006/relationships/hyperlink" Target="https://bookface-images.s3.amazonaws.com/small_logos/2c2fa6d386ec21518429f968426d97c0be895365.png" TargetMode="External"/><Relationship Id="rId404" Type="http://schemas.openxmlformats.org/officeDocument/2006/relationships/hyperlink" Target="https://bookface-images.s3.amazonaws.com/small_logos/282992bccaef3812d15f0bc6b45e2cce6670a8d0.png" TargetMode="External"/><Relationship Id="rId403" Type="http://schemas.openxmlformats.org/officeDocument/2006/relationships/hyperlink" Target="http://neptune.io" TargetMode="External"/><Relationship Id="rId402" Type="http://schemas.openxmlformats.org/officeDocument/2006/relationships/hyperlink" Target="https://bookface-images.s3.amazonaws.com/small_logos/22212a19a00cdc48d8187c96a9935e78ca56ee79.png" TargetMode="External"/><Relationship Id="rId401" Type="http://schemas.openxmlformats.org/officeDocument/2006/relationships/hyperlink" Target="https://bookface-images.s3.amazonaws.com/small_logos/85d1c8b167dc541ab5c546bde5eef2173f5264c6.png" TargetMode="External"/><Relationship Id="rId408" Type="http://schemas.openxmlformats.org/officeDocument/2006/relationships/hyperlink" Target="https://bookface-images.s3.amazonaws.com/small_logos/183cd53deae661b3e0db77992dd32b60436e8c3c.png" TargetMode="External"/><Relationship Id="rId407" Type="http://schemas.openxmlformats.org/officeDocument/2006/relationships/hyperlink" Target="https://bookface-images.s3.amazonaws.com/small_logos/8c1d123b552beeb8e2869bfad1b5ff25b3b6689b.png" TargetMode="External"/><Relationship Id="rId406" Type="http://schemas.openxmlformats.org/officeDocument/2006/relationships/hyperlink" Target="https://bookface-images.s3.amazonaws.com/small_logos/d39f800aa2dc90e00b32e18744204e9e5186ea14.png" TargetMode="External"/><Relationship Id="rId405" Type="http://schemas.openxmlformats.org/officeDocument/2006/relationships/hyperlink" Target="https://bookface-images.s3.amazonaws.com/small_logos/3bb0f1e6139ce028b1d8fef936eb1121108bc7da.png" TargetMode="External"/><Relationship Id="rId400" Type="http://schemas.openxmlformats.org/officeDocument/2006/relationships/hyperlink" Target="https://bookface-images.s3.amazonaws.com/small_logos/cf701830a11ee7b44f7e149accbdf43a20eed525.png" TargetMode="External"/><Relationship Id="rId469" Type="http://schemas.openxmlformats.org/officeDocument/2006/relationships/hyperlink" Target="https://bookface-images.s3.amazonaws.com/small_logos/3aa6cdb6e4514111f85524a950c06080c4af48cb.png" TargetMode="External"/><Relationship Id="rId468" Type="http://schemas.openxmlformats.org/officeDocument/2006/relationships/hyperlink" Target="https://pluggy.ai" TargetMode="External"/><Relationship Id="rId467" Type="http://schemas.openxmlformats.org/officeDocument/2006/relationships/hyperlink" Target="https://bookface-images.s3.amazonaws.com/small_logos/35a9be04900715d4438b247464cf89a9e6b3e6a3.png" TargetMode="External"/><Relationship Id="rId462" Type="http://schemas.openxmlformats.org/officeDocument/2006/relationships/hyperlink" Target="https://play.ht/" TargetMode="External"/><Relationship Id="rId461" Type="http://schemas.openxmlformats.org/officeDocument/2006/relationships/hyperlink" Target="https://bookface-images.s3.amazonaws.com/small_logos/fc15418039f776573a0ea610002c9231a2e1a0cb.png" TargetMode="External"/><Relationship Id="rId460" Type="http://schemas.openxmlformats.org/officeDocument/2006/relationships/hyperlink" Target="http://www.platohq.com" TargetMode="External"/><Relationship Id="rId466" Type="http://schemas.openxmlformats.org/officeDocument/2006/relationships/hyperlink" Target="https://www.plerk.io" TargetMode="External"/><Relationship Id="rId465" Type="http://schemas.openxmlformats.org/officeDocument/2006/relationships/hyperlink" Target="https://bookface-images.s3.amazonaws.com/small_logos/8d042750022ceb867d7506837474acf57e7f3874.png" TargetMode="External"/><Relationship Id="rId464" Type="http://schemas.openxmlformats.org/officeDocument/2006/relationships/hyperlink" Target="https://playment.io/" TargetMode="External"/><Relationship Id="rId463" Type="http://schemas.openxmlformats.org/officeDocument/2006/relationships/hyperlink" Target="https://bookface-images.s3.amazonaws.com/small_logos/b51a234c04b9c04472dc8991c3d411ee0f347db7.png" TargetMode="External"/><Relationship Id="rId459" Type="http://schemas.openxmlformats.org/officeDocument/2006/relationships/hyperlink" Target="https://bookface-images.s3.amazonaws.com/small_logos/6b9a091d0d628df51961ca396fdaadc2e087ad89.png" TargetMode="External"/><Relationship Id="rId458" Type="http://schemas.openxmlformats.org/officeDocument/2006/relationships/hyperlink" Target="https://plane.com" TargetMode="External"/><Relationship Id="rId457" Type="http://schemas.openxmlformats.org/officeDocument/2006/relationships/hyperlink" Target="https://bookface-images.s3.amazonaws.com/small_logos/9e5edb26e5bdc44b210c50ed3cc68204303afbc9.png" TargetMode="External"/><Relationship Id="rId456" Type="http://schemas.openxmlformats.org/officeDocument/2006/relationships/hyperlink" Target="https://www.plai.io/" TargetMode="External"/><Relationship Id="rId451" Type="http://schemas.openxmlformats.org/officeDocument/2006/relationships/hyperlink" Target="https://bookface-images.s3.amazonaws.com/small_logos/eb10300785960d3b48dfff648ae5ee0f8ba40cfc.png" TargetMode="External"/><Relationship Id="rId450" Type="http://schemas.openxmlformats.org/officeDocument/2006/relationships/hyperlink" Target="http://www.pier-finance.com" TargetMode="External"/><Relationship Id="rId455" Type="http://schemas.openxmlformats.org/officeDocument/2006/relationships/hyperlink" Target="https://bookface-images.s3.amazonaws.com/small_logos/a8ce36b7cc090f269ccda83063e61196068ef7a9.png" TargetMode="External"/><Relationship Id="rId454" Type="http://schemas.openxmlformats.org/officeDocument/2006/relationships/hyperlink" Target="http://pixate.com" TargetMode="External"/><Relationship Id="rId453" Type="http://schemas.openxmlformats.org/officeDocument/2006/relationships/hyperlink" Target="https://bookface-images.s3.amazonaws.com/small_logos/ab66514ee2aae2caa138e769ced840f8e4eba100.png" TargetMode="External"/><Relationship Id="rId452" Type="http://schemas.openxmlformats.org/officeDocument/2006/relationships/hyperlink" Target="https://piinpoint.com" TargetMode="External"/><Relationship Id="rId491" Type="http://schemas.openxmlformats.org/officeDocument/2006/relationships/hyperlink" Target="https://bookface-images.s3.amazonaws.com/small_logos/b10d77e47db3e8eb6906d0910aae2de86a6b6efe.png" TargetMode="External"/><Relationship Id="rId490" Type="http://schemas.openxmlformats.org/officeDocument/2006/relationships/hyperlink" Target="http://www.preki.com" TargetMode="External"/><Relationship Id="rId489" Type="http://schemas.openxmlformats.org/officeDocument/2006/relationships/hyperlink" Target="https://bookface-images.s3.amazonaws.com/small_logos/1b1dfbe12c8d51212415378b6233142fd20817a2.png" TargetMode="External"/><Relationship Id="rId484" Type="http://schemas.openxmlformats.org/officeDocument/2006/relationships/hyperlink" Target="https://porter.run" TargetMode="External"/><Relationship Id="rId483" Type="http://schemas.openxmlformats.org/officeDocument/2006/relationships/hyperlink" Target="https://bookface-images.s3.amazonaws.com/small_logos/13743e9786ef3077b61d0d72e6ce988840b731ca.png" TargetMode="External"/><Relationship Id="rId482" Type="http://schemas.openxmlformats.org/officeDocument/2006/relationships/hyperlink" Target="https://portao3.com.br" TargetMode="External"/><Relationship Id="rId481" Type="http://schemas.openxmlformats.org/officeDocument/2006/relationships/hyperlink" Target="https://bookface-images.s3.amazonaws.com/small_logos/86ed9662f1f5dd97d9e9fcd4def24972e1fa3c3e.png" TargetMode="External"/><Relationship Id="rId488" Type="http://schemas.openxmlformats.org/officeDocument/2006/relationships/hyperlink" Target="https://predictleads.com" TargetMode="External"/><Relationship Id="rId487" Type="http://schemas.openxmlformats.org/officeDocument/2006/relationships/hyperlink" Target="https://bookface-images.s3.amazonaws.com/small_logos/6b751b6367e4bf6fedf38c26f0d15cb4a4c675eb.png" TargetMode="External"/><Relationship Id="rId486" Type="http://schemas.openxmlformats.org/officeDocument/2006/relationships/hyperlink" Target="https://www.posthog.com" TargetMode="External"/><Relationship Id="rId485" Type="http://schemas.openxmlformats.org/officeDocument/2006/relationships/hyperlink" Target="https://bookface-images.s3.amazonaws.com/small_logos/6ef65d4ede897a26ed6e9d886562f50dc512caee.png" TargetMode="External"/><Relationship Id="rId480" Type="http://schemas.openxmlformats.org/officeDocument/2006/relationships/hyperlink" Target="http://popularpays.com" TargetMode="External"/><Relationship Id="rId479" Type="http://schemas.openxmlformats.org/officeDocument/2006/relationships/hyperlink" Target="https://bookface-images.s3.amazonaws.com/small_logos/38d405f6de14f8d3d7f5c8feb80ff7911ac69ec2.png" TargetMode="External"/><Relationship Id="rId478" Type="http://schemas.openxmlformats.org/officeDocument/2006/relationships/hyperlink" Target="https://popl.co/" TargetMode="External"/><Relationship Id="rId473" Type="http://schemas.openxmlformats.org/officeDocument/2006/relationships/hyperlink" Target="https://bookface-images.s3.amazonaws.com/small_logos/cdb97ca4207ccb8346f6dd29984f5fca487812e0.png" TargetMode="External"/><Relationship Id="rId472" Type="http://schemas.openxmlformats.org/officeDocument/2006/relationships/hyperlink" Target="https://pocketsuite.io" TargetMode="External"/><Relationship Id="rId471" Type="http://schemas.openxmlformats.org/officeDocument/2006/relationships/hyperlink" Target="https://bookface-images.s3.amazonaws.com/small_logos/73b6704b442fafacacd64a71fafe1899c3d11a6c.png" TargetMode="External"/><Relationship Id="rId470" Type="http://schemas.openxmlformats.org/officeDocument/2006/relationships/hyperlink" Target="https://getplutto.com/" TargetMode="External"/><Relationship Id="rId477" Type="http://schemas.openxmlformats.org/officeDocument/2006/relationships/hyperlink" Target="https://bookface-images.s3.amazonaws.com/small_logos/79a599a24d933d5f21dc134891224337e7ef167a.png" TargetMode="External"/><Relationship Id="rId476" Type="http://schemas.openxmlformats.org/officeDocument/2006/relationships/hyperlink" Target="https://popsql.com" TargetMode="External"/><Relationship Id="rId475" Type="http://schemas.openxmlformats.org/officeDocument/2006/relationships/hyperlink" Target="https://bookface-images.s3.amazonaws.com/small_logos/ecbec2f3750898b4408fbaa96c7249395a7fc445.png" TargetMode="External"/><Relationship Id="rId474" Type="http://schemas.openxmlformats.org/officeDocument/2006/relationships/hyperlink" Target="https://www.polleverywhere.com" TargetMode="External"/><Relationship Id="rId426" Type="http://schemas.openxmlformats.org/officeDocument/2006/relationships/hyperlink" Target="https://bookface-images.s3.amazonaws.com/small_logos/84a379a855383dd9f04eb9f1434a35da528ec456.png" TargetMode="External"/><Relationship Id="rId425" Type="http://schemas.openxmlformats.org/officeDocument/2006/relationships/hyperlink" Target="https://bookface-images.s3.amazonaws.com/small_logos/743c785c35b25f87660bedbb70b1a2667dbe9c7e.png" TargetMode="External"/><Relationship Id="rId424" Type="http://schemas.openxmlformats.org/officeDocument/2006/relationships/hyperlink" Target="https://bookface-images.s3.amazonaws.com/small_logos/cd1326e4f02e779f1009ae931cfeb26eb1eb20b7.png" TargetMode="External"/><Relationship Id="rId423" Type="http://schemas.openxmlformats.org/officeDocument/2006/relationships/hyperlink" Target="https://bookface-images.s3.amazonaws.com/small_logos/c8b46bfc8422d4590d819ae4695c62834845a549.png" TargetMode="External"/><Relationship Id="rId429" Type="http://schemas.openxmlformats.org/officeDocument/2006/relationships/hyperlink" Target="https://bookface-images.s3.amazonaws.com/small_logos/d5d9e6c75bc7c2d4c1af89242e58d56069cd10c6.png" TargetMode="External"/><Relationship Id="rId428" Type="http://schemas.openxmlformats.org/officeDocument/2006/relationships/hyperlink" Target="https://bookface-images.s3.amazonaws.com/small_logos/645d902ed813d617206c22ce485d48419ccb91c1.png" TargetMode="External"/><Relationship Id="rId427" Type="http://schemas.openxmlformats.org/officeDocument/2006/relationships/hyperlink" Target="https://bookface-images.s3.amazonaws.com/small_logos/23351b36c00bacc651a4389386057c50f0690542.png" TargetMode="External"/><Relationship Id="rId422" Type="http://schemas.openxmlformats.org/officeDocument/2006/relationships/hyperlink" Target="https://bookface-images.s3.amazonaws.com/small_logos/02ca984c664acd671be4123ea5824a7fbc55c95c.png" TargetMode="External"/><Relationship Id="rId421" Type="http://schemas.openxmlformats.org/officeDocument/2006/relationships/hyperlink" Target="https://bookface-images.s3.amazonaws.com/small_logos/115e9bc9f54e89ef6b7151c81d7b8dbca815879f.png" TargetMode="External"/><Relationship Id="rId420" Type="http://schemas.openxmlformats.org/officeDocument/2006/relationships/hyperlink" Target="https://bookface-images.s3.amazonaws.com/small_logos/a9dd01a9d8456816adc08efdeb71d76abc637e45.png" TargetMode="External"/><Relationship Id="rId415" Type="http://schemas.openxmlformats.org/officeDocument/2006/relationships/hyperlink" Target="https://bookface-images.s3.amazonaws.com/small_logos/3c3d40f72df41578d8ea65289c3df0e14e53d573.png" TargetMode="External"/><Relationship Id="rId414" Type="http://schemas.openxmlformats.org/officeDocument/2006/relationships/hyperlink" Target="https://bookface-images.s3.amazonaws.com/small_logos/e8ab18dae7115ef76227acd0cd0b5680b6505cd7.png" TargetMode="External"/><Relationship Id="rId413" Type="http://schemas.openxmlformats.org/officeDocument/2006/relationships/hyperlink" Target="https://bookface-images.s3.amazonaws.com/small_logos/c0f30c988fde8ec60cc14e8c5cf656b62cd6d35d.png" TargetMode="External"/><Relationship Id="rId412" Type="http://schemas.openxmlformats.org/officeDocument/2006/relationships/hyperlink" Target="https://bookface-images.s3.amazonaws.com/small_logos/e5b5f4f9cecde6a25ed38c833a80f9949aae6575.png" TargetMode="External"/><Relationship Id="rId419" Type="http://schemas.openxmlformats.org/officeDocument/2006/relationships/hyperlink" Target="https://bookface-images.s3.amazonaws.com/small_logos/f144160c4ffc7ca5630f9be867ceb45fdc18ac6b.png" TargetMode="External"/><Relationship Id="rId418" Type="http://schemas.openxmlformats.org/officeDocument/2006/relationships/hyperlink" Target="https://bookface-images.s3.amazonaws.com/small_logos/7ff33564bb52577d5950335e7ae4c2e1fab8f9fa.png" TargetMode="External"/><Relationship Id="rId417" Type="http://schemas.openxmlformats.org/officeDocument/2006/relationships/hyperlink" Target="https://bookface-images.s3.amazonaws.com/small_logos/65528c51b9eccc4012b7ad09d502f4452f49c03f.png" TargetMode="External"/><Relationship Id="rId416" Type="http://schemas.openxmlformats.org/officeDocument/2006/relationships/hyperlink" Target="https://bookface-images.s3.amazonaws.com/small_logos/8225c25b6e5f608184bc27c325d86719271d8b6a.png" TargetMode="External"/><Relationship Id="rId411" Type="http://schemas.openxmlformats.org/officeDocument/2006/relationships/hyperlink" Target="https://bookface-images.s3.amazonaws.com/small_logos/2b0f2c4947976db4329789cc22f30a10206acb57.png" TargetMode="External"/><Relationship Id="rId410" Type="http://schemas.openxmlformats.org/officeDocument/2006/relationships/hyperlink" Target="https://bookface-images.s3.amazonaws.com/small_logos/b8a0b353d8305ff47c82386cea196a9a9e2bda64.png" TargetMode="External"/><Relationship Id="rId448" Type="http://schemas.openxmlformats.org/officeDocument/2006/relationships/hyperlink" Target="http://pibit.ai" TargetMode="External"/><Relationship Id="rId447" Type="http://schemas.openxmlformats.org/officeDocument/2006/relationships/hyperlink" Target="https://pibit.ai" TargetMode="External"/><Relationship Id="rId446" Type="http://schemas.openxmlformats.org/officeDocument/2006/relationships/hyperlink" Target="https://bookface-images.s3.amazonaws.com/small_logos/6ac43c20fc7f26776b3ffae37509dfecb60b9ef2.png" TargetMode="External"/><Relationship Id="rId445" Type="http://schemas.openxmlformats.org/officeDocument/2006/relationships/hyperlink" Target="http://www.persistiq.com" TargetMode="External"/><Relationship Id="rId449" Type="http://schemas.openxmlformats.org/officeDocument/2006/relationships/hyperlink" Target="https://bookface-images.s3.amazonaws.com/small_logos/a3b97233fe2d2709bfe27a59ba2585d4b741fe7a.png" TargetMode="External"/><Relationship Id="rId440" Type="http://schemas.openxmlformats.org/officeDocument/2006/relationships/hyperlink" Target="https://www.peoplebox.ai" TargetMode="External"/><Relationship Id="rId444" Type="http://schemas.openxmlformats.org/officeDocument/2006/relationships/hyperlink" Target="http://perfectaudience.com" TargetMode="External"/><Relationship Id="rId443" Type="http://schemas.openxmlformats.org/officeDocument/2006/relationships/hyperlink" Target="https://bookface-images.s3.amazonaws.com/small_logos/598668f38816dc5cfd50d0d695fccc6371a93877.png" TargetMode="External"/><Relationship Id="rId442" Type="http://schemas.openxmlformats.org/officeDocument/2006/relationships/hyperlink" Target="https://tryperdiem.com" TargetMode="External"/><Relationship Id="rId441" Type="http://schemas.openxmlformats.org/officeDocument/2006/relationships/hyperlink" Target="https://bookface-images.s3.amazonaws.com/small_logos/d90945bbd65aa37022870fefcb46d282f82e8624.png" TargetMode="External"/><Relationship Id="rId437" Type="http://schemas.openxmlformats.org/officeDocument/2006/relationships/hyperlink" Target="https://bookface-images.s3.amazonaws.com/small_logos/c2f3335ebf887d6a8fa009be25267d1702eb2a4c.png" TargetMode="External"/><Relationship Id="rId436" Type="http://schemas.openxmlformats.org/officeDocument/2006/relationships/hyperlink" Target="https://www.payflow.es/" TargetMode="External"/><Relationship Id="rId435" Type="http://schemas.openxmlformats.org/officeDocument/2006/relationships/hyperlink" Target="https://bookface-images.s3.amazonaws.com/small_logos/6f25b083ae5853d0fb4e5eee2ce6794565ac6775.png" TargetMode="External"/><Relationship Id="rId434" Type="http://schemas.openxmlformats.org/officeDocument/2006/relationships/hyperlink" Target="https://pathmind.com" TargetMode="External"/><Relationship Id="rId439" Type="http://schemas.openxmlformats.org/officeDocument/2006/relationships/hyperlink" Target="https://bookface-images.s3.amazonaws.com/small_logos/8e0d56341c205ff1b0f1dda68334bc8576895953.png" TargetMode="External"/><Relationship Id="rId438" Type="http://schemas.openxmlformats.org/officeDocument/2006/relationships/hyperlink" Target="https://www.peer5.com" TargetMode="External"/><Relationship Id="rId433" Type="http://schemas.openxmlformats.org/officeDocument/2006/relationships/hyperlink" Target="https://bookface-images.s3.amazonaws.com/small_logos/29f5231e61be9a4d070ec964b3a00684b46232d6.png" TargetMode="External"/><Relationship Id="rId432" Type="http://schemas.openxmlformats.org/officeDocument/2006/relationships/hyperlink" Target="https://bookface-images.s3.amazonaws.com/small_logos/92839bd2f4eacdd8bdaca34c9a4101cc5cd19439.png" TargetMode="External"/><Relationship Id="rId431" Type="http://schemas.openxmlformats.org/officeDocument/2006/relationships/hyperlink" Target="https://bookface-images.s3.amazonaws.com/small_logos/71d8fe724bf62445db1e2f76ff63e411c7f74f2c.png" TargetMode="External"/><Relationship Id="rId430" Type="http://schemas.openxmlformats.org/officeDocument/2006/relationships/hyperlink" Target="https://bookface-images.s3.amazonaws.com/small_logos/c9bce72c2317a7d021e57753b48e391f11396ca9.png" TargetMode="External"/><Relationship Id="rId1" Type="http://schemas.openxmlformats.org/officeDocument/2006/relationships/hyperlink" Target="https://bookface-images.s3.amazonaws.com/small_logos/621cb43ec50d1aae545391abcc114014c84d295f.png" TargetMode="External"/><Relationship Id="rId2" Type="http://schemas.openxmlformats.org/officeDocument/2006/relationships/hyperlink" Target="https://bookface-images.s3.amazonaws.com/small_logos/3818df985d5f502f5dc4a6816903ce174528467f.png" TargetMode="External"/><Relationship Id="rId3" Type="http://schemas.openxmlformats.org/officeDocument/2006/relationships/hyperlink" Target="https://bookface-images.s3.amazonaws.com/small_logos/29d280b26b9013cd722967a3c3239ae0da94db1c.png" TargetMode="External"/><Relationship Id="rId4" Type="http://schemas.openxmlformats.org/officeDocument/2006/relationships/hyperlink" Target="https://bookface-images.s3.amazonaws.com/small_logos/26b12777ded0ad248c87b09da978d09a244dcff3.png" TargetMode="External"/><Relationship Id="rId9" Type="http://schemas.openxmlformats.org/officeDocument/2006/relationships/hyperlink" Target="https://bookface-images.s3.amazonaws.com/small_logos/397665634f98c5b29320b633cf76ae515930481f.png" TargetMode="External"/><Relationship Id="rId5" Type="http://schemas.openxmlformats.org/officeDocument/2006/relationships/hyperlink" Target="https://bookface-images.s3.amazonaws.com/small_logos/8a4562eea5bec9eaf52ff9e3598861ff6e24fdf0.png" TargetMode="External"/><Relationship Id="rId6" Type="http://schemas.openxmlformats.org/officeDocument/2006/relationships/hyperlink" Target="https://bookface-images.s3.amazonaws.com/small_logos/5c3627a012cbd2927f9d0157663c3668b458fe3e.png" TargetMode="External"/><Relationship Id="rId7" Type="http://schemas.openxmlformats.org/officeDocument/2006/relationships/hyperlink" Target="https://bookface-images.s3.amazonaws.com/small_logos/565db1f58d2ff6409bb5c8eb3aefcdbc3f515329.png" TargetMode="External"/><Relationship Id="rId8" Type="http://schemas.openxmlformats.org/officeDocument/2006/relationships/hyperlink" Target="https://bookface-images.s3.amazonaws.com/small_logos/3015f73175878c54eab97f6a814f0a9d9b0023f8.png" TargetMode="External"/><Relationship Id="rId808" Type="http://schemas.openxmlformats.org/officeDocument/2006/relationships/hyperlink" Target="https://www.traces.ai" TargetMode="External"/><Relationship Id="rId807" Type="http://schemas.openxmlformats.org/officeDocument/2006/relationships/hyperlink" Target="https://bookface-images.s3.amazonaws.com/small_logos/0515d5ceabf1836928bb3854d46f1f16a5323c01.png" TargetMode="External"/><Relationship Id="rId806" Type="http://schemas.openxmlformats.org/officeDocument/2006/relationships/hyperlink" Target="https://topship.africa/" TargetMode="External"/><Relationship Id="rId805" Type="http://schemas.openxmlformats.org/officeDocument/2006/relationships/hyperlink" Target="https://bookface-images.s3.amazonaws.com/small_logos/c43a0f3a8285bc157c443799365f68e59cff1e3c.png" TargetMode="External"/><Relationship Id="rId809" Type="http://schemas.openxmlformats.org/officeDocument/2006/relationships/hyperlink" Target="https://bookface-images.s3.amazonaws.com/small_logos/95c9d28f031050f88288e5b80195b4ca69c2dd41.png" TargetMode="External"/><Relationship Id="rId800" Type="http://schemas.openxmlformats.org/officeDocument/2006/relationships/hyperlink" Target="http://tigereye.com/" TargetMode="External"/><Relationship Id="rId804" Type="http://schemas.openxmlformats.org/officeDocument/2006/relationships/hyperlink" Target="https://www.toplinepro.com" TargetMode="External"/><Relationship Id="rId803" Type="http://schemas.openxmlformats.org/officeDocument/2006/relationships/hyperlink" Target="https://bookface-images.s3.amazonaws.com/small_logos/e02812a1fa539decb61773abfaa6945dded7849f.png" TargetMode="External"/><Relationship Id="rId802" Type="http://schemas.openxmlformats.org/officeDocument/2006/relationships/hyperlink" Target="https://togetherplatform.com" TargetMode="External"/><Relationship Id="rId801" Type="http://schemas.openxmlformats.org/officeDocument/2006/relationships/hyperlink" Target="https://bookface-images.s3.amazonaws.com/small_logos/cb773861a8ee7d9c8f9ea1ad72eeeb3cc4a2283e.png" TargetMode="External"/><Relationship Id="rId745" Type="http://schemas.openxmlformats.org/officeDocument/2006/relationships/hyperlink" Target="http://talentropy.ai" TargetMode="External"/><Relationship Id="rId744" Type="http://schemas.openxmlformats.org/officeDocument/2006/relationships/hyperlink" Target="https://talentropy.ai/" TargetMode="External"/><Relationship Id="rId743" Type="http://schemas.openxmlformats.org/officeDocument/2006/relationships/hyperlink" Target="https://bookface-images.s3.amazonaws.com/small_logos/fda6209e5ce1deac3dd962c779d7c375cd750a5a.png" TargetMode="External"/><Relationship Id="rId742" Type="http://schemas.openxmlformats.org/officeDocument/2006/relationships/hyperlink" Target="http://www.taktile.com" TargetMode="External"/><Relationship Id="rId749" Type="http://schemas.openxmlformats.org/officeDocument/2006/relationships/hyperlink" Target="https://tallpoppy.com" TargetMode="External"/><Relationship Id="rId748" Type="http://schemas.openxmlformats.org/officeDocument/2006/relationships/hyperlink" Target="https://bookface-images.s3.amazonaws.com/small_logos/32c3e67d3146d4db5470d6b6731cf422c4c9a2c0.png" TargetMode="External"/><Relationship Id="rId747" Type="http://schemas.openxmlformats.org/officeDocument/2006/relationships/hyperlink" Target="http://talkable.com" TargetMode="External"/><Relationship Id="rId746" Type="http://schemas.openxmlformats.org/officeDocument/2006/relationships/hyperlink" Target="https://bookface-images.s3.amazonaws.com/small_logos/c5f38bdb112c8bf97e2445f8e9171780c45e0dc5.png" TargetMode="External"/><Relationship Id="rId741" Type="http://schemas.openxmlformats.org/officeDocument/2006/relationships/hyperlink" Target="https://bookface-images.s3.amazonaws.com/small_logos/ce1648d37651c02150fcb49f3e67f87e9ae1acb1.png" TargetMode="External"/><Relationship Id="rId740" Type="http://schemas.openxmlformats.org/officeDocument/2006/relationships/hyperlink" Target="https://tajir.app" TargetMode="External"/><Relationship Id="rId739" Type="http://schemas.openxmlformats.org/officeDocument/2006/relationships/hyperlink" Target="https://bookface-images.s3.amazonaws.com/small_logos/517858a2f6d1535b89d71bd9bf5a0f334c3c7f8d.png" TargetMode="External"/><Relationship Id="rId734" Type="http://schemas.openxmlformats.org/officeDocument/2006/relationships/hyperlink" Target="https://www.tablevibe.co" TargetMode="External"/><Relationship Id="rId733" Type="http://schemas.openxmlformats.org/officeDocument/2006/relationships/hyperlink" Target="http://www.getsymple.com" TargetMode="External"/><Relationship Id="rId732" Type="http://schemas.openxmlformats.org/officeDocument/2006/relationships/hyperlink" Target="https://bookface-images.s3.amazonaws.com/small_logos/dfaf68c602e9d13793a1ce6bf58310eff1ce2121.png" TargetMode="External"/><Relationship Id="rId731" Type="http://schemas.openxmlformats.org/officeDocument/2006/relationships/hyperlink" Target="https://www.onswitchboard.com" TargetMode="External"/><Relationship Id="rId738" Type="http://schemas.openxmlformats.org/officeDocument/2006/relationships/hyperlink" Target="https://taiv.tv" TargetMode="External"/><Relationship Id="rId737" Type="http://schemas.openxmlformats.org/officeDocument/2006/relationships/hyperlink" Target="https://bookface-images.s3.amazonaws.com/small_logos/b5b96a023a0830adeacef1c406e170299676baab.png" TargetMode="External"/><Relationship Id="rId736" Type="http://schemas.openxmlformats.org/officeDocument/2006/relationships/hyperlink" Target="https://www.tailor.tech/" TargetMode="External"/><Relationship Id="rId735" Type="http://schemas.openxmlformats.org/officeDocument/2006/relationships/hyperlink" Target="https://bookface-images.s3.amazonaws.com/small_logos/4ad6d65b73663c6f23ddabd04f80d71e271e2d37.png" TargetMode="External"/><Relationship Id="rId730" Type="http://schemas.openxmlformats.org/officeDocument/2006/relationships/hyperlink" Target="https://bookface-images.s3.amazonaws.com/small_logos/e9858cc76fba57ade8f38dcfd4726735f88c3531.png" TargetMode="External"/><Relationship Id="rId767" Type="http://schemas.openxmlformats.org/officeDocument/2006/relationships/hyperlink" Target="http://teleborder.com" TargetMode="External"/><Relationship Id="rId766" Type="http://schemas.openxmlformats.org/officeDocument/2006/relationships/hyperlink" Target="https://bookface-images.s3.amazonaws.com/small_logos/185c56dbefb7e6cc77211e637e0c8ab47d642d7b.png" TargetMode="External"/><Relationship Id="rId765" Type="http://schemas.openxmlformats.org/officeDocument/2006/relationships/hyperlink" Target="https://www.teamout.com/" TargetMode="External"/><Relationship Id="rId764" Type="http://schemas.openxmlformats.org/officeDocument/2006/relationships/hyperlink" Target="https://bookface-images.s3.amazonaws.com/small_logos/5e80f24cb6eb0be2ffe43f35c7a912d2e48af9eb.png" TargetMode="External"/><Relationship Id="rId769" Type="http://schemas.openxmlformats.org/officeDocument/2006/relationships/hyperlink" Target="https://bookface-images.s3.amazonaws.com/small_logos/263d4d84c92376ed8c755e0f7348f5c855dc3ec8.png" TargetMode="External"/><Relationship Id="rId768" Type="http://schemas.openxmlformats.org/officeDocument/2006/relationships/hyperlink" Target="https://www.telm.ai/" TargetMode="External"/><Relationship Id="rId763" Type="http://schemas.openxmlformats.org/officeDocument/2006/relationships/hyperlink" Target="http://teamnoteapp.com" TargetMode="External"/><Relationship Id="rId762" Type="http://schemas.openxmlformats.org/officeDocument/2006/relationships/hyperlink" Target="https://bookface-images.s3.amazonaws.com/small_logos/925a4d89b983d4afdeba53e9f6b6672031081f94.png" TargetMode="External"/><Relationship Id="rId761" Type="http://schemas.openxmlformats.org/officeDocument/2006/relationships/hyperlink" Target="https://www.taxgpt.com" TargetMode="External"/><Relationship Id="rId760" Type="http://schemas.openxmlformats.org/officeDocument/2006/relationships/hyperlink" Target="https://bookface-images.s3.amazonaws.com/small_logos/8e67cf96446cc05ab25099e8ab94b8256f0f724e.png" TargetMode="External"/><Relationship Id="rId756" Type="http://schemas.openxmlformats.org/officeDocument/2006/relationships/hyperlink" Target="https://bookface-images.s3.amazonaws.com/small_logos/6902f9194abc25bd591410dc7d36f885a97b62e1.png" TargetMode="External"/><Relationship Id="rId755" Type="http://schemas.openxmlformats.org/officeDocument/2006/relationships/hyperlink" Target="https://www.taskade.com" TargetMode="External"/><Relationship Id="rId754" Type="http://schemas.openxmlformats.org/officeDocument/2006/relationships/hyperlink" Target="https://bookface-images.s3.amazonaws.com/small_logos/5150a8797d7be6783f61a5e2ea17ea19cd3721a3.png" TargetMode="External"/><Relationship Id="rId753" Type="http://schemas.openxmlformats.org/officeDocument/2006/relationships/hyperlink" Target="http://www.tara.ai" TargetMode="External"/><Relationship Id="rId759" Type="http://schemas.openxmlformats.org/officeDocument/2006/relationships/hyperlink" Target="https://www.tavus.io" TargetMode="External"/><Relationship Id="rId758" Type="http://schemas.openxmlformats.org/officeDocument/2006/relationships/hyperlink" Target="https://bookface-images.s3.amazonaws.com/small_logos/ab0f6f3b7f550864435009079aaabbc0721a377f.png" TargetMode="External"/><Relationship Id="rId757" Type="http://schemas.openxmlformats.org/officeDocument/2006/relationships/hyperlink" Target="http://www.tasker.ai" TargetMode="External"/><Relationship Id="rId752" Type="http://schemas.openxmlformats.org/officeDocument/2006/relationships/hyperlink" Target="https://bookface-images.s3.amazonaws.com/small_logos/a0375efe2659827ada4255426aac1e4a4f979b63.png" TargetMode="External"/><Relationship Id="rId751" Type="http://schemas.openxmlformats.org/officeDocument/2006/relationships/hyperlink" Target="https://tandem.space/" TargetMode="External"/><Relationship Id="rId750" Type="http://schemas.openxmlformats.org/officeDocument/2006/relationships/hyperlink" Target="https://bookface-images.s3.amazonaws.com/small_logos/dea1b3e7cb043f7da1f6f8f5cf22b81184391a3d.png" TargetMode="External"/><Relationship Id="rId709" Type="http://schemas.openxmlformats.org/officeDocument/2006/relationships/hyperlink" Target="https://bookface-images.s3.amazonaws.com/small_logos/9e8c106f46123a6f28b7a7da41f0ee695da48786.png" TargetMode="External"/><Relationship Id="rId708" Type="http://schemas.openxmlformats.org/officeDocument/2006/relationships/hyperlink" Target="https://supabase.com" TargetMode="External"/><Relationship Id="rId707" Type="http://schemas.openxmlformats.org/officeDocument/2006/relationships/hyperlink" Target="https://bookface-images.s3.amazonaws.com/small_logos/911656ff1b74ea563f6a15aeb96e439e4b168e0e.png" TargetMode="External"/><Relationship Id="rId706" Type="http://schemas.openxmlformats.org/officeDocument/2006/relationships/hyperlink" Target="http://sully.ai" TargetMode="External"/><Relationship Id="rId701" Type="http://schemas.openxmlformats.org/officeDocument/2006/relationships/hyperlink" Target="https://www.strikingly.com" TargetMode="External"/><Relationship Id="rId700" Type="http://schemas.openxmlformats.org/officeDocument/2006/relationships/hyperlink" Target="https://bookface-images.s3.amazonaws.com/small_logos/34b83cec1f2ebdc9cb570890712a93e354509aec.png" TargetMode="External"/><Relationship Id="rId705" Type="http://schemas.openxmlformats.org/officeDocument/2006/relationships/hyperlink" Target="https://www.sully.ai" TargetMode="External"/><Relationship Id="rId704" Type="http://schemas.openxmlformats.org/officeDocument/2006/relationships/hyperlink" Target="https://bookface-images.s3.amazonaws.com/small_logos/5fdff68c6d284e1d2cbab6306ca3f1e7774d4d36.png" TargetMode="External"/><Relationship Id="rId703" Type="http://schemas.openxmlformats.org/officeDocument/2006/relationships/hyperlink" Target="https://substack.com" TargetMode="External"/><Relationship Id="rId702" Type="http://schemas.openxmlformats.org/officeDocument/2006/relationships/hyperlink" Target="https://bookface-images.s3.amazonaws.com/small_logos/045dc2771d5bced4ae0b64cde731aa40775048cf.png" TargetMode="External"/><Relationship Id="rId729" Type="http://schemas.openxmlformats.org/officeDocument/2006/relationships/hyperlink" Target="https://getswipe.in" TargetMode="External"/><Relationship Id="rId728" Type="http://schemas.openxmlformats.org/officeDocument/2006/relationships/hyperlink" Target="https://bookface-images.s3.amazonaws.com/small_logos/be45196d0c3d5704a20fa4748726a49983ba28aa.png" TargetMode="External"/><Relationship Id="rId723" Type="http://schemas.openxmlformats.org/officeDocument/2006/relationships/hyperlink" Target="http://swif.ai" TargetMode="External"/><Relationship Id="rId722" Type="http://schemas.openxmlformats.org/officeDocument/2006/relationships/hyperlink" Target="https://www.swif.ai" TargetMode="External"/><Relationship Id="rId721" Type="http://schemas.openxmlformats.org/officeDocument/2006/relationships/hyperlink" Target="https://bookface-images.s3.amazonaws.com/small_logos/a5d215c7313a052e41f5b021db99a546ebcecf7a.png" TargetMode="External"/><Relationship Id="rId720" Type="http://schemas.openxmlformats.org/officeDocument/2006/relationships/hyperlink" Target="http://swayable.com" TargetMode="External"/><Relationship Id="rId727" Type="http://schemas.openxmlformats.org/officeDocument/2006/relationships/hyperlink" Target="http://swiftype.com" TargetMode="External"/><Relationship Id="rId726" Type="http://schemas.openxmlformats.org/officeDocument/2006/relationships/hyperlink" Target="https://bookface-images.s3.amazonaws.com/small_logos/3bb40b858fa07c3be03a29e849b4171670bbe91c.png" TargetMode="External"/><Relationship Id="rId725" Type="http://schemas.openxmlformats.org/officeDocument/2006/relationships/hyperlink" Target="https://swiftsku.com" TargetMode="External"/><Relationship Id="rId724" Type="http://schemas.openxmlformats.org/officeDocument/2006/relationships/hyperlink" Target="https://bookface-images.s3.amazonaws.com/small_logos/3f00f6931229f64701cd737b9839f92f72e20005.png" TargetMode="External"/><Relationship Id="rId719" Type="http://schemas.openxmlformats.org/officeDocument/2006/relationships/hyperlink" Target="https://bookface-images.s3.amazonaws.com/small_logos/e7fe48d854a5e26f76b915462fef2c4d177bfa49.png" TargetMode="External"/><Relationship Id="rId718" Type="http://schemas.openxmlformats.org/officeDocument/2006/relationships/hyperlink" Target="https://www.svix.com" TargetMode="External"/><Relationship Id="rId717" Type="http://schemas.openxmlformats.org/officeDocument/2006/relationships/hyperlink" Target="https://bookface-images.s3.amazonaws.com/small_logos/db10327c5327a64bf7bf615e4aebcb38c48d13de.png" TargetMode="External"/><Relationship Id="rId712" Type="http://schemas.openxmlformats.org/officeDocument/2006/relationships/hyperlink" Target="https://www.superb-ai.com" TargetMode="External"/><Relationship Id="rId711" Type="http://schemas.openxmlformats.org/officeDocument/2006/relationships/hyperlink" Target="https://bookface-images.s3.amazonaws.com/small_logos/4353b29adbf3c289fd3165964d86888720519f1b.png" TargetMode="External"/><Relationship Id="rId710" Type="http://schemas.openxmlformats.org/officeDocument/2006/relationships/hyperlink" Target="https://supertokens.com" TargetMode="External"/><Relationship Id="rId716" Type="http://schemas.openxmlformats.org/officeDocument/2006/relationships/hyperlink" Target="https://superorder.com/" TargetMode="External"/><Relationship Id="rId715" Type="http://schemas.openxmlformats.org/officeDocument/2006/relationships/hyperlink" Target="https://bookface-images.s3.amazonaws.com/small_logos/ada23a7187727888f29e6f21fc082493f5396066.png" TargetMode="External"/><Relationship Id="rId714" Type="http://schemas.openxmlformats.org/officeDocument/2006/relationships/hyperlink" Target="https://supernova.io" TargetMode="External"/><Relationship Id="rId713" Type="http://schemas.openxmlformats.org/officeDocument/2006/relationships/hyperlink" Target="https://bookface-images.s3.amazonaws.com/small_logos/7c9d721a968bad9c98d3ba3e84214eaeb329eeff.png" TargetMode="External"/><Relationship Id="rId789" Type="http://schemas.openxmlformats.org/officeDocument/2006/relationships/hyperlink" Target="https://bookface-images.s3.amazonaws.com/small_logos/bb7ca44603c00a75f64928d565e780f76a618ec7.png" TargetMode="External"/><Relationship Id="rId788" Type="http://schemas.openxmlformats.org/officeDocument/2006/relationships/hyperlink" Target="http://themuse.com" TargetMode="External"/><Relationship Id="rId787" Type="http://schemas.openxmlformats.org/officeDocument/2006/relationships/hyperlink" Target="https://bookface-images.s3.amazonaws.com/small_logos/ca7ba720859e309c7fb63d87f38791243c9e8a8f.png" TargetMode="External"/><Relationship Id="rId786" Type="http://schemas.openxmlformats.org/officeDocument/2006/relationships/hyperlink" Target="https://www.tesorio.com" TargetMode="External"/><Relationship Id="rId781" Type="http://schemas.openxmlformats.org/officeDocument/2006/relationships/hyperlink" Target="https://bookface-images.s3.amazonaws.com/small_logos/a54a2a9f21db0b647ce9e9aeb97ad44e0ab45105.png" TargetMode="External"/><Relationship Id="rId780" Type="http://schemas.openxmlformats.org/officeDocument/2006/relationships/hyperlink" Target="https://termii.com" TargetMode="External"/><Relationship Id="rId785" Type="http://schemas.openxmlformats.org/officeDocument/2006/relationships/hyperlink" Target="https://bookface-images.s3.amazonaws.com/small_logos/97a6c134a2281fc0b76fb07a0fe0c197e4948543.png" TargetMode="External"/><Relationship Id="rId784" Type="http://schemas.openxmlformats.org/officeDocument/2006/relationships/hyperlink" Target="http://tryterra.co" TargetMode="External"/><Relationship Id="rId783" Type="http://schemas.openxmlformats.org/officeDocument/2006/relationships/hyperlink" Target="https://bookface-images.s3.amazonaws.com/small_logos/f2ba51393107c60fc73e0c01a4165e444e0e8755.png" TargetMode="External"/><Relationship Id="rId782" Type="http://schemas.openxmlformats.org/officeDocument/2006/relationships/hyperlink" Target="https://termius.com" TargetMode="External"/><Relationship Id="rId778" Type="http://schemas.openxmlformats.org/officeDocument/2006/relationships/hyperlink" Target="http://tenyks.ai/" TargetMode="External"/><Relationship Id="rId777" Type="http://schemas.openxmlformats.org/officeDocument/2006/relationships/hyperlink" Target="https://bookface-images.s3.amazonaws.com/small_logos/6e91e9315abad17e20d9922b02f02927ab3652b4.png" TargetMode="External"/><Relationship Id="rId776" Type="http://schemas.openxmlformats.org/officeDocument/2006/relationships/hyperlink" Target="https://www.tennr.com" TargetMode="External"/><Relationship Id="rId775" Type="http://schemas.openxmlformats.org/officeDocument/2006/relationships/hyperlink" Target="https://bookface-images.s3.amazonaws.com/small_logos/463e52171480a4ebcdbd25d4442d7be28671da6a.png" TargetMode="External"/><Relationship Id="rId779" Type="http://schemas.openxmlformats.org/officeDocument/2006/relationships/hyperlink" Target="https://bookface-images.s3.amazonaws.com/small_logos/7006298209ca0e4b566665242aadbc44f58b1d59.png" TargetMode="External"/><Relationship Id="rId770" Type="http://schemas.openxmlformats.org/officeDocument/2006/relationships/hyperlink" Target="https://www.templarbit.com" TargetMode="External"/><Relationship Id="rId774" Type="http://schemas.openxmlformats.org/officeDocument/2006/relationships/hyperlink" Target="https://www.tenjin.com" TargetMode="External"/><Relationship Id="rId773" Type="http://schemas.openxmlformats.org/officeDocument/2006/relationships/hyperlink" Target="https://bookface-images.s3.amazonaws.com/small_logos/ee2e6fd4d1cfa51f7b35ac4ebf653eb66c08723b.png" TargetMode="External"/><Relationship Id="rId772" Type="http://schemas.openxmlformats.org/officeDocument/2006/relationships/hyperlink" Target="https://www.tenderd.com/" TargetMode="External"/><Relationship Id="rId771" Type="http://schemas.openxmlformats.org/officeDocument/2006/relationships/hyperlink" Target="https://bookface-images.s3.amazonaws.com/small_logos/388bf404240294f2fa8cff1b093bc8030dcd540c.png" TargetMode="External"/><Relationship Id="rId799" Type="http://schemas.openxmlformats.org/officeDocument/2006/relationships/hyperlink" Target="https://bookface-images.s3.amazonaws.com/small_logos/44fe9d14461cf9ef20c54977438d35f2f917c3bf.png" TargetMode="External"/><Relationship Id="rId798" Type="http://schemas.openxmlformats.org/officeDocument/2006/relationships/hyperlink" Target="http://thunkable.com" TargetMode="External"/><Relationship Id="rId797" Type="http://schemas.openxmlformats.org/officeDocument/2006/relationships/hyperlink" Target="https://bookface-images.s3.amazonaws.com/small_logos/91478c7c3ca52d34bc10c964c9668b6eb566be9c.png" TargetMode="External"/><Relationship Id="rId792" Type="http://schemas.openxmlformats.org/officeDocument/2006/relationships/hyperlink" Target="https://www.getthera.com" TargetMode="External"/><Relationship Id="rId791" Type="http://schemas.openxmlformats.org/officeDocument/2006/relationships/hyperlink" Target="https://bookface-images.s3.amazonaws.com/small_logos/9fdfd6d76b44b6fa6fbb40a4e9c99072a13924b8.png" TargetMode="External"/><Relationship Id="rId790" Type="http://schemas.openxmlformats.org/officeDocument/2006/relationships/hyperlink" Target="http://www.getthematic.com" TargetMode="External"/><Relationship Id="rId796" Type="http://schemas.openxmlformats.org/officeDocument/2006/relationships/hyperlink" Target="https://www.thunderpod.com/" TargetMode="External"/><Relationship Id="rId795" Type="http://schemas.openxmlformats.org/officeDocument/2006/relationships/hyperlink" Target="https://threshold.network/" TargetMode="External"/><Relationship Id="rId794" Type="http://schemas.openxmlformats.org/officeDocument/2006/relationships/hyperlink" Target="http://thinair.com" TargetMode="External"/><Relationship Id="rId793" Type="http://schemas.openxmlformats.org/officeDocument/2006/relationships/hyperlink" Target="https://bookface-images.s3.amazonaws.com/small_logos/be48f91ee0abbdfaf66f197ff24389b8250091c8.png" TargetMode="External"/><Relationship Id="rId629" Type="http://schemas.openxmlformats.org/officeDocument/2006/relationships/hyperlink" Target="https://sekilo.com/en/" TargetMode="External"/><Relationship Id="rId624" Type="http://schemas.openxmlformats.org/officeDocument/2006/relationships/hyperlink" Target="https://bookface-images.s3.amazonaws.com/small_logos/c614da05c9ea2efb343da05c4e5a237c56bad357.png" TargetMode="External"/><Relationship Id="rId623" Type="http://schemas.openxmlformats.org/officeDocument/2006/relationships/hyperlink" Target="https://www.searchlight.ai/" TargetMode="External"/><Relationship Id="rId622" Type="http://schemas.openxmlformats.org/officeDocument/2006/relationships/hyperlink" Target="https://bookface-images.s3.amazonaws.com/small_logos/dbd6b903d554c68c4aa51a62e4ba89b6e7fdd13c.png" TargetMode="External"/><Relationship Id="rId621" Type="http://schemas.openxmlformats.org/officeDocument/2006/relationships/hyperlink" Target="https://seam.co" TargetMode="External"/><Relationship Id="rId628" Type="http://schemas.openxmlformats.org/officeDocument/2006/relationships/hyperlink" Target="https://bookface-images.s3.amazonaws.com/small_logos/b0e1ab4f20c9665aacb49bbea815135e794fb13b.png" TargetMode="External"/><Relationship Id="rId627" Type="http://schemas.openxmlformats.org/officeDocument/2006/relationships/hyperlink" Target="http://secondmeasure.com" TargetMode="External"/><Relationship Id="rId626" Type="http://schemas.openxmlformats.org/officeDocument/2006/relationships/hyperlink" Target="https://bookface-images.s3.amazonaws.com/small_logos/4b049a52be34bb701fef7828f1cea14c3624e5f6.png" TargetMode="External"/><Relationship Id="rId625" Type="http://schemas.openxmlformats.org/officeDocument/2006/relationships/hyperlink" Target="https://secoda.co" TargetMode="External"/><Relationship Id="rId620" Type="http://schemas.openxmlformats.org/officeDocument/2006/relationships/hyperlink" Target="https://bookface-images.s3.amazonaws.com/small_logos/c7c574f267298b266e49f83004d0138436eb334f.png" TargetMode="External"/><Relationship Id="rId619" Type="http://schemas.openxmlformats.org/officeDocument/2006/relationships/hyperlink" Target="https://seal.run" TargetMode="External"/><Relationship Id="rId618" Type="http://schemas.openxmlformats.org/officeDocument/2006/relationships/hyperlink" Target="https://bookface-images.s3.amazonaws.com/small_logos/75095731e25d34e505b54386e1fbac0016ef69ea.png" TargetMode="External"/><Relationship Id="rId613" Type="http://schemas.openxmlformats.org/officeDocument/2006/relationships/hyperlink" Target="https://bookface-images.s3.amazonaws.com/small_logos/eeaf8f8226d85960b7834ae51a48adfa24515b3b.png" TargetMode="External"/><Relationship Id="rId612" Type="http://schemas.openxmlformats.org/officeDocument/2006/relationships/hyperlink" Target="https://www.sarus.tech" TargetMode="External"/><Relationship Id="rId611" Type="http://schemas.openxmlformats.org/officeDocument/2006/relationships/hyperlink" Target="https://bookface-images.s3.amazonaws.com/small_logos/f3e1d2e189bfe1bf79821761ab3019c3f1921ff3.png" TargetMode="External"/><Relationship Id="rId610" Type="http://schemas.openxmlformats.org/officeDocument/2006/relationships/hyperlink" Target="https://www.saleswhale.com/" TargetMode="External"/><Relationship Id="rId617" Type="http://schemas.openxmlformats.org/officeDocument/2006/relationships/hyperlink" Target="https://www.scuba.io" TargetMode="External"/><Relationship Id="rId616" Type="http://schemas.openxmlformats.org/officeDocument/2006/relationships/hyperlink" Target="http://tryscribe.com/" TargetMode="External"/><Relationship Id="rId615" Type="http://schemas.openxmlformats.org/officeDocument/2006/relationships/hyperlink" Target="https://bookface-images.s3.amazonaws.com/small_logos/996a065b9b830e170e3a68e207d6245f28dc54b8.png" TargetMode="External"/><Relationship Id="rId614" Type="http://schemas.openxmlformats.org/officeDocument/2006/relationships/hyperlink" Target="https://scispot.io" TargetMode="External"/><Relationship Id="rId646" Type="http://schemas.openxmlformats.org/officeDocument/2006/relationships/hyperlink" Target="https://bookface-images.s3.amazonaws.com/small_logos/c4c9d88ca349da23988cd75431bf7ae58301ff05.png" TargetMode="External"/><Relationship Id="rId645" Type="http://schemas.openxmlformats.org/officeDocument/2006/relationships/hyperlink" Target="https://getshogun.com/" TargetMode="External"/><Relationship Id="rId644" Type="http://schemas.openxmlformats.org/officeDocument/2006/relationships/hyperlink" Target="https://bookface-images.s3.amazonaws.com/small_logos/76a28e876eb9c3cbdcc9c73b1d02c839d73c053e.png" TargetMode="External"/><Relationship Id="rId643" Type="http://schemas.openxmlformats.org/officeDocument/2006/relationships/hyperlink" Target="https://shipmates.app" TargetMode="External"/><Relationship Id="rId649" Type="http://schemas.openxmlformats.org/officeDocument/2006/relationships/hyperlink" Target="https://signoz.io" TargetMode="External"/><Relationship Id="rId648" Type="http://schemas.openxmlformats.org/officeDocument/2006/relationships/hyperlink" Target="https://bookface-images.s3.amazonaws.com/small_logos/0c189cabb560e9c254a44aff2d8e3ff94ea9d36e.png" TargetMode="External"/><Relationship Id="rId647" Type="http://schemas.openxmlformats.org/officeDocument/2006/relationships/hyperlink" Target="https://www.shuttle.rs" TargetMode="External"/><Relationship Id="rId642" Type="http://schemas.openxmlformats.org/officeDocument/2006/relationships/hyperlink" Target="https://bookface-images.s3.amazonaws.com/small_logos/0485262b3034147c1f753ae66224e32cd01bffa2.png" TargetMode="External"/><Relationship Id="rId641" Type="http://schemas.openxmlformats.org/officeDocument/2006/relationships/hyperlink" Target="https://shipamax.com" TargetMode="External"/><Relationship Id="rId640" Type="http://schemas.openxmlformats.org/officeDocument/2006/relationships/hyperlink" Target="https://bookface-images.s3.amazonaws.com/small_logos/30d8273cf77bf9ee7c72f1c08b3457034ba910b3.png" TargetMode="External"/><Relationship Id="rId635" Type="http://schemas.openxmlformats.org/officeDocument/2006/relationships/hyperlink" Target="https://sendbox.co" TargetMode="External"/><Relationship Id="rId634" Type="http://schemas.openxmlformats.org/officeDocument/2006/relationships/hyperlink" Target="https://bookface-images.s3.amazonaws.com/small_logos/ccd5de9c202be8c96d9463fd8dccba59904f658c.png" TargetMode="External"/><Relationship Id="rId633" Type="http://schemas.openxmlformats.org/officeDocument/2006/relationships/hyperlink" Target="http://sendhub.com" TargetMode="External"/><Relationship Id="rId632" Type="http://schemas.openxmlformats.org/officeDocument/2006/relationships/hyperlink" Target="https://bookface-images.s3.amazonaws.com/small_logos/5307a5e46c396120f6ef685a303ed74085ff242c.png" TargetMode="External"/><Relationship Id="rId639" Type="http://schemas.openxmlformats.org/officeDocument/2006/relationships/hyperlink" Target="http://www.shelfengine.com" TargetMode="External"/><Relationship Id="rId638" Type="http://schemas.openxmlformats.org/officeDocument/2006/relationships/hyperlink" Target="https://bookface-images.s3.amazonaws.com/small_logos/241b1f1931647920258ef5ae6571461ada0b62f1.png" TargetMode="External"/><Relationship Id="rId637" Type="http://schemas.openxmlformats.org/officeDocument/2006/relationships/hyperlink" Target="https://shaped.ai" TargetMode="External"/><Relationship Id="rId636" Type="http://schemas.openxmlformats.org/officeDocument/2006/relationships/hyperlink" Target="https://bookface-images.s3.amazonaws.com/small_logos/7c08839b8870d46ae5f7dd8e9369668efcc14630.png" TargetMode="External"/><Relationship Id="rId631" Type="http://schemas.openxmlformats.org/officeDocument/2006/relationships/hyperlink" Target="http://www.semantics3.com" TargetMode="External"/><Relationship Id="rId630" Type="http://schemas.openxmlformats.org/officeDocument/2006/relationships/hyperlink" Target="https://bookface-images.s3.amazonaws.com/small_logos/1ff0b6c32ebbaceaa5a81ba55ba260e8e96957c7.png" TargetMode="External"/><Relationship Id="rId609" Type="http://schemas.openxmlformats.org/officeDocument/2006/relationships/hyperlink" Target="https://bookface-images.s3.amazonaws.com/small_logos/11ecc83b03cfcf5e3849e1ca5f104ded4d413551.png" TargetMode="External"/><Relationship Id="rId608" Type="http://schemas.openxmlformats.org/officeDocument/2006/relationships/hyperlink" Target="https://www.safebase.io" TargetMode="External"/><Relationship Id="rId607" Type="http://schemas.openxmlformats.org/officeDocument/2006/relationships/hyperlink" Target="https://bookface-images.s3.amazonaws.com/small_logos/056d6666e994a3429e78aefc6ec8d705e2d405c1.png" TargetMode="External"/><Relationship Id="rId602" Type="http://schemas.openxmlformats.org/officeDocument/2006/relationships/hyperlink" Target="https://rutterapi.com" TargetMode="External"/><Relationship Id="rId601" Type="http://schemas.openxmlformats.org/officeDocument/2006/relationships/hyperlink" Target="https://bookface-images.s3.amazonaws.com/small_logos/a792f803f1d7ccad7da795b30ca7b07eb81a1cdc.png" TargetMode="External"/><Relationship Id="rId600" Type="http://schemas.openxmlformats.org/officeDocument/2006/relationships/hyperlink" Target="https://runway.team" TargetMode="External"/><Relationship Id="rId606" Type="http://schemas.openxmlformats.org/officeDocument/2006/relationships/hyperlink" Target="https://sprx.tax" TargetMode="External"/><Relationship Id="rId605" Type="http://schemas.openxmlformats.org/officeDocument/2006/relationships/hyperlink" Target="https://bookface-images.s3.amazonaws.com/small_logos/7577742d36a89182bb27d25c3ad944da530cabbf.png" TargetMode="External"/><Relationship Id="rId604" Type="http://schemas.openxmlformats.org/officeDocument/2006/relationships/hyperlink" Target="https://www.spate.nyc" TargetMode="External"/><Relationship Id="rId603" Type="http://schemas.openxmlformats.org/officeDocument/2006/relationships/hyperlink" Target="https://bookface-images.s3.amazonaws.com/small_logos/58546f561c6a3cd285083ee0d5e1c3c9c285fcb2.png" TargetMode="External"/><Relationship Id="rId699" Type="http://schemas.openxmlformats.org/officeDocument/2006/relationships/hyperlink" Target="http://streak.com" TargetMode="External"/><Relationship Id="rId698" Type="http://schemas.openxmlformats.org/officeDocument/2006/relationships/hyperlink" Target="https://bookface-images.s3.amazonaws.com/small_logos/2ea7660c6ef79a3f3c31b84b9791afa7da450839.png" TargetMode="External"/><Relationship Id="rId693" Type="http://schemas.openxmlformats.org/officeDocument/2006/relationships/hyperlink" Target="https://stafbook.com" TargetMode="External"/><Relationship Id="rId692" Type="http://schemas.openxmlformats.org/officeDocument/2006/relationships/hyperlink" Target="https://bookface-images.s3.amazonaws.com/small_logos/56ffdf7e6d54cd05e1b72f0622c42dba01ae7c84.png" TargetMode="External"/><Relationship Id="rId691" Type="http://schemas.openxmlformats.org/officeDocument/2006/relationships/hyperlink" Target="https://www.stack-ai.com/" TargetMode="External"/><Relationship Id="rId690" Type="http://schemas.openxmlformats.org/officeDocument/2006/relationships/hyperlink" Target="https://bookface-images.s3.amazonaws.com/small_logos/88ed649d4ffefdc8e5652f12e5915dd242bed4ff.png" TargetMode="External"/><Relationship Id="rId697" Type="http://schemas.openxmlformats.org/officeDocument/2006/relationships/hyperlink" Target="https://www.storylane.io/" TargetMode="External"/><Relationship Id="rId696" Type="http://schemas.openxmlformats.org/officeDocument/2006/relationships/hyperlink" Target="https://bookface-images.s3.amazonaws.com/small_logos/2a6dec6c9c300ba44b097b02c1380f0a1f7e1b10.png" TargetMode="External"/><Relationship Id="rId695" Type="http://schemas.openxmlformats.org/officeDocument/2006/relationships/hyperlink" Target="https://business.stayflexi.com/" TargetMode="External"/><Relationship Id="rId694" Type="http://schemas.openxmlformats.org/officeDocument/2006/relationships/hyperlink" Target="https://bookface-images.s3.amazonaws.com/small_logos/77275acc16452910484633575de217e093bc7173.png" TargetMode="External"/><Relationship Id="rId668" Type="http://schemas.openxmlformats.org/officeDocument/2006/relationships/hyperlink" Target="http://smyte.com" TargetMode="External"/><Relationship Id="rId667" Type="http://schemas.openxmlformats.org/officeDocument/2006/relationships/hyperlink" Target="https://bookface-images.s3.amazonaws.com/small_logos/fada073ad0b6d9c3b509c6673811cf6d8acf80ed.png" TargetMode="External"/><Relationship Id="rId666" Type="http://schemas.openxmlformats.org/officeDocument/2006/relationships/hyperlink" Target="https://www.smarthelio.com/" TargetMode="External"/><Relationship Id="rId665" Type="http://schemas.openxmlformats.org/officeDocument/2006/relationships/hyperlink" Target="https://bookface-images.s3.amazonaws.com/small_logos/ebad8fcce5239d928f1d4d5d9a93312dd9a5c4f9.png" TargetMode="External"/><Relationship Id="rId669" Type="http://schemas.openxmlformats.org/officeDocument/2006/relationships/hyperlink" Target="https://www.snapmagic.com" TargetMode="External"/><Relationship Id="rId660" Type="http://schemas.openxmlformats.org/officeDocument/2006/relationships/hyperlink" Target="http://www.tryskylink.com" TargetMode="External"/><Relationship Id="rId664" Type="http://schemas.openxmlformats.org/officeDocument/2006/relationships/hyperlink" Target="http://smarking.com" TargetMode="External"/><Relationship Id="rId663" Type="http://schemas.openxmlformats.org/officeDocument/2006/relationships/hyperlink" Target="https://bookface-images.s3.amazonaws.com/small_logos/db873106ddb92ab7ceb9101417308ccab78f6f3c.png" TargetMode="External"/><Relationship Id="rId662" Type="http://schemas.openxmlformats.org/officeDocument/2006/relationships/hyperlink" Target="https://slite.com/" TargetMode="External"/><Relationship Id="rId661" Type="http://schemas.openxmlformats.org/officeDocument/2006/relationships/hyperlink" Target="https://bookface-images.s3.amazonaws.com/small_logos/e8cb2f021ba1541f2a0f502e119d294cbd78b4ba.png" TargetMode="External"/><Relationship Id="rId657" Type="http://schemas.openxmlformats.org/officeDocument/2006/relationships/hyperlink" Target="https://bookface-images.s3.amazonaws.com/small_logos/edd480d76c88913d52db5c536fac9c346f44ad91.png" TargetMode="External"/><Relationship Id="rId656" Type="http://schemas.openxmlformats.org/officeDocument/2006/relationships/hyperlink" Target="https://sketchdeck.com" TargetMode="External"/><Relationship Id="rId655" Type="http://schemas.openxmlformats.org/officeDocument/2006/relationships/hyperlink" Target="https://sixa.io" TargetMode="External"/><Relationship Id="rId654" Type="http://schemas.openxmlformats.org/officeDocument/2006/relationships/hyperlink" Target="https://bookface-images.s3.amazonaws.com/small_logos/eb7ce56fc4d7716b3ceae151008b7dd130aca547.png" TargetMode="External"/><Relationship Id="rId659" Type="http://schemas.openxmlformats.org/officeDocument/2006/relationships/hyperlink" Target="https://bookface-images.s3.amazonaws.com/small_logos/c87a6ed342316be397663cebac7a3099c11d1320.png" TargetMode="External"/><Relationship Id="rId658" Type="http://schemas.openxmlformats.org/officeDocument/2006/relationships/hyperlink" Target="https://skio.com" TargetMode="External"/><Relationship Id="rId653" Type="http://schemas.openxmlformats.org/officeDocument/2006/relationships/hyperlink" Target="http://simplelegal.com" TargetMode="External"/><Relationship Id="rId652" Type="http://schemas.openxmlformats.org/officeDocument/2006/relationships/hyperlink" Target="https://bookface-images.s3.amazonaws.com/small_logos/8587155629554384fccbdcf060b0568e458358d4.png" TargetMode="External"/><Relationship Id="rId651" Type="http://schemas.openxmlformats.org/officeDocument/2006/relationships/hyperlink" Target="https://sigopt.com" TargetMode="External"/><Relationship Id="rId650" Type="http://schemas.openxmlformats.org/officeDocument/2006/relationships/hyperlink" Target="https://bookface-images.s3.amazonaws.com/small_logos/bf9bf94469ea296eac6cbf6d10f7674c4a8a91ef.png" TargetMode="External"/><Relationship Id="rId689" Type="http://schemas.openxmlformats.org/officeDocument/2006/relationships/hyperlink" Target="https://www.getsprint.ai/" TargetMode="External"/><Relationship Id="rId688" Type="http://schemas.openxmlformats.org/officeDocument/2006/relationships/hyperlink" Target="https://bookface-images.s3.amazonaws.com/small_logos/b078ddf7fbb72dfb07922637b13b56046e39ad12.png" TargetMode="External"/><Relationship Id="rId687" Type="http://schemas.openxmlformats.org/officeDocument/2006/relationships/hyperlink" Target="https://getspokn.com/" TargetMode="External"/><Relationship Id="rId682" Type="http://schemas.openxmlformats.org/officeDocument/2006/relationships/hyperlink" Target="https://bookface-images.s3.amazonaws.com/small_logos/febfa54460e405902a61eadb81f1f82d2be08da0.png" TargetMode="External"/><Relationship Id="rId681" Type="http://schemas.openxmlformats.org/officeDocument/2006/relationships/hyperlink" Target="https://www.speechly.com/" TargetMode="External"/><Relationship Id="rId680" Type="http://schemas.openxmlformats.org/officeDocument/2006/relationships/hyperlink" Target="https://bookface-images.s3.amazonaws.com/small_logos/0c34a890239baf0d72f56f357f5a24dee709b667.png" TargetMode="External"/><Relationship Id="rId686" Type="http://schemas.openxmlformats.org/officeDocument/2006/relationships/hyperlink" Target="https://bookface-images.s3.amazonaws.com/small_logos/cb39af82fd79053c000de86fa1986b9da4e89073.png" TargetMode="External"/><Relationship Id="rId685" Type="http://schemas.openxmlformats.org/officeDocument/2006/relationships/hyperlink" Target="http://spline.design/" TargetMode="External"/><Relationship Id="rId684" Type="http://schemas.openxmlformats.org/officeDocument/2006/relationships/hyperlink" Target="https://bookface-images.s3.amazonaws.com/small_logos/8a1e963fe8d08ca86e5fc056086ee498a90aabbb.png" TargetMode="External"/><Relationship Id="rId683" Type="http://schemas.openxmlformats.org/officeDocument/2006/relationships/hyperlink" Target="https://spirelawfirm.com/" TargetMode="External"/><Relationship Id="rId679" Type="http://schemas.openxmlformats.org/officeDocument/2006/relationships/hyperlink" Target="https://www.spade.com" TargetMode="External"/><Relationship Id="rId678" Type="http://schemas.openxmlformats.org/officeDocument/2006/relationships/hyperlink" Target="https://bookface-images.s3.amazonaws.com/small_logos/5e4fd99a7fb118297905e55e8fc4ca3a82b0b560.png" TargetMode="External"/><Relationship Id="rId677" Type="http://schemas.openxmlformats.org/officeDocument/2006/relationships/hyperlink" Target="https://www.sourcify.com/" TargetMode="External"/><Relationship Id="rId676" Type="http://schemas.openxmlformats.org/officeDocument/2006/relationships/hyperlink" Target="https://bookface-images.s3.amazonaws.com/small_logos/cd298ab7cc0e50b44f16100129fb3d4a93dcabc0.png" TargetMode="External"/><Relationship Id="rId671" Type="http://schemas.openxmlformats.org/officeDocument/2006/relationships/hyperlink" Target="https://www.soraban.com" TargetMode="External"/><Relationship Id="rId670" Type="http://schemas.openxmlformats.org/officeDocument/2006/relationships/hyperlink" Target="https://bookface-images.s3.amazonaws.com/small_logos/28d703d7d5920b0a08a9902602fdc87b96bb313b.png" TargetMode="External"/><Relationship Id="rId675" Type="http://schemas.openxmlformats.org/officeDocument/2006/relationships/hyperlink" Target="http://imbue.com" TargetMode="External"/><Relationship Id="rId674" Type="http://schemas.openxmlformats.org/officeDocument/2006/relationships/hyperlink" Target="https://bookface-images.s3.amazonaws.com/small_logos/2dfc5eeb06e8051af24bd5a9c7758dbe219fba21.png" TargetMode="External"/><Relationship Id="rId673" Type="http://schemas.openxmlformats.org/officeDocument/2006/relationships/hyperlink" Target="https://www.sortingrobotics.com/" TargetMode="External"/><Relationship Id="rId672" Type="http://schemas.openxmlformats.org/officeDocument/2006/relationships/hyperlink" Target="https://bookface-images.s3.amazonaws.com/small_logos/86fe3bfd9f0947fd674a2b55047687dd231a935d.png" TargetMode="External"/><Relationship Id="rId190" Type="http://schemas.openxmlformats.org/officeDocument/2006/relationships/hyperlink" Target="https://bookface-images.s3.amazonaws.com/small_logos/568af1dc427d20e5700ab4a31d90395b1ed9bdde.png" TargetMode="External"/><Relationship Id="rId194" Type="http://schemas.openxmlformats.org/officeDocument/2006/relationships/hyperlink" Target="https://bookface-images.s3.amazonaws.com/small_logos/00bba81d8d6dbef5184de3d7c801a05f958ef1ec.png" TargetMode="External"/><Relationship Id="rId193" Type="http://schemas.openxmlformats.org/officeDocument/2006/relationships/hyperlink" Target="https://bookface-images.s3.amazonaws.com/small_logos/46f9c21fd1ced46b7d072b793ac52b84cec57151.png" TargetMode="External"/><Relationship Id="rId192" Type="http://schemas.openxmlformats.org/officeDocument/2006/relationships/hyperlink" Target="https://bookface-images.s3.amazonaws.com/small_logos/802cdfaf69a7d1d62bfdf8c18810860104506f05.png" TargetMode="External"/><Relationship Id="rId191" Type="http://schemas.openxmlformats.org/officeDocument/2006/relationships/hyperlink" Target="https://bookface-images.s3.amazonaws.com/small_logos/d89913eef21655f3b6aca9e9962a1f6323dc2479.png" TargetMode="External"/><Relationship Id="rId187" Type="http://schemas.openxmlformats.org/officeDocument/2006/relationships/hyperlink" Target="https://bookface-images.s3.amazonaws.com/small_logos/29db94cccb8fb04c76b3795f179303c30d31cc11.png" TargetMode="External"/><Relationship Id="rId186" Type="http://schemas.openxmlformats.org/officeDocument/2006/relationships/hyperlink" Target="https://bookface-images.s3.amazonaws.com/small_logos/33dbffe2b04c05f3f81daf8f724a1ad65f7cd311.png" TargetMode="External"/><Relationship Id="rId185" Type="http://schemas.openxmlformats.org/officeDocument/2006/relationships/hyperlink" Target="https://bookface-images.s3.amazonaws.com/small_logos/597b354ebabd4350f20655a359475ece57b2fd91.png" TargetMode="External"/><Relationship Id="rId184" Type="http://schemas.openxmlformats.org/officeDocument/2006/relationships/hyperlink" Target="https://bookface-images.s3.amazonaws.com/small_logos/b058ab2c92aef24a0255569d8cf05427ba59231c.png" TargetMode="External"/><Relationship Id="rId189" Type="http://schemas.openxmlformats.org/officeDocument/2006/relationships/hyperlink" Target="https://bookface-images.s3.amazonaws.com/small_logos/5f62fbd0784e6b06ebda82ebc864cbb79338d6a4.png" TargetMode="External"/><Relationship Id="rId188" Type="http://schemas.openxmlformats.org/officeDocument/2006/relationships/hyperlink" Target="https://bookface-images.s3.amazonaws.com/small_logos/2c56e9d679598dde2fac7eb56c0066090a29bcb2.png" TargetMode="External"/><Relationship Id="rId183" Type="http://schemas.openxmlformats.org/officeDocument/2006/relationships/hyperlink" Target="https://bookface-images.s3.amazonaws.com/small_logos/2bca198859e87cd196f78931db97af3133a90eee.png" TargetMode="External"/><Relationship Id="rId182" Type="http://schemas.openxmlformats.org/officeDocument/2006/relationships/hyperlink" Target="https://bookface-images.s3.amazonaws.com/small_logos/61153d83e47c1914a8eed2b2b8b7f1813bf43dca.png" TargetMode="External"/><Relationship Id="rId181" Type="http://schemas.openxmlformats.org/officeDocument/2006/relationships/hyperlink" Target="https://bookface-images.s3.amazonaws.com/small_logos/a1000d5d5bee5c940de394e0841af070cfa6e903.png" TargetMode="External"/><Relationship Id="rId180" Type="http://schemas.openxmlformats.org/officeDocument/2006/relationships/hyperlink" Target="https://bookface-images.s3.amazonaws.com/small_logos/bf409816d2f4636d78706b6a700030dc1353a6a2.png" TargetMode="External"/><Relationship Id="rId176" Type="http://schemas.openxmlformats.org/officeDocument/2006/relationships/hyperlink" Target="https://bookface-images.s3.amazonaws.com/small_logos/65cb3b99fd44f8b43727970a9cb034fbeee5d0df.png" TargetMode="External"/><Relationship Id="rId175" Type="http://schemas.openxmlformats.org/officeDocument/2006/relationships/hyperlink" Target="https://bookface-images.s3.amazonaws.com/small_logos/080d82509504fa711e8b698a0b2f1575b1ec8d4e.png" TargetMode="External"/><Relationship Id="rId174" Type="http://schemas.openxmlformats.org/officeDocument/2006/relationships/hyperlink" Target="https://bookface-images.s3.amazonaws.com/small_logos/54e0a81b62b025aba369d098ad87caf559c7c1b4.png" TargetMode="External"/><Relationship Id="rId173" Type="http://schemas.openxmlformats.org/officeDocument/2006/relationships/hyperlink" Target="https://bookface-images.s3.amazonaws.com/small_logos/0413dbdb2293e4b9ea1ccbeb3fd25e23c7e07440.png" TargetMode="External"/><Relationship Id="rId179" Type="http://schemas.openxmlformats.org/officeDocument/2006/relationships/hyperlink" Target="https://bookface-images.s3.amazonaws.com/small_logos/39a586314e7bd62c08d22961d04f803a003c805f.png" TargetMode="External"/><Relationship Id="rId178" Type="http://schemas.openxmlformats.org/officeDocument/2006/relationships/hyperlink" Target="https://bookface-images.s3.amazonaws.com/small_logos/162cbcf64286492bd4d396c89184015bac491ca1.png" TargetMode="External"/><Relationship Id="rId177" Type="http://schemas.openxmlformats.org/officeDocument/2006/relationships/hyperlink" Target="https://bookface-images.s3.amazonaws.com/small_logos/0231dbdea9ea0245b47c0551525efdd857307371.png" TargetMode="External"/><Relationship Id="rId198" Type="http://schemas.openxmlformats.org/officeDocument/2006/relationships/hyperlink" Target="https://bookface-images.s3.amazonaws.com/small_logos/8b512ecb3301ab8d683bbd5d94982b605acc6da8.png" TargetMode="External"/><Relationship Id="rId197" Type="http://schemas.openxmlformats.org/officeDocument/2006/relationships/hyperlink" Target="https://bookface-images.s3.amazonaws.com/small_logos/6bac116b447d560f931d3a25197be9f97f49ee58.png" TargetMode="External"/><Relationship Id="rId196" Type="http://schemas.openxmlformats.org/officeDocument/2006/relationships/hyperlink" Target="https://bookface-images.s3.amazonaws.com/small_logos/0af39114e824d0749031a5cb538dced3cac1cb27.png" TargetMode="External"/><Relationship Id="rId195" Type="http://schemas.openxmlformats.org/officeDocument/2006/relationships/hyperlink" Target="https://bookface-images.s3.amazonaws.com/small_logos/947167fc07350afdc803e650746e6c0c278e9937.png" TargetMode="External"/><Relationship Id="rId199" Type="http://schemas.openxmlformats.org/officeDocument/2006/relationships/hyperlink" Target="https://bookface-images.s3.amazonaws.com/small_logos/eb805ecba168243d2e3eea815c494ceb319e9267.png" TargetMode="External"/><Relationship Id="rId150" Type="http://schemas.openxmlformats.org/officeDocument/2006/relationships/hyperlink" Target="https://bookface-images.s3.amazonaws.com/small_logos/017a48860aec587fc693f54e2e4052970a43e5c7.png" TargetMode="External"/><Relationship Id="rId149" Type="http://schemas.openxmlformats.org/officeDocument/2006/relationships/hyperlink" Target="https://bookface-images.s3.amazonaws.com/small_logos/bd37712a664bd3d0f09c27d1816b43518fb60775.png" TargetMode="External"/><Relationship Id="rId148" Type="http://schemas.openxmlformats.org/officeDocument/2006/relationships/hyperlink" Target="https://bookface-images.s3.amazonaws.com/small_logos/396df8b615efb145166e71f986645ec788d1d655.png" TargetMode="External"/><Relationship Id="rId143" Type="http://schemas.openxmlformats.org/officeDocument/2006/relationships/hyperlink" Target="https://bookface-images.s3.amazonaws.com/small_logos/a1940cbdacec83b1df06f778aab51ef87295bad3.png" TargetMode="External"/><Relationship Id="rId142" Type="http://schemas.openxmlformats.org/officeDocument/2006/relationships/hyperlink" Target="https://bookface-images.s3.amazonaws.com/small_logos/7c9d51d01f280768899d76eff8f510583a2e1614.png" TargetMode="External"/><Relationship Id="rId141" Type="http://schemas.openxmlformats.org/officeDocument/2006/relationships/hyperlink" Target="https://bookface-images.s3.amazonaws.com/small_logos/6153c2d55508c4c573ba2dcb29993d7dfb36bfbf.png" TargetMode="External"/><Relationship Id="rId140" Type="http://schemas.openxmlformats.org/officeDocument/2006/relationships/hyperlink" Target="https://bookface-images.s3.amazonaws.com/small_logos/62543fd96b43537ecbd9be593590310621e8dbfd.png" TargetMode="External"/><Relationship Id="rId147" Type="http://schemas.openxmlformats.org/officeDocument/2006/relationships/hyperlink" Target="https://bookface-images.s3.amazonaws.com/small_logos/d7d26e3a8b124e3c002dfda1b12da4ee6b000aa8.png" TargetMode="External"/><Relationship Id="rId146" Type="http://schemas.openxmlformats.org/officeDocument/2006/relationships/hyperlink" Target="https://bookface-images.s3.amazonaws.com/small_logos/e428b571dcd57f52e3df670e2dc5bdc62d03aaa2.png" TargetMode="External"/><Relationship Id="rId145" Type="http://schemas.openxmlformats.org/officeDocument/2006/relationships/hyperlink" Target="http://breadcrumbs.io" TargetMode="External"/><Relationship Id="rId144" Type="http://schemas.openxmlformats.org/officeDocument/2006/relationships/hyperlink" Target="https://bookface-images.s3.amazonaws.com/small_logos/666b04587c6533b8c956eb24e0200e32405aed78.png" TargetMode="External"/><Relationship Id="rId139" Type="http://schemas.openxmlformats.org/officeDocument/2006/relationships/hyperlink" Target="https://bookface-images.s3.amazonaws.com/small_logos/704ac62f48316d04d9fc8a57fe4aed9e46970839.png" TargetMode="External"/><Relationship Id="rId138" Type="http://schemas.openxmlformats.org/officeDocument/2006/relationships/hyperlink" Target="https://bookface-images.s3.amazonaws.com/small_logos/6fd831042784faacd5778896293973dbf1f4b6db.png" TargetMode="External"/><Relationship Id="rId137" Type="http://schemas.openxmlformats.org/officeDocument/2006/relationships/hyperlink" Target="https://bookface-images.s3.amazonaws.com/small_logos/9c69787e1912b6cf8d4d0231d384d65fe8c2568e.png" TargetMode="External"/><Relationship Id="rId132" Type="http://schemas.openxmlformats.org/officeDocument/2006/relationships/hyperlink" Target="https://bookface-images.s3.amazonaws.com/small_logos/478c23ca9c518001d0a97d6c25d98f090893a2eb.png" TargetMode="External"/><Relationship Id="rId131" Type="http://schemas.openxmlformats.org/officeDocument/2006/relationships/hyperlink" Target="https://bookface-images.s3.amazonaws.com/small_logos/338d0bd017de21261fbe5bf2009d4e4e4a4b1ff3.png" TargetMode="External"/><Relationship Id="rId130" Type="http://schemas.openxmlformats.org/officeDocument/2006/relationships/hyperlink" Target="https://bookface-images.s3.amazonaws.com/small_logos/8bbc8c4c109a4e7f7a7911309aa1f0821059a311.png" TargetMode="External"/><Relationship Id="rId136" Type="http://schemas.openxmlformats.org/officeDocument/2006/relationships/hyperlink" Target="https://bookface-images.s3.amazonaws.com/small_logos/96b73225a7fdc8841c526bb16e3bc4cb32073599.png" TargetMode="External"/><Relationship Id="rId135" Type="http://schemas.openxmlformats.org/officeDocument/2006/relationships/hyperlink" Target="https://bookface-images.s3.amazonaws.com/small_logos/dc25fe4380bf11b306b2a0f91fc2fbedfdf75998.png" TargetMode="External"/><Relationship Id="rId134" Type="http://schemas.openxmlformats.org/officeDocument/2006/relationships/hyperlink" Target="https://bookface-images.s3.amazonaws.com/small_logos/935bd117ce732a814003c0b9a415599b256ea22d.png" TargetMode="External"/><Relationship Id="rId133" Type="http://schemas.openxmlformats.org/officeDocument/2006/relationships/hyperlink" Target="https://bookface-images.s3.amazonaws.com/small_logos/659f1a3a0883d433bcf27880b43e945ecb4b431a.png" TargetMode="External"/><Relationship Id="rId172" Type="http://schemas.openxmlformats.org/officeDocument/2006/relationships/hyperlink" Target="https://bookface-images.s3.amazonaws.com/small_logos/6d5c4995d4edc2612597ff2b00cf6cc4b969c502.png" TargetMode="External"/><Relationship Id="rId171" Type="http://schemas.openxmlformats.org/officeDocument/2006/relationships/hyperlink" Target="https://bookface-images.s3.amazonaws.com/small_logos/202e7e02db190c7ab3eef78d63f9fe5d31e43275.png" TargetMode="External"/><Relationship Id="rId170" Type="http://schemas.openxmlformats.org/officeDocument/2006/relationships/hyperlink" Target="https://bookface-images.s3.amazonaws.com/small_logos/bb1178c960492365b15c4498d7147f36cbde201f.png" TargetMode="External"/><Relationship Id="rId165" Type="http://schemas.openxmlformats.org/officeDocument/2006/relationships/hyperlink" Target="https://bookface-images.s3.amazonaws.com/small_logos/bd01901abf7384be11011b25a6f7e62224dd4f2e.png" TargetMode="External"/><Relationship Id="rId164" Type="http://schemas.openxmlformats.org/officeDocument/2006/relationships/hyperlink" Target="https://bookface-images.s3.amazonaws.com/small_logos/d854b9187c55d7cd329f7ac3f47400db9cf48138.png" TargetMode="External"/><Relationship Id="rId163" Type="http://schemas.openxmlformats.org/officeDocument/2006/relationships/hyperlink" Target="https://bookface-images.s3.amazonaws.com/small_logos/c4d680463f8fee3408726becdad9bccd8e14c8a1.png" TargetMode="External"/><Relationship Id="rId162" Type="http://schemas.openxmlformats.org/officeDocument/2006/relationships/hyperlink" Target="https://bookface-images.s3.amazonaws.com/small_logos/63b4ca6a1359575ae026ae8642bfb13def17ae58.png" TargetMode="External"/><Relationship Id="rId169" Type="http://schemas.openxmlformats.org/officeDocument/2006/relationships/hyperlink" Target="https://bookface-images.s3.amazonaws.com/small_logos/11e79fdb615e4008b53b6d456fb9c93446ae9d40.png" TargetMode="External"/><Relationship Id="rId168" Type="http://schemas.openxmlformats.org/officeDocument/2006/relationships/hyperlink" Target="https://bookface-images.s3.amazonaws.com/small_logos/ddc4d4e8009e0c8d02d4de7f4bdf26587f0a8a7c.png" TargetMode="External"/><Relationship Id="rId167" Type="http://schemas.openxmlformats.org/officeDocument/2006/relationships/hyperlink" Target="https://bookface-images.s3.amazonaws.com/small_logos/3a88c695f80988b5eb6e20aa5e0200a956a2b299.png" TargetMode="External"/><Relationship Id="rId166" Type="http://schemas.openxmlformats.org/officeDocument/2006/relationships/hyperlink" Target="https://bookface-images.s3.amazonaws.com/small_logos/5fd8bcf8d9a9b759b820215a29ca5d614328aac4.png" TargetMode="External"/><Relationship Id="rId161" Type="http://schemas.openxmlformats.org/officeDocument/2006/relationships/hyperlink" Target="https://bookface-images.s3.amazonaws.com/small_logos/28978000b8dcc240b064a1480e88b2e3fa90b056.png" TargetMode="External"/><Relationship Id="rId160" Type="http://schemas.openxmlformats.org/officeDocument/2006/relationships/hyperlink" Target="https://bookface-images.s3.amazonaws.com/small_logos/c0913d1e9d9580abc891cabd8dcf7bc5c217d32e.png" TargetMode="External"/><Relationship Id="rId159" Type="http://schemas.openxmlformats.org/officeDocument/2006/relationships/hyperlink" Target="https://bookface-images.s3.amazonaws.com/small_logos/8d7fdbafd7f8ab52a136ccd6f568c251351c96b8.png" TargetMode="External"/><Relationship Id="rId154" Type="http://schemas.openxmlformats.org/officeDocument/2006/relationships/hyperlink" Target="https://bookface-images.s3.amazonaws.com/small_logos/03c75b785d321bb19fc8ab6c4a6b736e7b35df44.png" TargetMode="External"/><Relationship Id="rId153" Type="http://schemas.openxmlformats.org/officeDocument/2006/relationships/hyperlink" Target="https://bookface-images.s3.amazonaws.com/small_logos/b79c831c8f0d305c265f82733feafa079a2d0bc5.png" TargetMode="External"/><Relationship Id="rId152" Type="http://schemas.openxmlformats.org/officeDocument/2006/relationships/hyperlink" Target="http://bus.com" TargetMode="External"/><Relationship Id="rId151" Type="http://schemas.openxmlformats.org/officeDocument/2006/relationships/hyperlink" Target="https://bookface-images.s3.amazonaws.com/small_logos/dc5b1d8e8af272683b9ec7ca250589f26e9ae0fa.png" TargetMode="External"/><Relationship Id="rId158" Type="http://schemas.openxmlformats.org/officeDocument/2006/relationships/hyperlink" Target="https://bookface-images.s3.amazonaws.com/small_logos/fdd422df573f9e77279f0da5b79f0c2fcd5b52ca.png" TargetMode="External"/><Relationship Id="rId157" Type="http://schemas.openxmlformats.org/officeDocument/2006/relationships/hyperlink" Target="https://bookface-images.s3.amazonaws.com/small_logos/45034c22d81491a4e49c2c46c3c822d2d820941d.png" TargetMode="External"/><Relationship Id="rId156" Type="http://schemas.openxmlformats.org/officeDocument/2006/relationships/hyperlink" Target="https://bookface-images.s3.amazonaws.com/small_logos/307944ea6b0927bae195cd145f3959c47e943c9c.png" TargetMode="External"/><Relationship Id="rId155" Type="http://schemas.openxmlformats.org/officeDocument/2006/relationships/hyperlink" Target="https://bookface-images.s3.amazonaws.com/small_logos/32169642bd80b7d2ae57e5f32e4da02fe2ee530b.png" TargetMode="External"/><Relationship Id="rId975" Type="http://schemas.openxmlformats.org/officeDocument/2006/relationships/drawing" Target="../drawings/drawing7.xml"/><Relationship Id="rId974" Type="http://schemas.openxmlformats.org/officeDocument/2006/relationships/hyperlink" Target="https://bookface-images.s3.amazonaws.com/small_logos/ef6f80a359194cc5d9bf39162453b281c3ff8ccc.png" TargetMode="External"/><Relationship Id="rId973" Type="http://schemas.openxmlformats.org/officeDocument/2006/relationships/hyperlink" Target="https://zeroheight.com" TargetMode="External"/><Relationship Id="rId972" Type="http://schemas.openxmlformats.org/officeDocument/2006/relationships/hyperlink" Target="https://bookface-images.s3.amazonaws.com/small_logos/bee0ffda10cfa11258e095397f31eae96aa9aefb.png" TargetMode="External"/><Relationship Id="rId971" Type="http://schemas.openxmlformats.org/officeDocument/2006/relationships/hyperlink" Target="http://weweb.io" TargetMode="External"/><Relationship Id="rId970" Type="http://schemas.openxmlformats.org/officeDocument/2006/relationships/hyperlink" Target="https://www.weweb.io/" TargetMode="External"/><Relationship Id="rId949" Type="http://schemas.openxmlformats.org/officeDocument/2006/relationships/hyperlink" Target="http://www.flexengage.com" TargetMode="External"/><Relationship Id="rId948" Type="http://schemas.openxmlformats.org/officeDocument/2006/relationships/hyperlink" Target="https://bookface-images.s3.amazonaws.com/small_logos/3d37bcc50ff2f53e1b161407d6bf515c6758d934.png" TargetMode="External"/><Relationship Id="rId943" Type="http://schemas.openxmlformats.org/officeDocument/2006/relationships/hyperlink" Target="https://www.doola.com/" TargetMode="External"/><Relationship Id="rId942" Type="http://schemas.openxmlformats.org/officeDocument/2006/relationships/hyperlink" Target="https://bookface-images.s3.amazonaws.com/small_logos/37f0dc4beddd72199475bab9ec433aaf3d593df6.png" TargetMode="External"/><Relationship Id="rId941" Type="http://schemas.openxmlformats.org/officeDocument/2006/relationships/hyperlink" Target="https://www.cloudhumans.com" TargetMode="External"/><Relationship Id="rId940" Type="http://schemas.openxmlformats.org/officeDocument/2006/relationships/hyperlink" Target="https://bookface-images.s3.amazonaws.com/small_logos/7e0a53df0e6800e9f647ef8fda11608026855e1d.png" TargetMode="External"/><Relationship Id="rId947" Type="http://schemas.openxmlformats.org/officeDocument/2006/relationships/hyperlink" Target="http://farmtheory.in/" TargetMode="External"/><Relationship Id="rId946" Type="http://schemas.openxmlformats.org/officeDocument/2006/relationships/hyperlink" Target="https://bookface-images.s3.amazonaws.com/small_logos/b7687a266acc1565f2404a9e6053b41025b988e9.png" TargetMode="External"/><Relationship Id="rId945" Type="http://schemas.openxmlformats.org/officeDocument/2006/relationships/hyperlink" Target="https://www.ebrandvalue.com/" TargetMode="External"/><Relationship Id="rId944" Type="http://schemas.openxmlformats.org/officeDocument/2006/relationships/hyperlink" Target="https://bookface-images.s3.amazonaws.com/small_logos/ef8a47a4ac0a3c3a1af8da2743a4bee6aa5bb8fb.png" TargetMode="External"/><Relationship Id="rId939" Type="http://schemas.openxmlformats.org/officeDocument/2006/relationships/hyperlink" Target="https://www.borong.com/" TargetMode="External"/><Relationship Id="rId938" Type="http://schemas.openxmlformats.org/officeDocument/2006/relationships/hyperlink" Target="https://bookface-images.s3.amazonaws.com/small_logos/ec7e9bd397f7e7cc1eba33dae6c101b8268ab2f2.png" TargetMode="External"/><Relationship Id="rId937" Type="http://schemas.openxmlformats.org/officeDocument/2006/relationships/hyperlink" Target="http://boitas.com" TargetMode="External"/><Relationship Id="rId932" Type="http://schemas.openxmlformats.org/officeDocument/2006/relationships/hyperlink" Target="https://authzed.com" TargetMode="External"/><Relationship Id="rId931" Type="http://schemas.openxmlformats.org/officeDocument/2006/relationships/hyperlink" Target="https://bookface-images.s3.amazonaws.com/small_logos/c6f422aa332e520cce9d631b8dfbcdfb14375c6e.png" TargetMode="External"/><Relationship Id="rId930" Type="http://schemas.openxmlformats.org/officeDocument/2006/relationships/hyperlink" Target="https://www.autarc.energy/en" TargetMode="External"/><Relationship Id="rId936" Type="http://schemas.openxmlformats.org/officeDocument/2006/relationships/hyperlink" Target="http://www.boitas.com" TargetMode="External"/><Relationship Id="rId935" Type="http://schemas.openxmlformats.org/officeDocument/2006/relationships/hyperlink" Target="https://bookface-images.s3.amazonaws.com/small_logos/aef70b7e83ca76aa0901271d0713dbba0919b30c.png" TargetMode="External"/><Relationship Id="rId934" Type="http://schemas.openxmlformats.org/officeDocument/2006/relationships/hyperlink" Target="https://bloop.ai" TargetMode="External"/><Relationship Id="rId933" Type="http://schemas.openxmlformats.org/officeDocument/2006/relationships/hyperlink" Target="https://bookface-images.s3.amazonaws.com/small_logos/ee578b781cb190a51362b9fda6dc57b36d74972d.png" TargetMode="External"/><Relationship Id="rId965" Type="http://schemas.openxmlformats.org/officeDocument/2006/relationships/hyperlink" Target="https://testrigor.com" TargetMode="External"/><Relationship Id="rId964" Type="http://schemas.openxmlformats.org/officeDocument/2006/relationships/hyperlink" Target="https://bookface-images.s3.amazonaws.com/small_logos/c534b008e7ff085ee7e32e819767b1f82d6d2396.png" TargetMode="External"/><Relationship Id="rId963" Type="http://schemas.openxmlformats.org/officeDocument/2006/relationships/hyperlink" Target="https://sync.so/" TargetMode="External"/><Relationship Id="rId962" Type="http://schemas.openxmlformats.org/officeDocument/2006/relationships/hyperlink" Target="https://bookface-images.s3.amazonaws.com/small_logos/aeaa683b72502977824eb71f47dba97607b154c0.png" TargetMode="External"/><Relationship Id="rId969" Type="http://schemas.openxmlformats.org/officeDocument/2006/relationships/hyperlink" Target="https://bookface-images.s3.amazonaws.com/small_logos/e327caabc10297ebb160260940994aa368fe6f3d.png" TargetMode="External"/><Relationship Id="rId968" Type="http://schemas.openxmlformats.org/officeDocument/2006/relationships/hyperlink" Target="http://treble.ai" TargetMode="External"/><Relationship Id="rId967" Type="http://schemas.openxmlformats.org/officeDocument/2006/relationships/hyperlink" Target="https://treble.ai" TargetMode="External"/><Relationship Id="rId966" Type="http://schemas.openxmlformats.org/officeDocument/2006/relationships/hyperlink" Target="https://bookface-images.s3.amazonaws.com/small_logos/320246972eefed6a269a40ed9fa38e5de40b066e.png" TargetMode="External"/><Relationship Id="rId961" Type="http://schemas.openxmlformats.org/officeDocument/2006/relationships/hyperlink" Target="https://refine.dev" TargetMode="External"/><Relationship Id="rId960" Type="http://schemas.openxmlformats.org/officeDocument/2006/relationships/hyperlink" Target="https://bookface-images.s3.amazonaws.com/small_logos/a19487f9d6235e1c02dd412720eb77f6dbaa38bd.png" TargetMode="External"/><Relationship Id="rId959" Type="http://schemas.openxmlformats.org/officeDocument/2006/relationships/hyperlink" Target="http://ngrow.ai" TargetMode="External"/><Relationship Id="rId954" Type="http://schemas.openxmlformats.org/officeDocument/2006/relationships/hyperlink" Target="https://www.ilabservice.com/en" TargetMode="External"/><Relationship Id="rId953" Type="http://schemas.openxmlformats.org/officeDocument/2006/relationships/hyperlink" Target="https://bookface-images.s3.amazonaws.com/small_logos/17fad6e0528ee0136eda2c81609b88c573cddeef.png" TargetMode="External"/><Relationship Id="rId952" Type="http://schemas.openxmlformats.org/officeDocument/2006/relationships/hyperlink" Target="https://hotglue.com" TargetMode="External"/><Relationship Id="rId951" Type="http://schemas.openxmlformats.org/officeDocument/2006/relationships/hyperlink" Target="https://bookface-images.s3.amazonaws.com/small_logos/71c4ea7756f719ab0406967511bffcd788ad50be.png" TargetMode="External"/><Relationship Id="rId958" Type="http://schemas.openxmlformats.org/officeDocument/2006/relationships/hyperlink" Target="http://ngrow.ai" TargetMode="External"/><Relationship Id="rId957" Type="http://schemas.openxmlformats.org/officeDocument/2006/relationships/hyperlink" Target="https://bookface-images.s3.amazonaws.com/small_logos/d95dbc346596e3e1fb9cc6dd5db4cb8d77ce0686.png" TargetMode="External"/><Relationship Id="rId956" Type="http://schemas.openxmlformats.org/officeDocument/2006/relationships/hyperlink" Target="https://www.imgix.com" TargetMode="External"/><Relationship Id="rId955" Type="http://schemas.openxmlformats.org/officeDocument/2006/relationships/hyperlink" Target="https://bookface-images.s3.amazonaws.com/small_logos/61e5909632a59998a05ddf3639be15ca20ce6478.png" TargetMode="External"/><Relationship Id="rId950" Type="http://schemas.openxmlformats.org/officeDocument/2006/relationships/hyperlink" Target="https://haddock.app" TargetMode="External"/><Relationship Id="rId107" Type="http://schemas.openxmlformats.org/officeDocument/2006/relationships/hyperlink" Target="https://bookface-images.s3.amazonaws.com/small_logos/a1aee7c2b8c6ada91b60405fb42ae026b6093676.png" TargetMode="External"/><Relationship Id="rId106" Type="http://schemas.openxmlformats.org/officeDocument/2006/relationships/hyperlink" Target="https://bookface-images.s3.amazonaws.com/small_logos/17547ff6e0fe5d75c99f92fdc3b9c13fa6712bd5.png" TargetMode="External"/><Relationship Id="rId105" Type="http://schemas.openxmlformats.org/officeDocument/2006/relationships/hyperlink" Target="https://bookface-images.s3.amazonaws.com/small_logos/119667c7c238a5fe3c85b285cc57d325cf5f7957.png" TargetMode="External"/><Relationship Id="rId104" Type="http://schemas.openxmlformats.org/officeDocument/2006/relationships/hyperlink" Target="https://bookface-images.s3.amazonaws.com/small_logos/54eafa8eda34ea12e9105ff28b47a5c40492938a.png" TargetMode="External"/><Relationship Id="rId109" Type="http://schemas.openxmlformats.org/officeDocument/2006/relationships/hyperlink" Target="https://bookface-images.s3.amazonaws.com/small_logos/c7ba1ffbb38b5e4b2a1eb85f726fa882c6f53514.png" TargetMode="External"/><Relationship Id="rId108" Type="http://schemas.openxmlformats.org/officeDocument/2006/relationships/hyperlink" Target="https://bookface-images.s3.amazonaws.com/small_logos/2cf36cda1250013ea4989cc2ddc2f8e08f26a04d.png" TargetMode="External"/><Relationship Id="rId103" Type="http://schemas.openxmlformats.org/officeDocument/2006/relationships/hyperlink" Target="http://apollo.io" TargetMode="External"/><Relationship Id="rId102" Type="http://schemas.openxmlformats.org/officeDocument/2006/relationships/hyperlink" Target="https://bookface-images.s3.amazonaws.com/small_logos/b5b0d847ce1f2270b7fa71e371516e2163c704ac.png" TargetMode="External"/><Relationship Id="rId101" Type="http://schemas.openxmlformats.org/officeDocument/2006/relationships/hyperlink" Target="https://bookface-images.s3.amazonaws.com/small_logos/5ac294c5898028a9f3fcb798baa22860c935493f.png" TargetMode="External"/><Relationship Id="rId100" Type="http://schemas.openxmlformats.org/officeDocument/2006/relationships/hyperlink" Target="https://bookface-images.s3.amazonaws.com/small_logos/b0d81b4192a51bc8d9cde2242ed434d6e025cd23.png" TargetMode="External"/><Relationship Id="rId129" Type="http://schemas.openxmlformats.org/officeDocument/2006/relationships/hyperlink" Target="https://bookface-images.s3.amazonaws.com/small_logos/41774322b4a2953269f06a425e25469f1a097d69.png" TargetMode="External"/><Relationship Id="rId128" Type="http://schemas.openxmlformats.org/officeDocument/2006/relationships/hyperlink" Target="https://bookface-images.s3.amazonaws.com/small_logos/33cb40e549d11d79115d9348d168fc4baf5d5331.png" TargetMode="External"/><Relationship Id="rId127" Type="http://schemas.openxmlformats.org/officeDocument/2006/relationships/hyperlink" Target="https://bookface-images.s3.amazonaws.com/small_logos/1ebdc405c3ca51343a4618334a44bd440fb598ca.png" TargetMode="External"/><Relationship Id="rId126" Type="http://schemas.openxmlformats.org/officeDocument/2006/relationships/hyperlink" Target="https://bookface-images.s3.amazonaws.com/small_logos/a54413dcb3bda96eb7f8d5f729b2f2827a3dd276.png" TargetMode="External"/><Relationship Id="rId121" Type="http://schemas.openxmlformats.org/officeDocument/2006/relationships/hyperlink" Target="https://bookface-images.s3.amazonaws.com/small_logos/06dd0022a30071b010e7c41ab3e012079397a6d2.png" TargetMode="External"/><Relationship Id="rId120" Type="http://schemas.openxmlformats.org/officeDocument/2006/relationships/hyperlink" Target="https://bookface-images.s3.amazonaws.com/small_logos/1bc20422fbdc3ca0c042b7c1e1ec6ecdab198bf2.png" TargetMode="External"/><Relationship Id="rId125" Type="http://schemas.openxmlformats.org/officeDocument/2006/relationships/hyperlink" Target="https://bookface-images.s3.amazonaws.com/small_logos/f3e7a7c395e202f91209c183250f4e6d0835ea29.png" TargetMode="External"/><Relationship Id="rId124" Type="http://schemas.openxmlformats.org/officeDocument/2006/relationships/hyperlink" Target="https://bookface-images.s3.amazonaws.com/small_logos/2bae4bd6ee8dcd16e267e73f25b688391d0e7848.png" TargetMode="External"/><Relationship Id="rId123" Type="http://schemas.openxmlformats.org/officeDocument/2006/relationships/hyperlink" Target="https://bookface-images.s3.amazonaws.com/small_logos/5526613fca6b383058911964c9d9ef09fa74da82.png" TargetMode="External"/><Relationship Id="rId122" Type="http://schemas.openxmlformats.org/officeDocument/2006/relationships/hyperlink" Target="https://bookface-images.s3.amazonaws.com/small_logos/c3450b6c428a44cabbdb63fad99fdd8860317192.png" TargetMode="External"/><Relationship Id="rId118" Type="http://schemas.openxmlformats.org/officeDocument/2006/relationships/hyperlink" Target="https://bookface-images.s3.amazonaws.com/small_logos/f7e8e61ea6d3f763043392069ac87464fc6db2af.png" TargetMode="External"/><Relationship Id="rId117" Type="http://schemas.openxmlformats.org/officeDocument/2006/relationships/hyperlink" Target="https://bookface-images.s3.amazonaws.com/small_logos/10887edbd9771d54d34bdf7780c6f3cda92e7366.png" TargetMode="External"/><Relationship Id="rId116" Type="http://schemas.openxmlformats.org/officeDocument/2006/relationships/hyperlink" Target="https://bookface-images.s3.amazonaws.com/small_logos/6ccab13d3e0d1ffa05b2e8a687246cac34ef55b8.png" TargetMode="External"/><Relationship Id="rId115" Type="http://schemas.openxmlformats.org/officeDocument/2006/relationships/hyperlink" Target="https://bookface-images.s3.amazonaws.com/small_logos/c26caaf0db429752af5070f2f77e3958c651c707.png" TargetMode="External"/><Relationship Id="rId119" Type="http://schemas.openxmlformats.org/officeDocument/2006/relationships/hyperlink" Target="https://bookface-images.s3.amazonaws.com/small_logos/b037e35a133963bb97d49605d21978ac44ac4f83.png" TargetMode="External"/><Relationship Id="rId110" Type="http://schemas.openxmlformats.org/officeDocument/2006/relationships/hyperlink" Target="https://bookface-images.s3.amazonaws.com/small_logos/f43a2bc736726658aa01f7d31a95c21a6c0acefd.png" TargetMode="External"/><Relationship Id="rId114" Type="http://schemas.openxmlformats.org/officeDocument/2006/relationships/hyperlink" Target="https://bookface-images.s3.amazonaws.com/small_logos/b0353e108ae308c49b23a266bca88c2a6888d05e.png" TargetMode="External"/><Relationship Id="rId113" Type="http://schemas.openxmlformats.org/officeDocument/2006/relationships/hyperlink" Target="https://bookface-images.s3.amazonaws.com/small_logos/a277dff0e01ae8e2d167bb45110ee91451328cae.png" TargetMode="External"/><Relationship Id="rId112" Type="http://schemas.openxmlformats.org/officeDocument/2006/relationships/hyperlink" Target="https://bookface-images.s3.amazonaws.com/small_logos/a0397658ae6c0ba5a9499d3b6844bdb898f09c38.png" TargetMode="External"/><Relationship Id="rId111" Type="http://schemas.openxmlformats.org/officeDocument/2006/relationships/hyperlink" Target="https://bookface-images.s3.amazonaws.com/small_logos/094fed16cd3ee4ccf1b1e4019332a813d1993a7f.png" TargetMode="External"/><Relationship Id="rId907" Type="http://schemas.openxmlformats.org/officeDocument/2006/relationships/hyperlink" Target="http://xobni.com" TargetMode="External"/><Relationship Id="rId906" Type="http://schemas.openxmlformats.org/officeDocument/2006/relationships/hyperlink" Target="https://bookface-images.s3.amazonaws.com/small_logos/c9244b3d220834b621ae237bc3eb6f4105d2b6a6.png" TargetMode="External"/><Relationship Id="rId905" Type="http://schemas.openxmlformats.org/officeDocument/2006/relationships/hyperlink" Target="http://wufoo.com" TargetMode="External"/><Relationship Id="rId904" Type="http://schemas.openxmlformats.org/officeDocument/2006/relationships/hyperlink" Target="https://bookface-images.s3.amazonaws.com/small_logos/09dcfca12373bb214263ff9365e1886ef988ba50.png" TargetMode="External"/><Relationship Id="rId909" Type="http://schemas.openxmlformats.org/officeDocument/2006/relationships/hyperlink" Target="https://youteam.io" TargetMode="External"/><Relationship Id="rId908" Type="http://schemas.openxmlformats.org/officeDocument/2006/relationships/hyperlink" Target="https://www.yhat.com" TargetMode="External"/><Relationship Id="rId903" Type="http://schemas.openxmlformats.org/officeDocument/2006/relationships/hyperlink" Target="https://myworkpay.com" TargetMode="External"/><Relationship Id="rId902" Type="http://schemas.openxmlformats.org/officeDocument/2006/relationships/hyperlink" Target="https://bookface-images.s3.amazonaws.com/small_logos/9a24800a3244c11aac600b6958821d920becd8ea.png" TargetMode="External"/><Relationship Id="rId901" Type="http://schemas.openxmlformats.org/officeDocument/2006/relationships/hyperlink" Target="http://wit.ai" TargetMode="External"/><Relationship Id="rId900" Type="http://schemas.openxmlformats.org/officeDocument/2006/relationships/hyperlink" Target="http://wit.ai" TargetMode="External"/><Relationship Id="rId929" Type="http://schemas.openxmlformats.org/officeDocument/2006/relationships/hyperlink" Target="https://bookface-images.s3.amazonaws.com/small_logos/48ce3bed951164a13bbe13af572bd54c82ca1e8e.png" TargetMode="External"/><Relationship Id="rId928" Type="http://schemas.openxmlformats.org/officeDocument/2006/relationships/hyperlink" Target="https://arnata.com" TargetMode="External"/><Relationship Id="rId927" Type="http://schemas.openxmlformats.org/officeDocument/2006/relationships/hyperlink" Target="https://bookface-images.s3.amazonaws.com/small_logos/4248c76a3206fa82425c191a7b09f3b905910b5a.png" TargetMode="External"/><Relationship Id="rId926" Type="http://schemas.openxmlformats.org/officeDocument/2006/relationships/hyperlink" Target="https://zyper.com/" TargetMode="External"/><Relationship Id="rId921" Type="http://schemas.openxmlformats.org/officeDocument/2006/relationships/hyperlink" Target="http://zinc.com" TargetMode="External"/><Relationship Id="rId920" Type="http://schemas.openxmlformats.org/officeDocument/2006/relationships/hyperlink" Target="http://zesty.com" TargetMode="External"/><Relationship Id="rId925" Type="http://schemas.openxmlformats.org/officeDocument/2006/relationships/hyperlink" Target="http://zumodrive.com" TargetMode="External"/><Relationship Id="rId924" Type="http://schemas.openxmlformats.org/officeDocument/2006/relationships/hyperlink" Target="https://bookface-images.s3.amazonaws.com/small_logos/84726eaf029b9ba89c36aa373753fe1b0650f8be.png" TargetMode="External"/><Relationship Id="rId923" Type="http://schemas.openxmlformats.org/officeDocument/2006/relationships/hyperlink" Target="https://www.getzuma.com/" TargetMode="External"/><Relationship Id="rId922" Type="http://schemas.openxmlformats.org/officeDocument/2006/relationships/hyperlink" Target="https://bookface-images.s3.amazonaws.com/small_logos/a376b8da869a33224239ad6843be2d21abeb19ac.png" TargetMode="External"/><Relationship Id="rId918" Type="http://schemas.openxmlformats.org/officeDocument/2006/relationships/hyperlink" Target="https://zeorouteplanner.com" TargetMode="External"/><Relationship Id="rId917" Type="http://schemas.openxmlformats.org/officeDocument/2006/relationships/hyperlink" Target="https://bookface-images.s3.amazonaws.com/small_logos/3c3eb0d479545e3450db0e386dc8aa5148e22711.png" TargetMode="External"/><Relationship Id="rId916" Type="http://schemas.openxmlformats.org/officeDocument/2006/relationships/hyperlink" Target="https://zentail.com" TargetMode="External"/><Relationship Id="rId915" Type="http://schemas.openxmlformats.org/officeDocument/2006/relationships/hyperlink" Target="https://bookface-images.s3.amazonaws.com/small_logos/01f2ed9f6b2573e18e28f42a8c260ee15a0a777a.png" TargetMode="External"/><Relationship Id="rId919" Type="http://schemas.openxmlformats.org/officeDocument/2006/relationships/hyperlink" Target="https://bookface-images.s3.amazonaws.com/small_logos/8d526d18dca9f59c61e788cc7af7ad9c9956ac3d.png" TargetMode="External"/><Relationship Id="rId910" Type="http://schemas.openxmlformats.org/officeDocument/2006/relationships/hyperlink" Target="https://bookface-images.s3.amazonaws.com/small_logos/3c9e2d9613351e5ded12760bc18a55ad140d6f08.png" TargetMode="External"/><Relationship Id="rId914" Type="http://schemas.openxmlformats.org/officeDocument/2006/relationships/hyperlink" Target="https://www.zensors.com" TargetMode="External"/><Relationship Id="rId913" Type="http://schemas.openxmlformats.org/officeDocument/2006/relationships/hyperlink" Target="http://zencoder.com" TargetMode="External"/><Relationship Id="rId912" Type="http://schemas.openxmlformats.org/officeDocument/2006/relationships/hyperlink" Target="https://bookface-images.s3.amazonaws.com/small_logos/c1f3f4524dd0f4939370b9f5a10a8b251218c632.png" TargetMode="External"/><Relationship Id="rId911" Type="http://schemas.openxmlformats.org/officeDocument/2006/relationships/hyperlink" Target="https://www.zazos.com/" TargetMode="External"/><Relationship Id="rId866" Type="http://schemas.openxmlformats.org/officeDocument/2006/relationships/hyperlink" Target="https://www.vetcove.com" TargetMode="External"/><Relationship Id="rId865" Type="http://schemas.openxmlformats.org/officeDocument/2006/relationships/hyperlink" Target="https://bookface-images.s3.amazonaws.com/small_logos/b363a44bfe1278786c4092bd157ce82f208e1a21.png" TargetMode="External"/><Relationship Id="rId864" Type="http://schemas.openxmlformats.org/officeDocument/2006/relationships/hyperlink" Target="https://www.veryfi.com/" TargetMode="External"/><Relationship Id="rId863" Type="http://schemas.openxmlformats.org/officeDocument/2006/relationships/hyperlink" Target="https://bookface-images.s3.amazonaws.com/small_logos/4a43c6cd4040e511134228e1f184c25114b22329.png" TargetMode="External"/><Relationship Id="rId869" Type="http://schemas.openxmlformats.org/officeDocument/2006/relationships/hyperlink" Target="https://vimmerse.net" TargetMode="External"/><Relationship Id="rId868" Type="http://schemas.openxmlformats.org/officeDocument/2006/relationships/hyperlink" Target="http://videopixie.com" TargetMode="External"/><Relationship Id="rId867" Type="http://schemas.openxmlformats.org/officeDocument/2006/relationships/hyperlink" Target="https://bookface-images.s3.amazonaws.com/small_logos/c14ca2790645cac39d58fb3153dab0e3e2c7e005.png" TargetMode="External"/><Relationship Id="rId862" Type="http://schemas.openxmlformats.org/officeDocument/2006/relationships/hyperlink" Target="https://www.versori.com/" TargetMode="External"/><Relationship Id="rId861" Type="http://schemas.openxmlformats.org/officeDocument/2006/relationships/hyperlink" Target="https://bookface-images.s3.amazonaws.com/small_logos/6cd1bdfd7d2437eb0039877d56e28ab3c08383b4.png" TargetMode="External"/><Relationship Id="rId860" Type="http://schemas.openxmlformats.org/officeDocument/2006/relationships/hyperlink" Target="https://verihubs.com" TargetMode="External"/><Relationship Id="rId855" Type="http://schemas.openxmlformats.org/officeDocument/2006/relationships/hyperlink" Target="https://bookface-images.s3.amazonaws.com/small_logos/ed69a13f5824e52e08a1fbd94f003fd4adf6c6bc.png" TargetMode="External"/><Relationship Id="rId854" Type="http://schemas.openxmlformats.org/officeDocument/2006/relationships/hyperlink" Target="https://valienta.com" TargetMode="External"/><Relationship Id="rId853" Type="http://schemas.openxmlformats.org/officeDocument/2006/relationships/hyperlink" Target="https://bookface-images.s3.amazonaws.com/small_logos/4871a9dcb74ef8a41b1532167a4c54c5ba5b7354.png" TargetMode="External"/><Relationship Id="rId852" Type="http://schemas.openxmlformats.org/officeDocument/2006/relationships/hyperlink" Target="https://www.usergems.com" TargetMode="External"/><Relationship Id="rId859" Type="http://schemas.openxmlformats.org/officeDocument/2006/relationships/hyperlink" Target="https://bookface-images.s3.amazonaws.com/small_logos/36bc77538c7b2b901965b5e1ff49fe05b84cc1f1.png" TargetMode="External"/><Relationship Id="rId858" Type="http://schemas.openxmlformats.org/officeDocument/2006/relationships/hyperlink" Target="https://velt.dev" TargetMode="External"/><Relationship Id="rId857" Type="http://schemas.openxmlformats.org/officeDocument/2006/relationships/hyperlink" Target="https://bookface-images.s3.amazonaws.com/small_logos/5a28987b3e1b3effc2a33ce770fc25f4424fc775.png" TargetMode="External"/><Relationship Id="rId856" Type="http://schemas.openxmlformats.org/officeDocument/2006/relationships/hyperlink" Target="https://www.vectorshift.ai" TargetMode="External"/><Relationship Id="rId851" Type="http://schemas.openxmlformats.org/officeDocument/2006/relationships/hyperlink" Target="https://bookface-images.s3.amazonaws.com/small_logos/1f54497f04f477d48798e121ae874b32c9bb6f4e.png" TargetMode="External"/><Relationship Id="rId850" Type="http://schemas.openxmlformats.org/officeDocument/2006/relationships/hyperlink" Target="http://www.upwave.com" TargetMode="External"/><Relationship Id="rId888" Type="http://schemas.openxmlformats.org/officeDocument/2006/relationships/hyperlink" Target="https://waydev.co" TargetMode="External"/><Relationship Id="rId887" Type="http://schemas.openxmlformats.org/officeDocument/2006/relationships/hyperlink" Target="https://bookface-images.s3.amazonaws.com/small_logos/56794ad6ea12a6e16aa87fe26ec5e7109ba0e46d.png" TargetMode="External"/><Relationship Id="rId886" Type="http://schemas.openxmlformats.org/officeDocument/2006/relationships/hyperlink" Target="http://waterplan.com" TargetMode="External"/><Relationship Id="rId885" Type="http://schemas.openxmlformats.org/officeDocument/2006/relationships/hyperlink" Target="https://bookface-images.s3.amazonaws.com/small_logos/97ea02f8fa3d6250285b27eb9529ebfee68db334.png" TargetMode="External"/><Relationship Id="rId889" Type="http://schemas.openxmlformats.org/officeDocument/2006/relationships/hyperlink" Target="https://bookface-images.s3.amazonaws.com/small_logos/34b205bfaa1f489d8476a0f6fc5723576e3a9a03.png" TargetMode="External"/><Relationship Id="rId880" Type="http://schemas.openxmlformats.org/officeDocument/2006/relationships/hyperlink" Target="https://www.vori.com" TargetMode="External"/><Relationship Id="rId884" Type="http://schemas.openxmlformats.org/officeDocument/2006/relationships/hyperlink" Target="https://wasmer.io" TargetMode="External"/><Relationship Id="rId883" Type="http://schemas.openxmlformats.org/officeDocument/2006/relationships/hyperlink" Target="https://bookface-images.s3.amazonaws.com/small_logos/480be3f11921bc9ec24d0fe4b1f09548d6b9ec5c.png" TargetMode="External"/><Relationship Id="rId882" Type="http://schemas.openxmlformats.org/officeDocument/2006/relationships/hyperlink" Target="http://warmly.ai/" TargetMode="External"/><Relationship Id="rId881" Type="http://schemas.openxmlformats.org/officeDocument/2006/relationships/hyperlink" Target="https://bookface-images.s3.amazonaws.com/small_logos/ce04cea0c7c1fdd2893b4d50aca57d665d3153ef.png" TargetMode="External"/><Relationship Id="rId877" Type="http://schemas.openxmlformats.org/officeDocument/2006/relationships/hyperlink" Target="https://bookface-images.s3.amazonaws.com/small_logos/cf9bb5e6e2675a17e58680fdafb1e6a3bef6c968.png" TargetMode="External"/><Relationship Id="rId876" Type="http://schemas.openxmlformats.org/officeDocument/2006/relationships/hyperlink" Target="http://www.volantio.com" TargetMode="External"/><Relationship Id="rId875" Type="http://schemas.openxmlformats.org/officeDocument/2006/relationships/hyperlink" Target="https://bookface-images.s3.amazonaws.com/small_logos/44ac30bb614305ce52fa98fc517bb853eae8d2ab.png" TargetMode="External"/><Relationship Id="rId874" Type="http://schemas.openxmlformats.org/officeDocument/2006/relationships/hyperlink" Target="https://voiceops.com" TargetMode="External"/><Relationship Id="rId879" Type="http://schemas.openxmlformats.org/officeDocument/2006/relationships/hyperlink" Target="https://bookface-images.s3.amazonaws.com/small_logos/ef1e643c10958ceb8cbae838ae55d8e2e2a2d5d9.png" TargetMode="External"/><Relationship Id="rId878" Type="http://schemas.openxmlformats.org/officeDocument/2006/relationships/hyperlink" Target="https://voosh.ai/" TargetMode="External"/><Relationship Id="rId873" Type="http://schemas.openxmlformats.org/officeDocument/2006/relationships/hyperlink" Target="http://virool.com" TargetMode="External"/><Relationship Id="rId872" Type="http://schemas.openxmlformats.org/officeDocument/2006/relationships/hyperlink" Target="https://bookface-images.s3.amazonaws.com/small_logos/504a9d091b6d5a424fb58e57a3490518c6e5262c.png" TargetMode="External"/><Relationship Id="rId871" Type="http://schemas.openxmlformats.org/officeDocument/2006/relationships/hyperlink" Target="https://www.vincoed.com" TargetMode="External"/><Relationship Id="rId870" Type="http://schemas.openxmlformats.org/officeDocument/2006/relationships/hyperlink" Target="https://bookface-images.s3.amazonaws.com/small_logos/a1482a962d8fe4ce7caaf57c66235bd646c33977.png" TargetMode="External"/><Relationship Id="rId829" Type="http://schemas.openxmlformats.org/officeDocument/2006/relationships/hyperlink" Target="http://twotap.com" TargetMode="External"/><Relationship Id="rId828" Type="http://schemas.openxmlformats.org/officeDocument/2006/relationships/hyperlink" Target="https://bookface-images.s3.amazonaws.com/small_logos/e8b36a45fa3e2b7353a65799934a6decddebd57a.png" TargetMode="External"/><Relationship Id="rId827" Type="http://schemas.openxmlformats.org/officeDocument/2006/relationships/hyperlink" Target="https://www.twodots.net/" TargetMode="External"/><Relationship Id="rId822" Type="http://schemas.openxmlformats.org/officeDocument/2006/relationships/hyperlink" Target="https://bookface-images.s3.amazonaws.com/small_logos/88bc0fa14209c82724c39b4b394f18e06ea23e95.png" TargetMode="External"/><Relationship Id="rId821" Type="http://schemas.openxmlformats.org/officeDocument/2006/relationships/hyperlink" Target="http://www.truenorthfleet.com" TargetMode="External"/><Relationship Id="rId820" Type="http://schemas.openxmlformats.org/officeDocument/2006/relationships/hyperlink" Target="https://bookface-images.s3.amazonaws.com/small_logos/b2db5bb9d86da1264497210fa121a02814b31acb.png" TargetMode="External"/><Relationship Id="rId826" Type="http://schemas.openxmlformats.org/officeDocument/2006/relationships/hyperlink" Target="https://bookface-images.s3.amazonaws.com/small_logos/51b9cb2b4a9873a75bbecddb957db0e52fd65b12.png" TargetMode="External"/><Relationship Id="rId825" Type="http://schemas.openxmlformats.org/officeDocument/2006/relationships/hyperlink" Target="http://www.turingsaas.com" TargetMode="External"/><Relationship Id="rId824" Type="http://schemas.openxmlformats.org/officeDocument/2006/relationships/hyperlink" Target="https://bookface-images.s3.amazonaws.com/small_logos/77b3d44d91a474eb7bbba036d2f49c592582fe31.png" TargetMode="External"/><Relationship Id="rId823" Type="http://schemas.openxmlformats.org/officeDocument/2006/relationships/hyperlink" Target="https://www.truora.com/" TargetMode="External"/><Relationship Id="rId819" Type="http://schemas.openxmlformats.org/officeDocument/2006/relationships/hyperlink" Target="https://triplebyte.com" TargetMode="External"/><Relationship Id="rId818" Type="http://schemas.openxmlformats.org/officeDocument/2006/relationships/hyperlink" Target="http://trigger.io" TargetMode="External"/><Relationship Id="rId817" Type="http://schemas.openxmlformats.org/officeDocument/2006/relationships/hyperlink" Target="https://bookface-images.s3.amazonaws.com/small_logos/b40e160733825b6020e2d1156723b24f3f649def.png" TargetMode="External"/><Relationship Id="rId816" Type="http://schemas.openxmlformats.org/officeDocument/2006/relationships/hyperlink" Target="http://trendpop.com" TargetMode="External"/><Relationship Id="rId811" Type="http://schemas.openxmlformats.org/officeDocument/2006/relationships/hyperlink" Target="https://bookface-images.s3.amazonaws.com/small_logos/342433dcc9840812ba21edf14f03992ff4d9704f.png" TargetMode="External"/><Relationship Id="rId810" Type="http://schemas.openxmlformats.org/officeDocument/2006/relationships/hyperlink" Target="https://trackchain.io" TargetMode="External"/><Relationship Id="rId815" Type="http://schemas.openxmlformats.org/officeDocument/2006/relationships/hyperlink" Target="https://bookface-images.s3.amazonaws.com/small_logos/75cdaab0ca75d9873d7ed2e377b25cb3ae95abb5.png" TargetMode="External"/><Relationship Id="rId814" Type="http://schemas.openxmlformats.org/officeDocument/2006/relationships/hyperlink" Target="https://runtrellis.com/" TargetMode="External"/><Relationship Id="rId813" Type="http://schemas.openxmlformats.org/officeDocument/2006/relationships/hyperlink" Target="https://bookface-images.s3.amazonaws.com/small_logos/cc0392a6dc28d30c2289f39323355c013d2df608.png" TargetMode="External"/><Relationship Id="rId812" Type="http://schemas.openxmlformats.org/officeDocument/2006/relationships/hyperlink" Target="https://www.trella.app/" TargetMode="External"/><Relationship Id="rId849" Type="http://schemas.openxmlformats.org/officeDocument/2006/relationships/hyperlink" Target="http://upverter.com" TargetMode="External"/><Relationship Id="rId844" Type="http://schemas.openxmlformats.org/officeDocument/2006/relationships/hyperlink" Target="https://bookface-images.s3.amazonaws.com/small_logos/5ea8243f6dc8eeb03dde825a84292c7087f12559.png" TargetMode="External"/><Relationship Id="rId843" Type="http://schemas.openxmlformats.org/officeDocument/2006/relationships/hyperlink" Target="http://unravelcarbon.com" TargetMode="External"/><Relationship Id="rId842" Type="http://schemas.openxmlformats.org/officeDocument/2006/relationships/hyperlink" Target="https://bookface-images.s3.amazonaws.com/small_logos/3aea0f2a5c81d31fe777bfb89e0a2f8505498583.png" TargetMode="External"/><Relationship Id="rId841" Type="http://schemas.openxmlformats.org/officeDocument/2006/relationships/hyperlink" Target="https://unlayer.com" TargetMode="External"/><Relationship Id="rId848" Type="http://schemas.openxmlformats.org/officeDocument/2006/relationships/hyperlink" Target="https://bookface-images.s3.amazonaws.com/small_logos/00594b41a6ca6cb9abcc26aadf60196e866c0990.png" TargetMode="External"/><Relationship Id="rId847" Type="http://schemas.openxmlformats.org/officeDocument/2006/relationships/hyperlink" Target="https://www.upfort.com" TargetMode="External"/><Relationship Id="rId846" Type="http://schemas.openxmlformats.org/officeDocument/2006/relationships/hyperlink" Target="https://bookface-images.s3.amazonaws.com/small_logos/b77103b76f2f5deecfe6a6d496bb7883350ab523.png" TargetMode="External"/><Relationship Id="rId845" Type="http://schemas.openxmlformats.org/officeDocument/2006/relationships/hyperlink" Target="http://unsaddl.com" TargetMode="External"/><Relationship Id="rId840" Type="http://schemas.openxmlformats.org/officeDocument/2006/relationships/hyperlink" Target="https://bookface-images.s3.amazonaws.com/small_logos/027aebd8670e1f9af979f5faf2e16000e83da2c8.png" TargetMode="External"/><Relationship Id="rId839" Type="http://schemas.openxmlformats.org/officeDocument/2006/relationships/hyperlink" Target="https://unify.ai" TargetMode="External"/><Relationship Id="rId838" Type="http://schemas.openxmlformats.org/officeDocument/2006/relationships/hyperlink" Target="https://bookface-images.s3.amazonaws.com/small_logos/f68a4b24e2ee28b18236caa367656f8fd63bfb11.png" TargetMode="External"/><Relationship Id="rId833" Type="http://schemas.openxmlformats.org/officeDocument/2006/relationships/hyperlink" Target="https://bookface-images.s3.amazonaws.com/small_logos/98904e01474bc9ab78f2791e442a5ff851498135.png" TargetMode="External"/><Relationship Id="rId832" Type="http://schemas.openxmlformats.org/officeDocument/2006/relationships/hyperlink" Target="https://www.tyltgo.com/" TargetMode="External"/><Relationship Id="rId831" Type="http://schemas.openxmlformats.org/officeDocument/2006/relationships/hyperlink" Target="https://bookface-images.s3.amazonaws.com/small_logos/48848c19693fc99f897c757145ed09f04881b72f.png" TargetMode="External"/><Relationship Id="rId830" Type="http://schemas.openxmlformats.org/officeDocument/2006/relationships/hyperlink" Target="https://www.tydo.com" TargetMode="External"/><Relationship Id="rId837" Type="http://schemas.openxmlformats.org/officeDocument/2006/relationships/hyperlink" Target="https://www.ycombinator.com/companies/uiflow" TargetMode="External"/><Relationship Id="rId836" Type="http://schemas.openxmlformats.org/officeDocument/2006/relationships/hyperlink" Target="http://urx.com" TargetMode="External"/><Relationship Id="rId835" Type="http://schemas.openxmlformats.org/officeDocument/2006/relationships/hyperlink" Target="https://bookface-images.s3.amazonaws.com/small_logos/037b66c1bbe3365f03b5de5fac263f8ea652ae3f.png" TargetMode="External"/><Relationship Id="rId834" Type="http://schemas.openxmlformats.org/officeDocument/2006/relationships/hyperlink" Target="https://typewise.app" TargetMode="External"/><Relationship Id="rId899" Type="http://schemas.openxmlformats.org/officeDocument/2006/relationships/hyperlink" Target="https://bookface-images.s3.amazonaws.com/small_logos/d85dfc73c9692fefd19b7eeec4502dc106fae113.png" TargetMode="External"/><Relationship Id="rId898" Type="http://schemas.openxmlformats.org/officeDocument/2006/relationships/hyperlink" Target="https://www.trywingman.com" TargetMode="External"/><Relationship Id="rId897" Type="http://schemas.openxmlformats.org/officeDocument/2006/relationships/hyperlink" Target="https://bookface-images.s3.amazonaws.com/small_logos/de4dd6debd3ed51accf437ceb7b1b316e5fc5f36.png" TargetMode="External"/><Relationship Id="rId896" Type="http://schemas.openxmlformats.org/officeDocument/2006/relationships/hyperlink" Target="https://www.wingback.com/" TargetMode="External"/><Relationship Id="rId891" Type="http://schemas.openxmlformats.org/officeDocument/2006/relationships/hyperlink" Target="https://bookface-images.s3.amazonaws.com/small_logos/08707f6c6b2d9cf414a1e48065c876db689f59bd.png" TargetMode="External"/><Relationship Id="rId890" Type="http://schemas.openxmlformats.org/officeDocument/2006/relationships/hyperlink" Target="https://waystocap.com" TargetMode="External"/><Relationship Id="rId895" Type="http://schemas.openxmlformats.org/officeDocument/2006/relationships/hyperlink" Target="https://bookface-images.s3.amazonaws.com/small_logos/064e50b587a597760a1cc224a7610121deca1c86.png" TargetMode="External"/><Relationship Id="rId894" Type="http://schemas.openxmlformats.org/officeDocument/2006/relationships/hyperlink" Target="http://www.experiencewelcome.com" TargetMode="External"/><Relationship Id="rId893" Type="http://schemas.openxmlformats.org/officeDocument/2006/relationships/hyperlink" Target="https://bookface-images.s3.amazonaws.com/small_logos/abebec09c171112b2f825b920689d4885969573a.png" TargetMode="External"/><Relationship Id="rId892" Type="http://schemas.openxmlformats.org/officeDocument/2006/relationships/hyperlink" Target="https://weekday.works/" TargetMode="External"/></Relationships>
</file>

<file path=xl/worksheets/_rels/sheet8.xml.rels><?xml version="1.0" encoding="UTF-8" standalone="yes"?><Relationships xmlns="http://schemas.openxmlformats.org/package/2006/relationships"><Relationship Id="rId392" Type="http://schemas.openxmlformats.org/officeDocument/2006/relationships/hyperlink" Target="http://www.portea.com/" TargetMode="External"/><Relationship Id="rId391" Type="http://schemas.openxmlformats.org/officeDocument/2006/relationships/hyperlink" Target="https://www.getport.io/" TargetMode="External"/><Relationship Id="rId390" Type="http://schemas.openxmlformats.org/officeDocument/2006/relationships/hyperlink" Target="http://www.pond5.com/" TargetMode="External"/><Relationship Id="rId385" Type="http://schemas.openxmlformats.org/officeDocument/2006/relationships/hyperlink" Target="https://pismo.io/" TargetMode="External"/><Relationship Id="rId384" Type="http://schemas.openxmlformats.org/officeDocument/2006/relationships/hyperlink" Target="http://www.pillpack.com/" TargetMode="External"/><Relationship Id="rId383" Type="http://schemas.openxmlformats.org/officeDocument/2006/relationships/hyperlink" Target="http://www.pharmaccx.com/" TargetMode="External"/><Relationship Id="rId382" Type="http://schemas.openxmlformats.org/officeDocument/2006/relationships/hyperlink" Target="http://www.personio.com/" TargetMode="External"/><Relationship Id="rId389" Type="http://schemas.openxmlformats.org/officeDocument/2006/relationships/hyperlink" Target="https://poggiolabs.com/" TargetMode="External"/><Relationship Id="rId388" Type="http://schemas.openxmlformats.org/officeDocument/2006/relationships/hyperlink" Target="http://www.podium.com/" TargetMode="External"/><Relationship Id="rId387" Type="http://schemas.openxmlformats.org/officeDocument/2006/relationships/hyperlink" Target="https://pluang.com/" TargetMode="External"/><Relationship Id="rId386" Type="http://schemas.openxmlformats.org/officeDocument/2006/relationships/hyperlink" Target="http://www.plex.com/" TargetMode="External"/><Relationship Id="rId381" Type="http://schemas.openxmlformats.org/officeDocument/2006/relationships/hyperlink" Target="http://www.people-doc.com/" TargetMode="External"/><Relationship Id="rId380" Type="http://schemas.openxmlformats.org/officeDocument/2006/relationships/hyperlink" Target="https://payfit.com/" TargetMode="External"/><Relationship Id="rId379" Type="http://schemas.openxmlformats.org/officeDocument/2006/relationships/hyperlink" Target="http://www.parature.com/" TargetMode="External"/><Relationship Id="rId374" Type="http://schemas.openxmlformats.org/officeDocument/2006/relationships/hyperlink" Target="http://www.playosmo.com/" TargetMode="External"/><Relationship Id="rId373" Type="http://schemas.openxmlformats.org/officeDocument/2006/relationships/hyperlink" Target="https://www.oslash.com/" TargetMode="External"/><Relationship Id="rId372" Type="http://schemas.openxmlformats.org/officeDocument/2006/relationships/hyperlink" Target="https://orum.io/" TargetMode="External"/><Relationship Id="rId371" Type="http://schemas.openxmlformats.org/officeDocument/2006/relationships/hyperlink" Target="http://www.origamilogic.com/" TargetMode="External"/><Relationship Id="rId378" Type="http://schemas.openxmlformats.org/officeDocument/2006/relationships/hyperlink" Target="http://www.pagerduty.com/" TargetMode="External"/><Relationship Id="rId377" Type="http://schemas.openxmlformats.org/officeDocument/2006/relationships/hyperlink" Target="http://www.packlink.com/" TargetMode="External"/><Relationship Id="rId376" Type="http://schemas.openxmlformats.org/officeDocument/2006/relationships/hyperlink" Target="http://www.ozforex.com.au/" TargetMode="External"/><Relationship Id="rId375" Type="http://schemas.openxmlformats.org/officeDocument/2006/relationships/hyperlink" Target="https://ottertune.com/" TargetMode="External"/><Relationship Id="rId396" Type="http://schemas.openxmlformats.org/officeDocument/2006/relationships/hyperlink" Target="http://www.primaryio.com/" TargetMode="External"/><Relationship Id="rId395" Type="http://schemas.openxmlformats.org/officeDocument/2006/relationships/hyperlink" Target="http://www.prezi.com/" TargetMode="External"/><Relationship Id="rId394" Type="http://schemas.openxmlformats.org/officeDocument/2006/relationships/hyperlink" Target="https://www.getpowerplay.in/" TargetMode="External"/><Relationship Id="rId393" Type="http://schemas.openxmlformats.org/officeDocument/2006/relationships/hyperlink" Target="http://www.power2sme.com/" TargetMode="External"/><Relationship Id="rId399" Type="http://schemas.openxmlformats.org/officeDocument/2006/relationships/hyperlink" Target="http://www.privitar.com/" TargetMode="External"/><Relationship Id="rId398" Type="http://schemas.openxmlformats.org/officeDocument/2006/relationships/hyperlink" Target="http://www.privacera.com/" TargetMode="External"/><Relationship Id="rId397" Type="http://schemas.openxmlformats.org/officeDocument/2006/relationships/hyperlink" Target="https://primer.io/" TargetMode="External"/><Relationship Id="rId40" Type="http://schemas.openxmlformats.org/officeDocument/2006/relationships/hyperlink" Target="https://www.atspoke.com/" TargetMode="External"/><Relationship Id="rId42" Type="http://schemas.openxmlformats.org/officeDocument/2006/relationships/hyperlink" Target="http://www.useavenue.com/" TargetMode="External"/><Relationship Id="rId41" Type="http://schemas.openxmlformats.org/officeDocument/2006/relationships/hyperlink" Target="https://aura.com/" TargetMode="External"/><Relationship Id="rId44" Type="http://schemas.openxmlformats.org/officeDocument/2006/relationships/hyperlink" Target="http://www.awaytravel.com/" TargetMode="External"/><Relationship Id="rId43" Type="http://schemas.openxmlformats.org/officeDocument/2006/relationships/hyperlink" Target="http://www.avito.ru/" TargetMode="External"/><Relationship Id="rId46" Type="http://schemas.openxmlformats.org/officeDocument/2006/relationships/hyperlink" Target="https://www.axle.energy/" TargetMode="External"/><Relationship Id="rId45" Type="http://schemas.openxmlformats.org/officeDocument/2006/relationships/hyperlink" Target="http://www.axiobio.com/" TargetMode="External"/><Relationship Id="rId48" Type="http://schemas.openxmlformats.org/officeDocument/2006/relationships/hyperlink" Target="http://www.baublebar.com/" TargetMode="External"/><Relationship Id="rId47" Type="http://schemas.openxmlformats.org/officeDocument/2006/relationships/hyperlink" Target="https://www.axonius.com/" TargetMode="External"/><Relationship Id="rId49" Type="http://schemas.openxmlformats.org/officeDocument/2006/relationships/hyperlink" Target="https://bayestree.com/" TargetMode="External"/><Relationship Id="rId31" Type="http://schemas.openxmlformats.org/officeDocument/2006/relationships/hyperlink" Target="http://getaptly.com/" TargetMode="External"/><Relationship Id="rId30" Type="http://schemas.openxmlformats.org/officeDocument/2006/relationships/hyperlink" Target="https://www.appsmith.com/" TargetMode="External"/><Relationship Id="rId33" Type="http://schemas.openxmlformats.org/officeDocument/2006/relationships/hyperlink" Target="http://ascend.io" TargetMode="External"/><Relationship Id="rId32" Type="http://schemas.openxmlformats.org/officeDocument/2006/relationships/hyperlink" Target="http://www.arista.com/" TargetMode="External"/><Relationship Id="rId35" Type="http://schemas.openxmlformats.org/officeDocument/2006/relationships/hyperlink" Target="https://www.assemblyai.com/" TargetMode="External"/><Relationship Id="rId34" Type="http://schemas.openxmlformats.org/officeDocument/2006/relationships/hyperlink" Target="http://www.ascend.io/" TargetMode="External"/><Relationship Id="rId37" Type="http://schemas.openxmlformats.org/officeDocument/2006/relationships/hyperlink" Target="https://www.astronauts.id/" TargetMode="External"/><Relationship Id="rId36" Type="http://schemas.openxmlformats.org/officeDocument/2006/relationships/hyperlink" Target="https://astral.sh/" TargetMode="External"/><Relationship Id="rId39" Type="http://schemas.openxmlformats.org/officeDocument/2006/relationships/hyperlink" Target="https://www.atratopago.com/" TargetMode="External"/><Relationship Id="rId38" Type="http://schemas.openxmlformats.org/officeDocument/2006/relationships/hyperlink" Target="http://www.atlassian.com/" TargetMode="External"/><Relationship Id="rId20" Type="http://schemas.openxmlformats.org/officeDocument/2006/relationships/hyperlink" Target="https://altinity.com/" TargetMode="External"/><Relationship Id="rId22" Type="http://schemas.openxmlformats.org/officeDocument/2006/relationships/hyperlink" Target="http://www.ampool-inc.com/" TargetMode="External"/><Relationship Id="rId21" Type="http://schemas.openxmlformats.org/officeDocument/2006/relationships/hyperlink" Target="https://www.amagi.com/" TargetMode="External"/><Relationship Id="rId24" Type="http://schemas.openxmlformats.org/officeDocument/2006/relationships/hyperlink" Target="http://www.anchor.fm/" TargetMode="External"/><Relationship Id="rId23" Type="http://schemas.openxmlformats.org/officeDocument/2006/relationships/hyperlink" Target="https://anar.biz/" TargetMode="External"/><Relationship Id="rId26" Type="http://schemas.openxmlformats.org/officeDocument/2006/relationships/hyperlink" Target="http://www.anyfin.com/" TargetMode="External"/><Relationship Id="rId25" Type="http://schemas.openxmlformats.org/officeDocument/2006/relationships/hyperlink" Target="http://www.ansr.com/" TargetMode="External"/><Relationship Id="rId28" Type="http://schemas.openxmlformats.org/officeDocument/2006/relationships/hyperlink" Target="https://apnamart.in/" TargetMode="External"/><Relationship Id="rId27" Type="http://schemas.openxmlformats.org/officeDocument/2006/relationships/hyperlink" Target="http://www.microsoft.com/" TargetMode="External"/><Relationship Id="rId29" Type="http://schemas.openxmlformats.org/officeDocument/2006/relationships/hyperlink" Target="https://appbrew.tech/" TargetMode="External"/><Relationship Id="rId11" Type="http://schemas.openxmlformats.org/officeDocument/2006/relationships/hyperlink" Target="http://corporate.agrostar.in/" TargetMode="External"/><Relationship Id="rId10" Type="http://schemas.openxmlformats.org/officeDocument/2006/relationships/hyperlink" Target="https://www.agaveapi.com/" TargetMode="External"/><Relationship Id="rId13" Type="http://schemas.openxmlformats.org/officeDocument/2006/relationships/hyperlink" Target="http://www.airkit.com/" TargetMode="External"/><Relationship Id="rId12" Type="http://schemas.openxmlformats.org/officeDocument/2006/relationships/hyperlink" Target="https://airbyte.io/" TargetMode="External"/><Relationship Id="rId15" Type="http://schemas.openxmlformats.org/officeDocument/2006/relationships/hyperlink" Target="https://www.accel.com/relationships/airwatch" TargetMode="External"/><Relationship Id="rId14" Type="http://schemas.openxmlformats.org/officeDocument/2006/relationships/hyperlink" Target="http://www.airmeet.com/" TargetMode="External"/><Relationship Id="rId17" Type="http://schemas.openxmlformats.org/officeDocument/2006/relationships/hyperlink" Target="https://www.akto.io/" TargetMode="External"/><Relationship Id="rId16" Type="http://schemas.openxmlformats.org/officeDocument/2006/relationships/hyperlink" Target="https://www.akridata.com/" TargetMode="External"/><Relationship Id="rId19" Type="http://schemas.openxmlformats.org/officeDocument/2006/relationships/hyperlink" Target="http://www.ally.io/" TargetMode="External"/><Relationship Id="rId18" Type="http://schemas.openxmlformats.org/officeDocument/2006/relationships/hyperlink" Target="http://www.algolia.com/" TargetMode="External"/><Relationship Id="rId84" Type="http://schemas.openxmlformats.org/officeDocument/2006/relationships/hyperlink" Target="http://www.captivateiq.com/" TargetMode="External"/><Relationship Id="rId83" Type="http://schemas.openxmlformats.org/officeDocument/2006/relationships/hyperlink" Target="https://www.captainfresh.in/" TargetMode="External"/><Relationship Id="rId86" Type="http://schemas.openxmlformats.org/officeDocument/2006/relationships/hyperlink" Target="http://www.carestack.com/" TargetMode="External"/><Relationship Id="rId85" Type="http://schemas.openxmlformats.org/officeDocument/2006/relationships/hyperlink" Target="http://cardspring.com/" TargetMode="External"/><Relationship Id="rId88" Type="http://schemas.openxmlformats.org/officeDocument/2006/relationships/hyperlink" Target="https://getcartwheel.com/home" TargetMode="External"/><Relationship Id="rId87" Type="http://schemas.openxmlformats.org/officeDocument/2006/relationships/hyperlink" Target="http://www.carto.com/" TargetMode="External"/><Relationship Id="rId89" Type="http://schemas.openxmlformats.org/officeDocument/2006/relationships/hyperlink" Target="http://www.carwow.co.uk/" TargetMode="External"/><Relationship Id="rId80" Type="http://schemas.openxmlformats.org/officeDocument/2006/relationships/hyperlink" Target="http://www.campaignmonitor.com/" TargetMode="External"/><Relationship Id="rId82" Type="http://schemas.openxmlformats.org/officeDocument/2006/relationships/hyperlink" Target="http://www.linkedin.com/company/capricoast-home-solutions-pvt-ltd/about/" TargetMode="External"/><Relationship Id="rId81" Type="http://schemas.openxmlformats.org/officeDocument/2006/relationships/hyperlink" Target="http://www.cancapital.com/" TargetMode="External"/><Relationship Id="rId73" Type="http://schemas.openxmlformats.org/officeDocument/2006/relationships/hyperlink" Target="https://brik.id/" TargetMode="External"/><Relationship Id="rId72" Type="http://schemas.openxmlformats.org/officeDocument/2006/relationships/hyperlink" Target="https://www.bricknbolt.com/" TargetMode="External"/><Relationship Id="rId75" Type="http://schemas.openxmlformats.org/officeDocument/2006/relationships/hyperlink" Target="http://www.brumbrum.it/" TargetMode="External"/><Relationship Id="rId74" Type="http://schemas.openxmlformats.org/officeDocument/2006/relationships/hyperlink" Target="http://www.browserstack.com/" TargetMode="External"/><Relationship Id="rId77" Type="http://schemas.openxmlformats.org/officeDocument/2006/relationships/hyperlink" Target="http://www.bumble.com/" TargetMode="External"/><Relationship Id="rId76" Type="http://schemas.openxmlformats.org/officeDocument/2006/relationships/hyperlink" Target="http://www.bryter.io/" TargetMode="External"/><Relationship Id="rId79" Type="http://schemas.openxmlformats.org/officeDocument/2006/relationships/hyperlink" Target="http://www.callsign.com/" TargetMode="External"/><Relationship Id="rId78" Type="http://schemas.openxmlformats.org/officeDocument/2006/relationships/hyperlink" Target="http://www.calastone.com/" TargetMode="External"/><Relationship Id="rId71" Type="http://schemas.openxmlformats.org/officeDocument/2006/relationships/hyperlink" Target="https://www.breathewellbeing.in/" TargetMode="External"/><Relationship Id="rId70" Type="http://schemas.openxmlformats.org/officeDocument/2006/relationships/hyperlink" Target="http://www.braintreepayments.com/" TargetMode="External"/><Relationship Id="rId62" Type="http://schemas.openxmlformats.org/officeDocument/2006/relationships/hyperlink" Target="https://blackpointcyber.com/" TargetMode="External"/><Relationship Id="rId61" Type="http://schemas.openxmlformats.org/officeDocument/2006/relationships/hyperlink" Target="http://www.blackbuck.com/" TargetMode="External"/><Relationship Id="rId64" Type="http://schemas.openxmlformats.org/officeDocument/2006/relationships/hyperlink" Target="http://www.bluejeans.com/" TargetMode="External"/><Relationship Id="rId63" Type="http://schemas.openxmlformats.org/officeDocument/2006/relationships/hyperlink" Target="http://www.blameless.com/" TargetMode="External"/><Relationship Id="rId66" Type="http://schemas.openxmlformats.org/officeDocument/2006/relationships/hyperlink" Target="http://www.bonobos.com/" TargetMode="External"/><Relationship Id="rId65" Type="http://schemas.openxmlformats.org/officeDocument/2006/relationships/hyperlink" Target="http://www.bluestone.com/" TargetMode="External"/><Relationship Id="rId68" Type="http://schemas.openxmlformats.org/officeDocument/2006/relationships/hyperlink" Target="http://www.borqs.com/" TargetMode="External"/><Relationship Id="rId67" Type="http://schemas.openxmlformats.org/officeDocument/2006/relationships/hyperlink" Target="http://www.bookmyshow.com/" TargetMode="External"/><Relationship Id="rId60" Type="http://schemas.openxmlformats.org/officeDocument/2006/relationships/hyperlink" Target="http://www.blablacar.com/" TargetMode="External"/><Relationship Id="rId69" Type="http://schemas.openxmlformats.org/officeDocument/2006/relationships/hyperlink" Target="https://bounceinfinity.com/" TargetMode="External"/><Relationship Id="rId51" Type="http://schemas.openxmlformats.org/officeDocument/2006/relationships/hyperlink" Target="https://beek.io/" TargetMode="External"/><Relationship Id="rId50" Type="http://schemas.openxmlformats.org/officeDocument/2006/relationships/hyperlink" Target="https://www.usebeam.co/" TargetMode="External"/><Relationship Id="rId53" Type="http://schemas.openxmlformats.org/officeDocument/2006/relationships/hyperlink" Target="https://www.bestdocapp.com/" TargetMode="External"/><Relationship Id="rId52" Type="http://schemas.openxmlformats.org/officeDocument/2006/relationships/hyperlink" Target="https://bere.al/en" TargetMode="External"/><Relationship Id="rId55" Type="http://schemas.openxmlformats.org/officeDocument/2006/relationships/hyperlink" Target="https://www.bevy.com/" TargetMode="External"/><Relationship Id="rId54" Type="http://schemas.openxmlformats.org/officeDocument/2006/relationships/hyperlink" Target="http://www.bettercloud.com/" TargetMode="External"/><Relationship Id="rId57" Type="http://schemas.openxmlformats.org/officeDocument/2006/relationships/hyperlink" Target="https://bird.com/en-us/" TargetMode="External"/><Relationship Id="rId56" Type="http://schemas.openxmlformats.org/officeDocument/2006/relationships/hyperlink" Target="https://binocs.co/" TargetMode="External"/><Relationship Id="rId59" Type="http://schemas.openxmlformats.org/officeDocument/2006/relationships/hyperlink" Target="http://www.bizongo.com/" TargetMode="External"/><Relationship Id="rId58" Type="http://schemas.openxmlformats.org/officeDocument/2006/relationships/hyperlink" Target="http://www.bird.co/" TargetMode="External"/><Relationship Id="rId349" Type="http://schemas.openxmlformats.org/officeDocument/2006/relationships/hyperlink" Target="http://www.nextgnetworks.net/" TargetMode="External"/><Relationship Id="rId348" Type="http://schemas.openxmlformats.org/officeDocument/2006/relationships/hyperlink" Target="http://www.nextbit.com/" TargetMode="External"/><Relationship Id="rId347" Type="http://schemas.openxmlformats.org/officeDocument/2006/relationships/hyperlink" Target="https://newme.asia/" TargetMode="External"/><Relationship Id="rId346" Type="http://schemas.openxmlformats.org/officeDocument/2006/relationships/hyperlink" Target="http://www.newrelic.com/" TargetMode="External"/><Relationship Id="rId341" Type="http://schemas.openxmlformats.org/officeDocument/2006/relationships/hyperlink" Target="http://napkin.ai" TargetMode="External"/><Relationship Id="rId340" Type="http://schemas.openxmlformats.org/officeDocument/2006/relationships/hyperlink" Target="https://www.nansen.ai/" TargetMode="External"/><Relationship Id="rId345" Type="http://schemas.openxmlformats.org/officeDocument/2006/relationships/hyperlink" Target="http://www.netskope.com/" TargetMode="External"/><Relationship Id="rId344" Type="http://schemas.openxmlformats.org/officeDocument/2006/relationships/hyperlink" Target="https://nebius.com/" TargetMode="External"/><Relationship Id="rId343" Type="http://schemas.openxmlformats.org/officeDocument/2006/relationships/hyperlink" Target="http://www.narvar.com/" TargetMode="External"/><Relationship Id="rId342" Type="http://schemas.openxmlformats.org/officeDocument/2006/relationships/hyperlink" Target="https://www.napkin.ai/" TargetMode="External"/><Relationship Id="rId338" Type="http://schemas.openxmlformats.org/officeDocument/2006/relationships/hyperlink" Target="https://www.nakad.co/" TargetMode="External"/><Relationship Id="rId337" Type="http://schemas.openxmlformats.org/officeDocument/2006/relationships/hyperlink" Target="https://myxt.com/" TargetMode="External"/><Relationship Id="rId336" Type="http://schemas.openxmlformats.org/officeDocument/2006/relationships/hyperlink" Target="http://www.mywearstore.com/" TargetMode="External"/><Relationship Id="rId335" Type="http://schemas.openxmlformats.org/officeDocument/2006/relationships/hyperlink" Target="https://www.accel.com/relationships/mynvax" TargetMode="External"/><Relationship Id="rId339" Type="http://schemas.openxmlformats.org/officeDocument/2006/relationships/hyperlink" Target="https://nanonets.com/" TargetMode="External"/><Relationship Id="rId330" Type="http://schemas.openxmlformats.org/officeDocument/2006/relationships/hyperlink" Target="https://moonfish.com/" TargetMode="External"/><Relationship Id="rId334" Type="http://schemas.openxmlformats.org/officeDocument/2006/relationships/hyperlink" Target="http://www.myntra.com/" TargetMode="External"/><Relationship Id="rId333" Type="http://schemas.openxmlformats.org/officeDocument/2006/relationships/hyperlink" Target="https://www.myglamm.com/" TargetMode="External"/><Relationship Id="rId332" Type="http://schemas.openxmlformats.org/officeDocument/2006/relationships/hyperlink" Target="http://www.myfitnesspal.com/" TargetMode="External"/><Relationship Id="rId331" Type="http://schemas.openxmlformats.org/officeDocument/2006/relationships/hyperlink" Target="http://www.mopub.com/" TargetMode="External"/><Relationship Id="rId370" Type="http://schemas.openxmlformats.org/officeDocument/2006/relationships/hyperlink" Target="https://www.orangehealth.in/" TargetMode="External"/><Relationship Id="rId369" Type="http://schemas.openxmlformats.org/officeDocument/2006/relationships/hyperlink" Target="http://www.opower.com/" TargetMode="External"/><Relationship Id="rId368" Type="http://schemas.openxmlformats.org/officeDocument/2006/relationships/hyperlink" Target="http://www.openhouse.study/" TargetMode="External"/><Relationship Id="rId363" Type="http://schemas.openxmlformats.org/officeDocument/2006/relationships/hyperlink" Target="http://onco.com" TargetMode="External"/><Relationship Id="rId362" Type="http://schemas.openxmlformats.org/officeDocument/2006/relationships/hyperlink" Target="https://www.omnea.co/" TargetMode="External"/><Relationship Id="rId361" Type="http://schemas.openxmlformats.org/officeDocument/2006/relationships/hyperlink" Target="http://www.olacabs.com/" TargetMode="External"/><Relationship Id="rId360" Type="http://schemas.openxmlformats.org/officeDocument/2006/relationships/hyperlink" Target="http://www.octarinesec.com/" TargetMode="External"/><Relationship Id="rId367" Type="http://schemas.openxmlformats.org/officeDocument/2006/relationships/hyperlink" Target="http://www.opengamma.com/" TargetMode="External"/><Relationship Id="rId366" Type="http://schemas.openxmlformats.org/officeDocument/2006/relationships/hyperlink" Target="http://www.workwithopal.com/" TargetMode="External"/><Relationship Id="rId365" Type="http://schemas.openxmlformats.org/officeDocument/2006/relationships/hyperlink" Target="http://www.onsitego.com/" TargetMode="External"/><Relationship Id="rId364" Type="http://schemas.openxmlformats.org/officeDocument/2006/relationships/hyperlink" Target="http://www.onco.com/" TargetMode="External"/><Relationship Id="rId95" Type="http://schemas.openxmlformats.org/officeDocument/2006/relationships/hyperlink" Target="https://www.cdata.com/" TargetMode="External"/><Relationship Id="rId94" Type="http://schemas.openxmlformats.org/officeDocument/2006/relationships/hyperlink" Target="https://www.causal.app/" TargetMode="External"/><Relationship Id="rId97" Type="http://schemas.openxmlformats.org/officeDocument/2006/relationships/hyperlink" Target="https://www.centaurlabs.com/" TargetMode="External"/><Relationship Id="rId96" Type="http://schemas.openxmlformats.org/officeDocument/2006/relationships/hyperlink" Target="http://www.celonis.com/de" TargetMode="External"/><Relationship Id="rId99" Type="http://schemas.openxmlformats.org/officeDocument/2006/relationships/hyperlink" Target="https://chaosinc.com/" TargetMode="External"/><Relationship Id="rId98" Type="http://schemas.openxmlformats.org/officeDocument/2006/relationships/hyperlink" Target="http://www.chainalysis.com/" TargetMode="External"/><Relationship Id="rId91" Type="http://schemas.openxmlformats.org/officeDocument/2006/relationships/hyperlink" Target="http://www.getcatalyst.io/" TargetMode="External"/><Relationship Id="rId90" Type="http://schemas.openxmlformats.org/officeDocument/2006/relationships/hyperlink" Target="http://www.casaone.com/" TargetMode="External"/><Relationship Id="rId93" Type="http://schemas.openxmlformats.org/officeDocument/2006/relationships/hyperlink" Target="https://www.catchandrelease.com/" TargetMode="External"/><Relationship Id="rId92" Type="http://schemas.openxmlformats.org/officeDocument/2006/relationships/hyperlink" Target="http://www.catawiki.com/" TargetMode="External"/><Relationship Id="rId359" Type="http://schemas.openxmlformats.org/officeDocument/2006/relationships/hyperlink" Target="https://www.oasis.security/" TargetMode="External"/><Relationship Id="rId358" Type="http://schemas.openxmlformats.org/officeDocument/2006/relationships/hyperlink" Target="https://www.eatwithnymble.com/" TargetMode="External"/><Relationship Id="rId357" Type="http://schemas.openxmlformats.org/officeDocument/2006/relationships/hyperlink" Target="https://www.nuvemshop.com.br/" TargetMode="External"/><Relationship Id="rId352" Type="http://schemas.openxmlformats.org/officeDocument/2006/relationships/hyperlink" Target="http://www.nines.com/" TargetMode="External"/><Relationship Id="rId351" Type="http://schemas.openxmlformats.org/officeDocument/2006/relationships/hyperlink" Target="http://www.nimblestorage.com/" TargetMode="External"/><Relationship Id="rId350" Type="http://schemas.openxmlformats.org/officeDocument/2006/relationships/hyperlink" Target="https://nimble.ai/" TargetMode="External"/><Relationship Id="rId356" Type="http://schemas.openxmlformats.org/officeDocument/2006/relationships/hyperlink" Target="https://www.nuitee.com/" TargetMode="External"/><Relationship Id="rId355" Type="http://schemas.openxmlformats.org/officeDocument/2006/relationships/hyperlink" Target="https://nory.ai/" TargetMode="External"/><Relationship Id="rId354" Type="http://schemas.openxmlformats.org/officeDocument/2006/relationships/hyperlink" Target="https://www.goniyo.com/" TargetMode="External"/><Relationship Id="rId353" Type="http://schemas.openxmlformats.org/officeDocument/2006/relationships/hyperlink" Target="https://ninjacart.com/" TargetMode="External"/><Relationship Id="rId305" Type="http://schemas.openxmlformats.org/officeDocument/2006/relationships/hyperlink" Target="https://www.makelog.com/" TargetMode="External"/><Relationship Id="rId304" Type="http://schemas.openxmlformats.org/officeDocument/2006/relationships/hyperlink" Target="http://www.lyst.com/" TargetMode="External"/><Relationship Id="rId303" Type="http://schemas.openxmlformats.org/officeDocument/2006/relationships/hyperlink" Target="http://www.lynda.com/" TargetMode="External"/><Relationship Id="rId302" Type="http://schemas.openxmlformats.org/officeDocument/2006/relationships/hyperlink" Target="https://lydia-app.com/" TargetMode="External"/><Relationship Id="rId309" Type="http://schemas.openxmlformats.org/officeDocument/2006/relationships/hyperlink" Target="http://www.mechmocha.com/" TargetMode="External"/><Relationship Id="rId308" Type="http://schemas.openxmlformats.org/officeDocument/2006/relationships/hyperlink" Target="http://www.mayhem.gg/" TargetMode="External"/><Relationship Id="rId307" Type="http://schemas.openxmlformats.org/officeDocument/2006/relationships/hyperlink" Target="https://maverix.in/" TargetMode="External"/><Relationship Id="rId306" Type="http://schemas.openxmlformats.org/officeDocument/2006/relationships/hyperlink" Target="https://getmason.io/" TargetMode="External"/><Relationship Id="rId301" Type="http://schemas.openxmlformats.org/officeDocument/2006/relationships/hyperlink" Target="http://www.luko.eu/" TargetMode="External"/><Relationship Id="rId300" Type="http://schemas.openxmlformats.org/officeDocument/2006/relationships/hyperlink" Target="https://www.lucidlane.com/" TargetMode="External"/><Relationship Id="rId327" Type="http://schemas.openxmlformats.org/officeDocument/2006/relationships/hyperlink" Target="http://www.moneyview.in/" TargetMode="External"/><Relationship Id="rId326" Type="http://schemas.openxmlformats.org/officeDocument/2006/relationships/hyperlink" Target="https://www.monarchmoney.com/" TargetMode="External"/><Relationship Id="rId325" Type="http://schemas.openxmlformats.org/officeDocument/2006/relationships/hyperlink" Target="http://www.moglix.com/" TargetMode="External"/><Relationship Id="rId324" Type="http://schemas.openxmlformats.org/officeDocument/2006/relationships/hyperlink" Target="http://www.modernloop.io/" TargetMode="External"/><Relationship Id="rId329" Type="http://schemas.openxmlformats.org/officeDocument/2006/relationships/hyperlink" Target="http://www.monzo.com/" TargetMode="External"/><Relationship Id="rId328" Type="http://schemas.openxmlformats.org/officeDocument/2006/relationships/hyperlink" Target="https://www.montecarlodata.com/" TargetMode="External"/><Relationship Id="rId323" Type="http://schemas.openxmlformats.org/officeDocument/2006/relationships/hyperlink" Target="https://www.misfitsmarket.com/" TargetMode="External"/><Relationship Id="rId322" Type="http://schemas.openxmlformats.org/officeDocument/2006/relationships/hyperlink" Target="http://www.miro.com/" TargetMode="External"/><Relationship Id="rId321" Type="http://schemas.openxmlformats.org/officeDocument/2006/relationships/hyperlink" Target="https://miranatoys.com/" TargetMode="External"/><Relationship Id="rId320" Type="http://schemas.openxmlformats.org/officeDocument/2006/relationships/hyperlink" Target="https://www.minoanexperience.com/" TargetMode="External"/><Relationship Id="rId316" Type="http://schemas.openxmlformats.org/officeDocument/2006/relationships/hyperlink" Target="http://www.middesk.com/" TargetMode="External"/><Relationship Id="rId315" Type="http://schemas.openxmlformats.org/officeDocument/2006/relationships/hyperlink" Target="https://merxu.com/en/about/" TargetMode="External"/><Relationship Id="rId314" Type="http://schemas.openxmlformats.org/officeDocument/2006/relationships/hyperlink" Target="https://merge.dev/" TargetMode="External"/><Relationship Id="rId313" Type="http://schemas.openxmlformats.org/officeDocument/2006/relationships/hyperlink" Target="https://www.meragi.com/" TargetMode="External"/><Relationship Id="rId319" Type="http://schemas.openxmlformats.org/officeDocument/2006/relationships/hyperlink" Target="http://www.mindtickle.com/" TargetMode="External"/><Relationship Id="rId318" Type="http://schemas.openxmlformats.org/officeDocument/2006/relationships/hyperlink" Target="https://www.moshikids.com/" TargetMode="External"/><Relationship Id="rId317" Type="http://schemas.openxmlformats.org/officeDocument/2006/relationships/hyperlink" Target="http://mihup.com/" TargetMode="External"/><Relationship Id="rId312" Type="http://schemas.openxmlformats.org/officeDocument/2006/relationships/hyperlink" Target="https://mensabrands.com/" TargetMode="External"/><Relationship Id="rId311" Type="http://schemas.openxmlformats.org/officeDocument/2006/relationships/hyperlink" Target="https://www.meliopayments.com/about-us" TargetMode="External"/><Relationship Id="rId310" Type="http://schemas.openxmlformats.org/officeDocument/2006/relationships/hyperlink" Target="http://www.medigo.com/" TargetMode="External"/><Relationship Id="rId297" Type="http://schemas.openxmlformats.org/officeDocument/2006/relationships/hyperlink" Target="http://www.lookout.com/" TargetMode="External"/><Relationship Id="rId296" Type="http://schemas.openxmlformats.org/officeDocument/2006/relationships/hyperlink" Target="http://www.lola.com/" TargetMode="External"/><Relationship Id="rId295" Type="http://schemas.openxmlformats.org/officeDocument/2006/relationships/hyperlink" Target="https://www.logicloop.com/" TargetMode="External"/><Relationship Id="rId294" Type="http://schemas.openxmlformats.org/officeDocument/2006/relationships/hyperlink" Target="https://www.locofy.ai/" TargetMode="External"/><Relationship Id="rId299" Type="http://schemas.openxmlformats.org/officeDocument/2006/relationships/hyperlink" Target="https://www.lower.com/" TargetMode="External"/><Relationship Id="rId298" Type="http://schemas.openxmlformats.org/officeDocument/2006/relationships/hyperlink" Target="https://lottie.org/" TargetMode="External"/><Relationship Id="rId271" Type="http://schemas.openxmlformats.org/officeDocument/2006/relationships/hyperlink" Target="http://www.kayak.com/" TargetMode="External"/><Relationship Id="rId270" Type="http://schemas.openxmlformats.org/officeDocument/2006/relationships/hyperlink" Target="http://www.juspay.in/" TargetMode="External"/><Relationship Id="rId269" Type="http://schemas.openxmlformats.org/officeDocument/2006/relationships/hyperlink" Target="http://www.jobtoday.com/" TargetMode="External"/><Relationship Id="rId264" Type="http://schemas.openxmlformats.org/officeDocument/2006/relationships/hyperlink" Target="http://www.jet.com/" TargetMode="External"/><Relationship Id="rId263" Type="http://schemas.openxmlformats.org/officeDocument/2006/relationships/hyperlink" Target="https://jellyfish.co/" TargetMode="External"/><Relationship Id="rId262" Type="http://schemas.openxmlformats.org/officeDocument/2006/relationships/hyperlink" Target="http://www.ironcladapp.com/" TargetMode="External"/><Relationship Id="rId261" Type="http://schemas.openxmlformats.org/officeDocument/2006/relationships/hyperlink" Target="http://www.invoice2go.com/" TargetMode="External"/><Relationship Id="rId268" Type="http://schemas.openxmlformats.org/officeDocument/2006/relationships/hyperlink" Target="https://www.jiraaf.com/" TargetMode="External"/><Relationship Id="rId267" Type="http://schemas.openxmlformats.org/officeDocument/2006/relationships/hyperlink" Target="https://www.jify.co/" TargetMode="External"/><Relationship Id="rId266" Type="http://schemas.openxmlformats.org/officeDocument/2006/relationships/hyperlink" Target="http://www.jifflenow.com/" TargetMode="External"/><Relationship Id="rId265" Type="http://schemas.openxmlformats.org/officeDocument/2006/relationships/hyperlink" Target="https://www.jetapult.me/" TargetMode="External"/><Relationship Id="rId260" Type="http://schemas.openxmlformats.org/officeDocument/2006/relationships/hyperlink" Target="http://www.invoca.com/" TargetMode="External"/><Relationship Id="rId259" Type="http://schemas.openxmlformats.org/officeDocument/2006/relationships/hyperlink" Target="http://www.instana.com/" TargetMode="External"/><Relationship Id="rId258" Type="http://schemas.openxmlformats.org/officeDocument/2006/relationships/hyperlink" Target="http://www.instabug.com/" TargetMode="External"/><Relationship Id="rId253" Type="http://schemas.openxmlformats.org/officeDocument/2006/relationships/hyperlink" Target="http://www.illumio.com/" TargetMode="External"/><Relationship Id="rId252" Type="http://schemas.openxmlformats.org/officeDocument/2006/relationships/hyperlink" Target="http://hush.company/" TargetMode="External"/><Relationship Id="rId251" Type="http://schemas.openxmlformats.org/officeDocument/2006/relationships/hyperlink" Target="http://www.humio.com/" TargetMode="External"/><Relationship Id="rId250" Type="http://schemas.openxmlformats.org/officeDocument/2006/relationships/hyperlink" Target="http://www.hudl.com/" TargetMode="External"/><Relationship Id="rId257" Type="http://schemas.openxmlformats.org/officeDocument/2006/relationships/hyperlink" Target="https://insify.com/" TargetMode="External"/><Relationship Id="rId256" Type="http://schemas.openxmlformats.org/officeDocument/2006/relationships/hyperlink" Target="https://innovist.com/" TargetMode="External"/><Relationship Id="rId255" Type="http://schemas.openxmlformats.org/officeDocument/2006/relationships/hyperlink" Target="http://www.infra.market/" TargetMode="External"/><Relationship Id="rId254" Type="http://schemas.openxmlformats.org/officeDocument/2006/relationships/hyperlink" Target="http://www.indifi.com/" TargetMode="External"/><Relationship Id="rId293" Type="http://schemas.openxmlformats.org/officeDocument/2006/relationships/hyperlink" Target="http://www.linear.app/" TargetMode="External"/><Relationship Id="rId292" Type="http://schemas.openxmlformats.org/officeDocument/2006/relationships/hyperlink" Target="http://www.lightspeedhq.com/" TargetMode="External"/><Relationship Id="rId291" Type="http://schemas.openxmlformats.org/officeDocument/2006/relationships/hyperlink" Target="https://www.lighthouselabs.xyz/" TargetMode="External"/><Relationship Id="rId290" Type="http://schemas.openxmlformats.org/officeDocument/2006/relationships/hyperlink" Target="https://www.lightdash.com/" TargetMode="External"/><Relationship Id="rId286" Type="http://schemas.openxmlformats.org/officeDocument/2006/relationships/hyperlink" Target="https://www.ledgerinvesting.com/" TargetMode="External"/><Relationship Id="rId285" Type="http://schemas.openxmlformats.org/officeDocument/2006/relationships/hyperlink" Target="http://www.learnvest.com/" TargetMode="External"/><Relationship Id="rId284" Type="http://schemas.openxmlformats.org/officeDocument/2006/relationships/hyperlink" Target="https://www.leapwallet.io/" TargetMode="External"/><Relationship Id="rId283" Type="http://schemas.openxmlformats.org/officeDocument/2006/relationships/hyperlink" Target="https://laravel.com/" TargetMode="External"/><Relationship Id="rId289" Type="http://schemas.openxmlformats.org/officeDocument/2006/relationships/hyperlink" Target="https://www.lica.world/" TargetMode="External"/><Relationship Id="rId288" Type="http://schemas.openxmlformats.org/officeDocument/2006/relationships/hyperlink" Target="http://www.letsventure.com/" TargetMode="External"/><Relationship Id="rId287" Type="http://schemas.openxmlformats.org/officeDocument/2006/relationships/hyperlink" Target="http://www.legendary.com/" TargetMode="External"/><Relationship Id="rId282" Type="http://schemas.openxmlformats.org/officeDocument/2006/relationships/hyperlink" Target="http://www.kupivip.ru/" TargetMode="External"/><Relationship Id="rId281" Type="http://schemas.openxmlformats.org/officeDocument/2006/relationships/hyperlink" Target="http://www.kry.se/" TargetMode="External"/><Relationship Id="rId280" Type="http://schemas.openxmlformats.org/officeDocument/2006/relationships/hyperlink" Target="https://www.salesforce.com/resources/articles/channel-sales-guide/" TargetMode="External"/><Relationship Id="rId275" Type="http://schemas.openxmlformats.org/officeDocument/2006/relationships/hyperlink" Target="https://www.klaviyo.com/" TargetMode="External"/><Relationship Id="rId274" Type="http://schemas.openxmlformats.org/officeDocument/2006/relationships/hyperlink" Target="http://www.kirusa.com/" TargetMode="External"/><Relationship Id="rId273" Type="http://schemas.openxmlformats.org/officeDocument/2006/relationships/hyperlink" Target="https://www.kgen.io/" TargetMode="External"/><Relationship Id="rId272" Type="http://schemas.openxmlformats.org/officeDocument/2006/relationships/hyperlink" Target="https://www.kevin.eu/" TargetMode="External"/><Relationship Id="rId279" Type="http://schemas.openxmlformats.org/officeDocument/2006/relationships/hyperlink" Target="https://www.kooapp.com/" TargetMode="External"/><Relationship Id="rId278" Type="http://schemas.openxmlformats.org/officeDocument/2006/relationships/hyperlink" Target="https://komodor.com/" TargetMode="External"/><Relationship Id="rId277" Type="http://schemas.openxmlformats.org/officeDocument/2006/relationships/hyperlink" Target="http://knoetic.com/" TargetMode="External"/><Relationship Id="rId276" Type="http://schemas.openxmlformats.org/officeDocument/2006/relationships/hyperlink" Target="https://www.knightfintech.com/" TargetMode="External"/><Relationship Id="rId228" Type="http://schemas.openxmlformats.org/officeDocument/2006/relationships/hyperlink" Target="http://www.gofundme.com/" TargetMode="External"/><Relationship Id="rId227" Type="http://schemas.openxmlformats.org/officeDocument/2006/relationships/hyperlink" Target="http://www.gocardless.com/" TargetMode="External"/><Relationship Id="rId226" Type="http://schemas.openxmlformats.org/officeDocument/2006/relationships/hyperlink" Target="http://www.goat.com/" TargetMode="External"/><Relationship Id="rId225" Type="http://schemas.openxmlformats.org/officeDocument/2006/relationships/hyperlink" Target="http://www.glowroad.com/" TargetMode="External"/><Relationship Id="rId229" Type="http://schemas.openxmlformats.org/officeDocument/2006/relationships/hyperlink" Target="https://gopuff.com/" TargetMode="External"/><Relationship Id="rId220" Type="http://schemas.openxmlformats.org/officeDocument/2006/relationships/hyperlink" Target="https://gamma.app/" TargetMode="External"/><Relationship Id="rId224" Type="http://schemas.openxmlformats.org/officeDocument/2006/relationships/hyperlink" Target="https://www.gloat.com/" TargetMode="External"/><Relationship Id="rId223" Type="http://schemas.openxmlformats.org/officeDocument/2006/relationships/hyperlink" Target="https://www.gently.co.id/" TargetMode="External"/><Relationship Id="rId222" Type="http://schemas.openxmlformats.org/officeDocument/2006/relationships/hyperlink" Target="https://genesis.global/" TargetMode="External"/><Relationship Id="rId221" Type="http://schemas.openxmlformats.org/officeDocument/2006/relationships/hyperlink" Target="http://www.gem.com/" TargetMode="External"/><Relationship Id="rId217" Type="http://schemas.openxmlformats.org/officeDocument/2006/relationships/hyperlink" Target="http://www.galileo-ft.com/" TargetMode="External"/><Relationship Id="rId216" Type="http://schemas.openxmlformats.org/officeDocument/2006/relationships/hyperlink" Target="http://www.g2crowd.com/" TargetMode="External"/><Relationship Id="rId215" Type="http://schemas.openxmlformats.org/officeDocument/2006/relationships/hyperlink" Target="https://www.accel.com/relationships/fusion-io" TargetMode="External"/><Relationship Id="rId214" Type="http://schemas.openxmlformats.org/officeDocument/2006/relationships/hyperlink" Target="https://www.fuseenergy.com/" TargetMode="External"/><Relationship Id="rId219" Type="http://schemas.openxmlformats.org/officeDocument/2006/relationships/hyperlink" Target="http://www.gametime.co/" TargetMode="External"/><Relationship Id="rId218" Type="http://schemas.openxmlformats.org/officeDocument/2006/relationships/hyperlink" Target="https://gameforge.com/en-US/" TargetMode="External"/><Relationship Id="rId213" Type="http://schemas.openxmlformats.org/officeDocument/2006/relationships/hyperlink" Target="http://fundly.ai/" TargetMode="External"/><Relationship Id="rId212" Type="http://schemas.openxmlformats.org/officeDocument/2006/relationships/hyperlink" Target="http://www.fundingcircle.com/" TargetMode="External"/><Relationship Id="rId211" Type="http://schemas.openxmlformats.org/officeDocument/2006/relationships/hyperlink" Target="https://frvr.com/" TargetMode="External"/><Relationship Id="rId210" Type="http://schemas.openxmlformats.org/officeDocument/2006/relationships/hyperlink" Target="http://www.freshworks.com/" TargetMode="External"/><Relationship Id="rId249" Type="http://schemas.openxmlformats.org/officeDocument/2006/relationships/hyperlink" Target="https://www.hubble.net/" TargetMode="External"/><Relationship Id="rId248" Type="http://schemas.openxmlformats.org/officeDocument/2006/relationships/hyperlink" Target="http://www.housetrip.com/" TargetMode="External"/><Relationship Id="rId247" Type="http://schemas.openxmlformats.org/officeDocument/2006/relationships/hyperlink" Target="http://www.hotelogix.com/" TargetMode="External"/><Relationship Id="rId242" Type="http://schemas.openxmlformats.org/officeDocument/2006/relationships/hyperlink" Target="https://higo.io/" TargetMode="External"/><Relationship Id="rId241" Type="http://schemas.openxmlformats.org/officeDocument/2006/relationships/hyperlink" Target="http://www.heptio.com/" TargetMode="External"/><Relationship Id="rId240" Type="http://schemas.openxmlformats.org/officeDocument/2006/relationships/hyperlink" Target="https://helsing.ai/" TargetMode="External"/><Relationship Id="rId246" Type="http://schemas.openxmlformats.org/officeDocument/2006/relationships/hyperlink" Target="http://www.hoteltonight.com/" TargetMode="External"/><Relationship Id="rId245" Type="http://schemas.openxmlformats.org/officeDocument/2006/relationships/hyperlink" Target="https://hopin.to/" TargetMode="External"/><Relationship Id="rId244" Type="http://schemas.openxmlformats.org/officeDocument/2006/relationships/hyperlink" Target="http://www.hootsuite.com/" TargetMode="External"/><Relationship Id="rId243" Type="http://schemas.openxmlformats.org/officeDocument/2006/relationships/hyperlink" Target="http://www.homelane.com/" TargetMode="External"/><Relationship Id="rId239" Type="http://schemas.openxmlformats.org/officeDocument/2006/relationships/hyperlink" Target="https://headway.co/" TargetMode="External"/><Relationship Id="rId238" Type="http://schemas.openxmlformats.org/officeDocument/2006/relationships/hyperlink" Target="http://www.helpling.com/" TargetMode="External"/><Relationship Id="rId237" Type="http://schemas.openxmlformats.org/officeDocument/2006/relationships/hyperlink" Target="https://hashnode.com/" TargetMode="External"/><Relationship Id="rId236" Type="http://schemas.openxmlformats.org/officeDocument/2006/relationships/hyperlink" Target="http://www.haberwater.com/" TargetMode="External"/><Relationship Id="rId231" Type="http://schemas.openxmlformats.org/officeDocument/2006/relationships/hyperlink" Target="https://www.gravitysketch.com/" TargetMode="External"/><Relationship Id="rId230" Type="http://schemas.openxmlformats.org/officeDocument/2006/relationships/hyperlink" Target="http://www.govini.com/" TargetMode="External"/><Relationship Id="rId235" Type="http://schemas.openxmlformats.org/officeDocument/2006/relationships/hyperlink" Target="https://www.hcompany.ai/" TargetMode="External"/><Relationship Id="rId234" Type="http://schemas.openxmlformats.org/officeDocument/2006/relationships/hyperlink" Target="https://www.gutwellnessclub.in/" TargetMode="External"/><Relationship Id="rId233" Type="http://schemas.openxmlformats.org/officeDocument/2006/relationships/hyperlink" Target="http://www.getguru.com/" TargetMode="External"/><Relationship Id="rId232" Type="http://schemas.openxmlformats.org/officeDocument/2006/relationships/hyperlink" Target="http://www.groupon.com/" TargetMode="External"/><Relationship Id="rId206" Type="http://schemas.openxmlformats.org/officeDocument/2006/relationships/hyperlink" Target="http://www.4tigo.com/" TargetMode="External"/><Relationship Id="rId205" Type="http://schemas.openxmlformats.org/officeDocument/2006/relationships/hyperlink" Target="http://www.3dfortify.com/" TargetMode="External"/><Relationship Id="rId204" Type="http://schemas.openxmlformats.org/officeDocument/2006/relationships/hyperlink" Target="http://www.forgerock.com/" TargetMode="External"/><Relationship Id="rId203" Type="http://schemas.openxmlformats.org/officeDocument/2006/relationships/hyperlink" Target="https://www.folk.app/" TargetMode="External"/><Relationship Id="rId209" Type="http://schemas.openxmlformats.org/officeDocument/2006/relationships/hyperlink" Target="http://www.framer.com/" TargetMode="External"/><Relationship Id="rId208" Type="http://schemas.openxmlformats.org/officeDocument/2006/relationships/hyperlink" Target="http://www.frame.io/" TargetMode="External"/><Relationship Id="rId207" Type="http://schemas.openxmlformats.org/officeDocument/2006/relationships/hyperlink" Target="http://www.forushealth.com/" TargetMode="External"/><Relationship Id="rId202" Type="http://schemas.openxmlformats.org/officeDocument/2006/relationships/hyperlink" Target="https://www.flywire.com/" TargetMode="External"/><Relationship Id="rId201" Type="http://schemas.openxmlformats.org/officeDocument/2006/relationships/hyperlink" Target="https://flyfin.tax/" TargetMode="External"/><Relationship Id="rId200" Type="http://schemas.openxmlformats.org/officeDocument/2006/relationships/hyperlink" Target="http://www.getflipturn.com/" TargetMode="External"/><Relationship Id="rId509" Type="http://schemas.openxmlformats.org/officeDocument/2006/relationships/hyperlink" Target="https://strapi.io/" TargetMode="External"/><Relationship Id="rId508" Type="http://schemas.openxmlformats.org/officeDocument/2006/relationships/hyperlink" Target="http://www.stanzaliving.com/" TargetMode="External"/><Relationship Id="rId503" Type="http://schemas.openxmlformats.org/officeDocument/2006/relationships/hyperlink" Target="http://www.sysdig.com/" TargetMode="External"/><Relationship Id="rId502" Type="http://schemas.openxmlformats.org/officeDocument/2006/relationships/hyperlink" Target="https://syrup.tech/" TargetMode="External"/><Relationship Id="rId501" Type="http://schemas.openxmlformats.org/officeDocument/2006/relationships/hyperlink" Target="https://www.swypex.com/" TargetMode="External"/><Relationship Id="rId500" Type="http://schemas.openxmlformats.org/officeDocument/2006/relationships/hyperlink" Target="http://www.swiftkey.com/" TargetMode="External"/><Relationship Id="rId507" Type="http://schemas.openxmlformats.org/officeDocument/2006/relationships/hyperlink" Target="https://www.taxdoo.com/" TargetMode="External"/><Relationship Id="rId506" Type="http://schemas.openxmlformats.org/officeDocument/2006/relationships/hyperlink" Target="https://tailscale.com/" TargetMode="External"/><Relationship Id="rId505" Type="http://schemas.openxmlformats.org/officeDocument/2006/relationships/hyperlink" Target="http://www.tact.ai/" TargetMode="External"/><Relationship Id="rId504" Type="http://schemas.openxmlformats.org/officeDocument/2006/relationships/hyperlink" Target="http://tact.ai" TargetMode="External"/><Relationship Id="rId525" Type="http://schemas.openxmlformats.org/officeDocument/2006/relationships/hyperlink" Target="http://www.tines.io/" TargetMode="External"/><Relationship Id="rId524" Type="http://schemas.openxmlformats.org/officeDocument/2006/relationships/hyperlink" Target="http://www.timeisltd.com/" TargetMode="External"/><Relationship Id="rId523" Type="http://schemas.openxmlformats.org/officeDocument/2006/relationships/hyperlink" Target="http://www.thezebra.com/" TargetMode="External"/><Relationship Id="rId522" Type="http://schemas.openxmlformats.org/officeDocument/2006/relationships/hyperlink" Target="https://testsigma.com/" TargetMode="External"/><Relationship Id="rId529" Type="http://schemas.openxmlformats.org/officeDocument/2006/relationships/hyperlink" Target="https://traderepublic.com/" TargetMode="External"/><Relationship Id="rId528" Type="http://schemas.openxmlformats.org/officeDocument/2006/relationships/hyperlink" Target="http://www.traxcn.com/" TargetMode="External"/><Relationship Id="rId527" Type="http://schemas.openxmlformats.org/officeDocument/2006/relationships/hyperlink" Target="http://www.tracedata.io/" TargetMode="External"/><Relationship Id="rId526" Type="http://schemas.openxmlformats.org/officeDocument/2006/relationships/hyperlink" Target="https://www.titan.com/" TargetMode="External"/><Relationship Id="rId521" Type="http://schemas.openxmlformats.org/officeDocument/2006/relationships/hyperlink" Target="https://www.tessl.io/" TargetMode="External"/><Relationship Id="rId520" Type="http://schemas.openxmlformats.org/officeDocument/2006/relationships/hyperlink" Target="http://www.tessian.com/" TargetMode="External"/><Relationship Id="rId519" Type="http://schemas.openxmlformats.org/officeDocument/2006/relationships/hyperlink" Target="https://tenderly.co/" TargetMode="External"/><Relationship Id="rId514" Type="http://schemas.openxmlformats.org/officeDocument/2006/relationships/hyperlink" Target="http://www.taascom.com/" TargetMode="External"/><Relationship Id="rId513" Type="http://schemas.openxmlformats.org/officeDocument/2006/relationships/hyperlink" Target="https://www.synthesia.io/" TargetMode="External"/><Relationship Id="rId512" Type="http://schemas.openxmlformats.org/officeDocument/2006/relationships/hyperlink" Target="http://www.swiggy.com/" TargetMode="External"/><Relationship Id="rId511" Type="http://schemas.openxmlformats.org/officeDocument/2006/relationships/hyperlink" Target="https://www.swan.io/press" TargetMode="External"/><Relationship Id="rId518" Type="http://schemas.openxmlformats.org/officeDocument/2006/relationships/hyperlink" Target="https://www.temaetfs.com/" TargetMode="External"/><Relationship Id="rId517" Type="http://schemas.openxmlformats.org/officeDocument/2006/relationships/hyperlink" Target="http://www.teabox.com/" TargetMode="External"/><Relationship Id="rId516" Type="http://schemas.openxmlformats.org/officeDocument/2006/relationships/hyperlink" Target="https://taito.ai/" TargetMode="External"/><Relationship Id="rId515" Type="http://schemas.openxmlformats.org/officeDocument/2006/relationships/hyperlink" Target="http://taito.ai" TargetMode="External"/><Relationship Id="rId510" Type="http://schemas.openxmlformats.org/officeDocument/2006/relationships/hyperlink" Target="http://www.sumologic.com/" TargetMode="External"/><Relationship Id="rId571" Type="http://schemas.openxmlformats.org/officeDocument/2006/relationships/drawing" Target="../drawings/drawing8.xml"/><Relationship Id="rId570" Type="http://schemas.openxmlformats.org/officeDocument/2006/relationships/hyperlink" Target="https://www.xero.com/" TargetMode="External"/><Relationship Id="rId547" Type="http://schemas.openxmlformats.org/officeDocument/2006/relationships/hyperlink" Target="http://www.vedantu.com/" TargetMode="External"/><Relationship Id="rId546" Type="http://schemas.openxmlformats.org/officeDocument/2006/relationships/hyperlink" Target="http://www.v-comply.com/" TargetMode="External"/><Relationship Id="rId545" Type="http://schemas.openxmlformats.org/officeDocument/2006/relationships/hyperlink" Target="https://www.usplworld.com/" TargetMode="External"/><Relationship Id="rId544" Type="http://schemas.openxmlformats.org/officeDocument/2006/relationships/hyperlink" Target="http://www.usertesting.com/" TargetMode="External"/><Relationship Id="rId549" Type="http://schemas.openxmlformats.org/officeDocument/2006/relationships/hyperlink" Target="https://www.venwiz.com/" TargetMode="External"/><Relationship Id="rId548" Type="http://schemas.openxmlformats.org/officeDocument/2006/relationships/hyperlink" Target="http://www.venmo.com/" TargetMode="External"/><Relationship Id="rId543" Type="http://schemas.openxmlformats.org/officeDocument/2006/relationships/hyperlink" Target="https://uppercase.co.in/" TargetMode="External"/><Relationship Id="rId542" Type="http://schemas.openxmlformats.org/officeDocument/2006/relationships/hyperlink" Target="https://www.unitq.com/" TargetMode="External"/><Relationship Id="rId541" Type="http://schemas.openxmlformats.org/officeDocument/2006/relationships/hyperlink" Target="http://www.mobstac.com/" TargetMode="External"/><Relationship Id="rId540" Type="http://schemas.openxmlformats.org/officeDocument/2006/relationships/hyperlink" Target="https://www.uni.cards/" TargetMode="External"/><Relationship Id="rId536" Type="http://schemas.openxmlformats.org/officeDocument/2006/relationships/hyperlink" Target="http://www.trustarc.com/" TargetMode="External"/><Relationship Id="rId535" Type="http://schemas.openxmlformats.org/officeDocument/2006/relationships/hyperlink" Target="https://www.truora.com/" TargetMode="External"/><Relationship Id="rId534" Type="http://schemas.openxmlformats.org/officeDocument/2006/relationships/hyperlink" Target="https://www.truebill.com/" TargetMode="External"/><Relationship Id="rId533" Type="http://schemas.openxmlformats.org/officeDocument/2006/relationships/hyperlink" Target="http://www.trinkerr.com/" TargetMode="External"/><Relationship Id="rId539" Type="http://schemas.openxmlformats.org/officeDocument/2006/relationships/hyperlink" Target="http://www.uipath.com/" TargetMode="External"/><Relationship Id="rId538" Type="http://schemas.openxmlformats.org/officeDocument/2006/relationships/hyperlink" Target="https://www.paytweed.com/" TargetMode="External"/><Relationship Id="rId537" Type="http://schemas.openxmlformats.org/officeDocument/2006/relationships/hyperlink" Target="https://turbine.ai/" TargetMode="External"/><Relationship Id="rId532" Type="http://schemas.openxmlformats.org/officeDocument/2006/relationships/hyperlink" Target="http://www.travelstop.com/" TargetMode="External"/><Relationship Id="rId531" Type="http://schemas.openxmlformats.org/officeDocument/2006/relationships/hyperlink" Target="http://www.transitapp.com/" TargetMode="External"/><Relationship Id="rId530" Type="http://schemas.openxmlformats.org/officeDocument/2006/relationships/hyperlink" Target="http://www.transcend.io/" TargetMode="External"/><Relationship Id="rId569" Type="http://schemas.openxmlformats.org/officeDocument/2006/relationships/hyperlink" Target="http://www.xendit.co/en" TargetMode="External"/><Relationship Id="rId568" Type="http://schemas.openxmlformats.org/officeDocument/2006/relationships/hyperlink" Target="https://xalts.io/" TargetMode="External"/><Relationship Id="rId567" Type="http://schemas.openxmlformats.org/officeDocument/2006/relationships/hyperlink" Target="http://www.wyzant.com/" TargetMode="External"/><Relationship Id="rId566" Type="http://schemas.openxmlformats.org/officeDocument/2006/relationships/hyperlink" Target="https://www.wonder.com/" TargetMode="External"/><Relationship Id="rId561" Type="http://schemas.openxmlformats.org/officeDocument/2006/relationships/hyperlink" Target="http://www.weave.works/" TargetMode="External"/><Relationship Id="rId560" Type="http://schemas.openxmlformats.org/officeDocument/2006/relationships/hyperlink" Target="http://www.wallapop.com/" TargetMode="External"/><Relationship Id="rId565" Type="http://schemas.openxmlformats.org/officeDocument/2006/relationships/hyperlink" Target="https://wizard.com/" TargetMode="External"/><Relationship Id="rId564" Type="http://schemas.openxmlformats.org/officeDocument/2006/relationships/hyperlink" Target="http://www.wibmo.co/" TargetMode="External"/><Relationship Id="rId563" Type="http://schemas.openxmlformats.org/officeDocument/2006/relationships/hyperlink" Target="https://www.welltheory.com/" TargetMode="External"/><Relationship Id="rId562" Type="http://schemas.openxmlformats.org/officeDocument/2006/relationships/hyperlink" Target="http://www.webflow.com/" TargetMode="External"/><Relationship Id="rId558" Type="http://schemas.openxmlformats.org/officeDocument/2006/relationships/hyperlink" Target="http://www.voxmedia.com/" TargetMode="External"/><Relationship Id="rId557" Type="http://schemas.openxmlformats.org/officeDocument/2006/relationships/hyperlink" Target="https://voidzero.dev/" TargetMode="External"/><Relationship Id="rId556" Type="http://schemas.openxmlformats.org/officeDocument/2006/relationships/hyperlink" Target="https://www.vlt.sh/" TargetMode="External"/><Relationship Id="rId555" Type="http://schemas.openxmlformats.org/officeDocument/2006/relationships/hyperlink" Target="https://viso.ai/" TargetMode="External"/><Relationship Id="rId559" Type="http://schemas.openxmlformats.org/officeDocument/2006/relationships/hyperlink" Target="http://www.vsco.co/" TargetMode="External"/><Relationship Id="rId550" Type="http://schemas.openxmlformats.org/officeDocument/2006/relationships/hyperlink" Target="https://vercel.com/" TargetMode="External"/><Relationship Id="rId554" Type="http://schemas.openxmlformats.org/officeDocument/2006/relationships/hyperlink" Target="http://virgio.com/" TargetMode="External"/><Relationship Id="rId553" Type="http://schemas.openxmlformats.org/officeDocument/2006/relationships/hyperlink" Target="http://www.vinted.fr/" TargetMode="External"/><Relationship Id="rId552" Type="http://schemas.openxmlformats.org/officeDocument/2006/relationships/hyperlink" Target="https://www.veza.com/" TargetMode="External"/><Relationship Id="rId551" Type="http://schemas.openxmlformats.org/officeDocument/2006/relationships/hyperlink" Target="https://www.veriff.com/" TargetMode="External"/><Relationship Id="rId495" Type="http://schemas.openxmlformats.org/officeDocument/2006/relationships/hyperlink" Target="http://www.styra.com/" TargetMode="External"/><Relationship Id="rId494" Type="http://schemas.openxmlformats.org/officeDocument/2006/relationships/hyperlink" Target="https://www.strattic.com/" TargetMode="External"/><Relationship Id="rId493" Type="http://schemas.openxmlformats.org/officeDocument/2006/relationships/hyperlink" Target="http://www.stonly.com/" TargetMode="External"/><Relationship Id="rId492" Type="http://schemas.openxmlformats.org/officeDocument/2006/relationships/hyperlink" Target="https://www.stairwell.com/" TargetMode="External"/><Relationship Id="rId499" Type="http://schemas.openxmlformats.org/officeDocument/2006/relationships/hyperlink" Target="http://www.surewaves.com/" TargetMode="External"/><Relationship Id="rId498" Type="http://schemas.openxmlformats.org/officeDocument/2006/relationships/hyperlink" Target="http://www.supercell.com/" TargetMode="External"/><Relationship Id="rId497" Type="http://schemas.openxmlformats.org/officeDocument/2006/relationships/hyperlink" Target="https://www.superpayments.com/for-shoppers" TargetMode="External"/><Relationship Id="rId496" Type="http://schemas.openxmlformats.org/officeDocument/2006/relationships/hyperlink" Target="http://www.sunrun.com/" TargetMode="External"/><Relationship Id="rId409" Type="http://schemas.openxmlformats.org/officeDocument/2006/relationships/hyperlink" Target="http://www.qikpod.com/" TargetMode="External"/><Relationship Id="rId404" Type="http://schemas.openxmlformats.org/officeDocument/2006/relationships/hyperlink" Target="https://produze.com/" TargetMode="External"/><Relationship Id="rId403" Type="http://schemas.openxmlformats.org/officeDocument/2006/relationships/hyperlink" Target="http://www.productiv.com/" TargetMode="External"/><Relationship Id="rId402" Type="http://schemas.openxmlformats.org/officeDocument/2006/relationships/hyperlink" Target="https://www.prodigaltech.com/" TargetMode="External"/><Relationship Id="rId401" Type="http://schemas.openxmlformats.org/officeDocument/2006/relationships/hyperlink" Target="http://www.process.st/" TargetMode="External"/><Relationship Id="rId408" Type="http://schemas.openxmlformats.org/officeDocument/2006/relationships/hyperlink" Target="https://www.pynhq.com/" TargetMode="External"/><Relationship Id="rId407" Type="http://schemas.openxmlformats.org/officeDocument/2006/relationships/hyperlink" Target="http://www.proptiger.com/" TargetMode="External"/><Relationship Id="rId406" Type="http://schemas.openxmlformats.org/officeDocument/2006/relationships/hyperlink" Target="http://www.propelleraero.com/" TargetMode="External"/><Relationship Id="rId405" Type="http://schemas.openxmlformats.org/officeDocument/2006/relationships/hyperlink" Target="https://protect-eu.mimecast.com/s/z880CpYolS9jQgjHPbKvp?domain=projectdiscovery.io" TargetMode="External"/><Relationship Id="rId400" Type="http://schemas.openxmlformats.org/officeDocument/2006/relationships/hyperlink" Target="http://www.probeinformation.com/" TargetMode="External"/><Relationship Id="rId469" Type="http://schemas.openxmlformats.org/officeDocument/2006/relationships/hyperlink" Target="http://www.skyscanner.com/" TargetMode="External"/><Relationship Id="rId468" Type="http://schemas.openxmlformats.org/officeDocument/2006/relationships/hyperlink" Target="https://www.skeps.com/" TargetMode="External"/><Relationship Id="rId467" Type="http://schemas.openxmlformats.org/officeDocument/2006/relationships/hyperlink" Target="https://simsim.in/" TargetMode="External"/><Relationship Id="rId462" Type="http://schemas.openxmlformats.org/officeDocument/2006/relationships/hyperlink" Target="http://showroomprive.com" TargetMode="External"/><Relationship Id="rId461" Type="http://schemas.openxmlformats.org/officeDocument/2006/relationships/hyperlink" Target="https://shivalikbank.com/" TargetMode="External"/><Relationship Id="rId460" Type="http://schemas.openxmlformats.org/officeDocument/2006/relationships/hyperlink" Target="http://www.shift-technology.com/" TargetMode="External"/><Relationship Id="rId466" Type="http://schemas.openxmlformats.org/officeDocument/2006/relationships/hyperlink" Target="https://www.simplismart.ai/" TargetMode="External"/><Relationship Id="rId465" Type="http://schemas.openxmlformats.org/officeDocument/2006/relationships/hyperlink" Target="http://www.silverrailtech.com/" TargetMode="External"/><Relationship Id="rId464" Type="http://schemas.openxmlformats.org/officeDocument/2006/relationships/hyperlink" Target="http://www.sigtuple.com/" TargetMode="External"/><Relationship Id="rId463" Type="http://schemas.openxmlformats.org/officeDocument/2006/relationships/hyperlink" Target="http://www.showroomprive.com/" TargetMode="External"/><Relationship Id="rId459" Type="http://schemas.openxmlformats.org/officeDocument/2006/relationships/hyperlink" Target="http://www.servicechannel.com/" TargetMode="External"/><Relationship Id="rId458" Type="http://schemas.openxmlformats.org/officeDocument/2006/relationships/hyperlink" Target="http://www.sentry.io/" TargetMode="External"/><Relationship Id="rId457" Type="http://schemas.openxmlformats.org/officeDocument/2006/relationships/hyperlink" Target="http://www.sensehq.com/" TargetMode="External"/><Relationship Id="rId456" Type="http://schemas.openxmlformats.org/officeDocument/2006/relationships/hyperlink" Target="https://www.sennder.com/" TargetMode="External"/><Relationship Id="rId451" Type="http://schemas.openxmlformats.org/officeDocument/2006/relationships/hyperlink" Target="http://www.seatgeek.com/" TargetMode="External"/><Relationship Id="rId450" Type="http://schemas.openxmlformats.org/officeDocument/2006/relationships/hyperlink" Target="http://www.searchlight.ai/" TargetMode="External"/><Relationship Id="rId455" Type="http://schemas.openxmlformats.org/officeDocument/2006/relationships/hyperlink" Target="http://www.semmle.com/" TargetMode="External"/><Relationship Id="rId454" Type="http://schemas.openxmlformats.org/officeDocument/2006/relationships/hyperlink" Target="http://www.selency.fr/" TargetMode="External"/><Relationship Id="rId453" Type="http://schemas.openxmlformats.org/officeDocument/2006/relationships/hyperlink" Target="http://www.segment.com/" TargetMode="External"/><Relationship Id="rId452" Type="http://schemas.openxmlformats.org/officeDocument/2006/relationships/hyperlink" Target="https://www.securden.com/" TargetMode="External"/><Relationship Id="rId491" Type="http://schemas.openxmlformats.org/officeDocument/2006/relationships/hyperlink" Target="https://staderlabs.com/" TargetMode="External"/><Relationship Id="rId490" Type="http://schemas.openxmlformats.org/officeDocument/2006/relationships/hyperlink" Target="https://www.stacklok.com/" TargetMode="External"/><Relationship Id="rId489" Type="http://schemas.openxmlformats.org/officeDocument/2006/relationships/hyperlink" Target="http://www.squarespace.com/" TargetMode="External"/><Relationship Id="rId484" Type="http://schemas.openxmlformats.org/officeDocument/2006/relationships/hyperlink" Target="http://www.splashlearn.com/" TargetMode="External"/><Relationship Id="rId483" Type="http://schemas.openxmlformats.org/officeDocument/2006/relationships/hyperlink" Target="http://www.spinny.com/" TargetMode="External"/><Relationship Id="rId482" Type="http://schemas.openxmlformats.org/officeDocument/2006/relationships/hyperlink" Target="https://www.speak.com/" TargetMode="External"/><Relationship Id="rId481" Type="http://schemas.openxmlformats.org/officeDocument/2006/relationships/hyperlink" Target="http://www.spacejoy.com/" TargetMode="External"/><Relationship Id="rId488" Type="http://schemas.openxmlformats.org/officeDocument/2006/relationships/hyperlink" Target="https://sprinto.com/" TargetMode="External"/><Relationship Id="rId487" Type="http://schemas.openxmlformats.org/officeDocument/2006/relationships/hyperlink" Target="https://www.sprinterhealth.com/" TargetMode="External"/><Relationship Id="rId486" Type="http://schemas.openxmlformats.org/officeDocument/2006/relationships/hyperlink" Target="http://userleap.com/" TargetMode="External"/><Relationship Id="rId485" Type="http://schemas.openxmlformats.org/officeDocument/2006/relationships/hyperlink" Target="http://www.spotify.com/" TargetMode="External"/><Relationship Id="rId480" Type="http://schemas.openxmlformats.org/officeDocument/2006/relationships/hyperlink" Target="https://spacerunners.com/" TargetMode="External"/><Relationship Id="rId479" Type="http://schemas.openxmlformats.org/officeDocument/2006/relationships/hyperlink" Target="http://www.spaceapegames.com/" TargetMode="External"/><Relationship Id="rId478" Type="http://schemas.openxmlformats.org/officeDocument/2006/relationships/hyperlink" Target="http://www.sonatype.com/" TargetMode="External"/><Relationship Id="rId473" Type="http://schemas.openxmlformats.org/officeDocument/2006/relationships/hyperlink" Target="https://www.slay.cool/" TargetMode="External"/><Relationship Id="rId472" Type="http://schemas.openxmlformats.org/officeDocument/2006/relationships/hyperlink" Target="http://www.slack.com/" TargetMode="External"/><Relationship Id="rId471" Type="http://schemas.openxmlformats.org/officeDocument/2006/relationships/hyperlink" Target="http://www.skydio.com/" TargetMode="External"/><Relationship Id="rId470" Type="http://schemas.openxmlformats.org/officeDocument/2006/relationships/hyperlink" Target="https://skymavis.com/" TargetMode="External"/><Relationship Id="rId477" Type="http://schemas.openxmlformats.org/officeDocument/2006/relationships/hyperlink" Target="http://www.soldo.com/" TargetMode="External"/><Relationship Id="rId476" Type="http://schemas.openxmlformats.org/officeDocument/2006/relationships/hyperlink" Target="http://www.snyk.io/" TargetMode="External"/><Relationship Id="rId475" Type="http://schemas.openxmlformats.org/officeDocument/2006/relationships/hyperlink" Target="https://www.snaptrude.com/" TargetMode="External"/><Relationship Id="rId474" Type="http://schemas.openxmlformats.org/officeDocument/2006/relationships/hyperlink" Target="http://www.smallstep.com/" TargetMode="External"/><Relationship Id="rId426" Type="http://schemas.openxmlformats.org/officeDocument/2006/relationships/hyperlink" Target="http://readme.io" TargetMode="External"/><Relationship Id="rId425" Type="http://schemas.openxmlformats.org/officeDocument/2006/relationships/hyperlink" Target="https://raycast.com/" TargetMode="External"/><Relationship Id="rId424" Type="http://schemas.openxmlformats.org/officeDocument/2006/relationships/hyperlink" Target="http://rasa.com/" TargetMode="External"/><Relationship Id="rId423" Type="http://schemas.openxmlformats.org/officeDocument/2006/relationships/hyperlink" Target="https://www.rapidcanvas.ai/" TargetMode="External"/><Relationship Id="rId429" Type="http://schemas.openxmlformats.org/officeDocument/2006/relationships/hyperlink" Target="http://www.relateiq.com/" TargetMode="External"/><Relationship Id="rId428" Type="http://schemas.openxmlformats.org/officeDocument/2006/relationships/hyperlink" Target="https://recommercex.com/" TargetMode="External"/><Relationship Id="rId427" Type="http://schemas.openxmlformats.org/officeDocument/2006/relationships/hyperlink" Target="http://www.readme.io/" TargetMode="External"/><Relationship Id="rId422" Type="http://schemas.openxmlformats.org/officeDocument/2006/relationships/hyperlink" Target="https://rallyrd.com/" TargetMode="External"/><Relationship Id="rId421" Type="http://schemas.openxmlformats.org/officeDocument/2006/relationships/hyperlink" Target="http://www.raise.com/" TargetMode="External"/><Relationship Id="rId420" Type="http://schemas.openxmlformats.org/officeDocument/2006/relationships/hyperlink" Target="https://www.rainforestpay.com/" TargetMode="External"/><Relationship Id="rId415" Type="http://schemas.openxmlformats.org/officeDocument/2006/relationships/hyperlink" Target="http://www.qubit.com/" TargetMode="External"/><Relationship Id="rId414" Type="http://schemas.openxmlformats.org/officeDocument/2006/relationships/hyperlink" Target="http://www.qualtrics.com/" TargetMode="External"/><Relationship Id="rId413" Type="http://schemas.openxmlformats.org/officeDocument/2006/relationships/hyperlink" Target="http://www.quiph.com/" TargetMode="External"/><Relationship Id="rId412" Type="http://schemas.openxmlformats.org/officeDocument/2006/relationships/hyperlink" Target="http://www.brandwatch.com/" TargetMode="External"/><Relationship Id="rId419" Type="http://schemas.openxmlformats.org/officeDocument/2006/relationships/hyperlink" Target="http://www.radar.io/" TargetMode="External"/><Relationship Id="rId418" Type="http://schemas.openxmlformats.org/officeDocument/2006/relationships/hyperlink" Target="http://www.qwilt.com/" TargetMode="External"/><Relationship Id="rId417" Type="http://schemas.openxmlformats.org/officeDocument/2006/relationships/hyperlink" Target="http://www.qwikcilver.com/" TargetMode="External"/><Relationship Id="rId416" Type="http://schemas.openxmlformats.org/officeDocument/2006/relationships/hyperlink" Target="http://www.quokkadev.com/" TargetMode="External"/><Relationship Id="rId411" Type="http://schemas.openxmlformats.org/officeDocument/2006/relationships/hyperlink" Target="https://www.qogita.com/" TargetMode="External"/><Relationship Id="rId410" Type="http://schemas.openxmlformats.org/officeDocument/2006/relationships/hyperlink" Target="http://www.qmctelecom.com.br/" TargetMode="External"/><Relationship Id="rId448" Type="http://schemas.openxmlformats.org/officeDocument/2006/relationships/hyperlink" Target="http://scratchpad.com/" TargetMode="External"/><Relationship Id="rId447" Type="http://schemas.openxmlformats.org/officeDocument/2006/relationships/hyperlink" Target="http://www.scale.com/" TargetMode="External"/><Relationship Id="rId446" Type="http://schemas.openxmlformats.org/officeDocument/2006/relationships/hyperlink" Target="http://www.sayretherapeutics.com/" TargetMode="External"/><Relationship Id="rId445" Type="http://schemas.openxmlformats.org/officeDocument/2006/relationships/hyperlink" Target="https://www.sarla-aviation.com/" TargetMode="External"/><Relationship Id="rId449" Type="http://schemas.openxmlformats.org/officeDocument/2006/relationships/hyperlink" Target="http://www.scripbox.com/" TargetMode="External"/><Relationship Id="rId440" Type="http://schemas.openxmlformats.org/officeDocument/2006/relationships/hyperlink" Target="http://www.rylo.com/" TargetMode="External"/><Relationship Id="rId444" Type="http://schemas.openxmlformats.org/officeDocument/2006/relationships/hyperlink" Target="http://www.samunnati.com/" TargetMode="External"/><Relationship Id="rId443" Type="http://schemas.openxmlformats.org/officeDocument/2006/relationships/hyperlink" Target="https://www.salto.io/" TargetMode="External"/><Relationship Id="rId442" Type="http://schemas.openxmlformats.org/officeDocument/2006/relationships/hyperlink" Target="https://sahi.com/" TargetMode="External"/><Relationship Id="rId441" Type="http://schemas.openxmlformats.org/officeDocument/2006/relationships/hyperlink" Target="https://s4stechnologies.com/" TargetMode="External"/><Relationship Id="rId437" Type="http://schemas.openxmlformats.org/officeDocument/2006/relationships/hyperlink" Target="http://www.rovio.com/" TargetMode="External"/><Relationship Id="rId436" Type="http://schemas.openxmlformats.org/officeDocument/2006/relationships/hyperlink" Target="http://www.riskrecon.com/" TargetMode="External"/><Relationship Id="rId435" Type="http://schemas.openxmlformats.org/officeDocument/2006/relationships/hyperlink" Target="https://app.rigi.club/" TargetMode="External"/><Relationship Id="rId434" Type="http://schemas.openxmlformats.org/officeDocument/2006/relationships/hyperlink" Target="https://www.getrhythms.ai/" TargetMode="External"/><Relationship Id="rId439" Type="http://schemas.openxmlformats.org/officeDocument/2006/relationships/hyperlink" Target="http://www.rupeek.com/" TargetMode="External"/><Relationship Id="rId438" Type="http://schemas.openxmlformats.org/officeDocument/2006/relationships/hyperlink" Target="http://www.rows.com/" TargetMode="External"/><Relationship Id="rId433" Type="http://schemas.openxmlformats.org/officeDocument/2006/relationships/hyperlink" Target="https://getrex.app/" TargetMode="External"/><Relationship Id="rId432" Type="http://schemas.openxmlformats.org/officeDocument/2006/relationships/hyperlink" Target="https://retainiq.io/?" TargetMode="External"/><Relationship Id="rId431" Type="http://schemas.openxmlformats.org/officeDocument/2006/relationships/hyperlink" Target="http://www.rentomojo.com/" TargetMode="External"/><Relationship Id="rId430" Type="http://schemas.openxmlformats.org/officeDocument/2006/relationships/hyperlink" Target="https://remote.com/" TargetMode="External"/><Relationship Id="rId1" Type="http://schemas.openxmlformats.org/officeDocument/2006/relationships/hyperlink" Target="https://www.100ms.live/" TargetMode="External"/><Relationship Id="rId2" Type="http://schemas.openxmlformats.org/officeDocument/2006/relationships/hyperlink" Target="http://www.1balance.com/" TargetMode="External"/><Relationship Id="rId3" Type="http://schemas.openxmlformats.org/officeDocument/2006/relationships/hyperlink" Target="http://www.1password.com/" TargetMode="External"/><Relationship Id="rId4" Type="http://schemas.openxmlformats.org/officeDocument/2006/relationships/hyperlink" Target="http://www.99designs.com/" TargetMode="External"/><Relationship Id="rId9" Type="http://schemas.openxmlformats.org/officeDocument/2006/relationships/hyperlink" Target="http://www.adroll.com/" TargetMode="External"/><Relationship Id="rId5" Type="http://schemas.openxmlformats.org/officeDocument/2006/relationships/hyperlink" Target="http://www.aavenir.com/" TargetMode="External"/><Relationship Id="rId6" Type="http://schemas.openxmlformats.org/officeDocument/2006/relationships/hyperlink" Target="http://www.acalvio.com/" TargetMode="External"/><Relationship Id="rId7" Type="http://schemas.openxmlformats.org/officeDocument/2006/relationships/hyperlink" Target="http://www.acko.com/" TargetMode="External"/><Relationship Id="rId8" Type="http://schemas.openxmlformats.org/officeDocument/2006/relationships/hyperlink" Target="https://www.ada.cx/" TargetMode="External"/><Relationship Id="rId190" Type="http://schemas.openxmlformats.org/officeDocument/2006/relationships/hyperlink" Target="http://www.fictiv.com/" TargetMode="External"/><Relationship Id="rId194" Type="http://schemas.openxmlformats.org/officeDocument/2006/relationships/hyperlink" Target="http://finbots.ai" TargetMode="External"/><Relationship Id="rId193" Type="http://schemas.openxmlformats.org/officeDocument/2006/relationships/hyperlink" Target="https://www.finaloop.com/" TargetMode="External"/><Relationship Id="rId192" Type="http://schemas.openxmlformats.org/officeDocument/2006/relationships/hyperlink" Target="http://www.fin.com/" TargetMode="External"/><Relationship Id="rId191" Type="http://schemas.openxmlformats.org/officeDocument/2006/relationships/hyperlink" Target="https://filigran.io/" TargetMode="External"/><Relationship Id="rId187" Type="http://schemas.openxmlformats.org/officeDocument/2006/relationships/hyperlink" Target="http://www.feverup.com/" TargetMode="External"/><Relationship Id="rId186" Type="http://schemas.openxmlformats.org/officeDocument/2006/relationships/hyperlink" Target="http://www.fashinza.com/" TargetMode="External"/><Relationship Id="rId185" Type="http://schemas.openxmlformats.org/officeDocument/2006/relationships/hyperlink" Target="http://www.falconx.io/" TargetMode="External"/><Relationship Id="rId184" Type="http://schemas.openxmlformats.org/officeDocument/2006/relationships/hyperlink" Target="http://www.facilio.com/" TargetMode="External"/><Relationship Id="rId189" Type="http://schemas.openxmlformats.org/officeDocument/2006/relationships/hyperlink" Target="https://fibr.ai/" TargetMode="External"/><Relationship Id="rId188" Type="http://schemas.openxmlformats.org/officeDocument/2006/relationships/hyperlink" Target="http://www.fibmold.com/" TargetMode="External"/><Relationship Id="rId183" Type="http://schemas.openxmlformats.org/officeDocument/2006/relationships/hyperlink" Target="http://www.facet.ai/" TargetMode="External"/><Relationship Id="rId182" Type="http://schemas.openxmlformats.org/officeDocument/2006/relationships/hyperlink" Target="http://www.facebook.com/" TargetMode="External"/><Relationship Id="rId181" Type="http://schemas.openxmlformats.org/officeDocument/2006/relationships/hyperlink" Target="http://www.fabhotels.com/" TargetMode="External"/><Relationship Id="rId180" Type="http://schemas.openxmlformats.org/officeDocument/2006/relationships/hyperlink" Target="http://www.etsy.com/" TargetMode="External"/><Relationship Id="rId176" Type="http://schemas.openxmlformats.org/officeDocument/2006/relationships/hyperlink" Target="https://emeritus.org/" TargetMode="External"/><Relationship Id="rId175" Type="http://schemas.openxmlformats.org/officeDocument/2006/relationships/hyperlink" Target="https://ema.co/" TargetMode="External"/><Relationship Id="rId174" Type="http://schemas.openxmlformats.org/officeDocument/2006/relationships/hyperlink" Target="http://www.elements.io/" TargetMode="External"/><Relationship Id="rId173" Type="http://schemas.openxmlformats.org/officeDocument/2006/relationships/hyperlink" Target="https://effectiv.ai/" TargetMode="External"/><Relationship Id="rId179" Type="http://schemas.openxmlformats.org/officeDocument/2006/relationships/hyperlink" Target="http://www.getethos.com/" TargetMode="External"/><Relationship Id="rId178" Type="http://schemas.openxmlformats.org/officeDocument/2006/relationships/hyperlink" Target="https://ermetic.com/" TargetMode="External"/><Relationship Id="rId177" Type="http://schemas.openxmlformats.org/officeDocument/2006/relationships/hyperlink" Target="http://www.entytle.com/" TargetMode="External"/><Relationship Id="rId198" Type="http://schemas.openxmlformats.org/officeDocument/2006/relationships/hyperlink" Target="https://miflink.com/" TargetMode="External"/><Relationship Id="rId197" Type="http://schemas.openxmlformats.org/officeDocument/2006/relationships/hyperlink" Target="http://www.fiverr.com/" TargetMode="External"/><Relationship Id="rId196" Type="http://schemas.openxmlformats.org/officeDocument/2006/relationships/hyperlink" Target="https://fitonapp.com/" TargetMode="External"/><Relationship Id="rId195" Type="http://schemas.openxmlformats.org/officeDocument/2006/relationships/hyperlink" Target="https://finbots.ai/" TargetMode="External"/><Relationship Id="rId199" Type="http://schemas.openxmlformats.org/officeDocument/2006/relationships/hyperlink" Target="http://www.flipkart.com/" TargetMode="External"/><Relationship Id="rId150" Type="http://schemas.openxmlformats.org/officeDocument/2006/relationships/hyperlink" Target="https://detecttechnologies.com/" TargetMode="External"/><Relationship Id="rId149" Type="http://schemas.openxmlformats.org/officeDocument/2006/relationships/hyperlink" Target="http://www.despegar.com/" TargetMode="External"/><Relationship Id="rId148" Type="http://schemas.openxmlformats.org/officeDocument/2006/relationships/hyperlink" Target="http://www.deserve.com/" TargetMode="External"/><Relationship Id="rId143" Type="http://schemas.openxmlformats.org/officeDocument/2006/relationships/hyperlink" Target="http://www.deepmap.ai/" TargetMode="External"/><Relationship Id="rId142" Type="http://schemas.openxmlformats.org/officeDocument/2006/relationships/hyperlink" Target="http://www.clover.ag/" TargetMode="External"/><Relationship Id="rId141" Type="http://schemas.openxmlformats.org/officeDocument/2006/relationships/hyperlink" Target="https://www.decisionlink.com/" TargetMode="External"/><Relationship Id="rId140" Type="http://schemas.openxmlformats.org/officeDocument/2006/relationships/hyperlink" Target="https://decagon.ai/" TargetMode="External"/><Relationship Id="rId147" Type="http://schemas.openxmlformats.org/officeDocument/2006/relationships/hyperlink" Target="http://www.demisto.com/" TargetMode="External"/><Relationship Id="rId146" Type="http://schemas.openxmlformats.org/officeDocument/2006/relationships/hyperlink" Target="http://www.deliveroo.co.uk/" TargetMode="External"/><Relationship Id="rId145" Type="http://schemas.openxmlformats.org/officeDocument/2006/relationships/hyperlink" Target="https://www.delightree.com/" TargetMode="External"/><Relationship Id="rId144" Type="http://schemas.openxmlformats.org/officeDocument/2006/relationships/hyperlink" Target="http://www.deepnote.com/" TargetMode="External"/><Relationship Id="rId139" Type="http://schemas.openxmlformats.org/officeDocument/2006/relationships/hyperlink" Target="http://www.dealer.com/" TargetMode="External"/><Relationship Id="rId138" Type="http://schemas.openxmlformats.org/officeDocument/2006/relationships/hyperlink" Target="https://databand.ai/" TargetMode="External"/><Relationship Id="rId137" Type="http://schemas.openxmlformats.org/officeDocument/2006/relationships/hyperlink" Target="https://www.dash0.com/" TargetMode="External"/><Relationship Id="rId132" Type="http://schemas.openxmlformats.org/officeDocument/2006/relationships/hyperlink" Target="http://www.cure.fit/" TargetMode="External"/><Relationship Id="rId131" Type="http://schemas.openxmlformats.org/officeDocument/2006/relationships/hyperlink" Target="https://crownit.in/" TargetMode="External"/><Relationship Id="rId130" Type="http://schemas.openxmlformats.org/officeDocument/2006/relationships/hyperlink" Target="http://www.crowdstrike.com/" TargetMode="External"/><Relationship Id="rId136" Type="http://schemas.openxmlformats.org/officeDocument/2006/relationships/hyperlink" Target="https://www.cyera.io/" TargetMode="External"/><Relationship Id="rId135" Type="http://schemas.openxmlformats.org/officeDocument/2006/relationships/hyperlink" Target="http://www.cycognito.com/" TargetMode="External"/><Relationship Id="rId134" Type="http://schemas.openxmlformats.org/officeDocument/2006/relationships/hyperlink" Target="http://www.curejoy.com/" TargetMode="External"/><Relationship Id="rId133" Type="http://schemas.openxmlformats.org/officeDocument/2006/relationships/hyperlink" Target="https://curefoods.in/" TargetMode="External"/><Relationship Id="rId172" Type="http://schemas.openxmlformats.org/officeDocument/2006/relationships/hyperlink" Target="http://www.edupristine.com/" TargetMode="External"/><Relationship Id="rId171" Type="http://schemas.openxmlformats.org/officeDocument/2006/relationships/hyperlink" Target="https://www.edgedb.com/" TargetMode="External"/><Relationship Id="rId170" Type="http://schemas.openxmlformats.org/officeDocument/2006/relationships/hyperlink" Target="https://www.eder.io/" TargetMode="External"/><Relationship Id="rId165" Type="http://schemas.openxmlformats.org/officeDocument/2006/relationships/hyperlink" Target="http://www.duettocloud.com/" TargetMode="External"/><Relationship Id="rId164" Type="http://schemas.openxmlformats.org/officeDocument/2006/relationships/hyperlink" Target="http://www.dropcam.com/" TargetMode="External"/><Relationship Id="rId163" Type="http://schemas.openxmlformats.org/officeDocument/2006/relationships/hyperlink" Target="http://www.dropbox.com/" TargetMode="External"/><Relationship Id="rId162" Type="http://schemas.openxmlformats.org/officeDocument/2006/relationships/hyperlink" Target="https://drivewealth.com/" TargetMode="External"/><Relationship Id="rId169" Type="http://schemas.openxmlformats.org/officeDocument/2006/relationships/hyperlink" Target="https://www.ecosoulhome.com/" TargetMode="External"/><Relationship Id="rId168" Type="http://schemas.openxmlformats.org/officeDocument/2006/relationships/hyperlink" Target="http://www.een.com/" TargetMode="External"/><Relationship Id="rId167" Type="http://schemas.openxmlformats.org/officeDocument/2006/relationships/hyperlink" Target="https://www.accel.com/relationships/e8-storage-systems" TargetMode="External"/><Relationship Id="rId166" Type="http://schemas.openxmlformats.org/officeDocument/2006/relationships/hyperlink" Target="https://www.e6data.com/" TargetMode="External"/><Relationship Id="rId161" Type="http://schemas.openxmlformats.org/officeDocument/2006/relationships/hyperlink" Target="http://www.dripcapital.com/" TargetMode="External"/><Relationship Id="rId160" Type="http://schemas.openxmlformats.org/officeDocument/2006/relationships/hyperlink" Target="https://dovetailapp.com/" TargetMode="External"/><Relationship Id="rId159" Type="http://schemas.openxmlformats.org/officeDocument/2006/relationships/hyperlink" Target="https://www.donut.com/remote-connections/" TargetMode="External"/><Relationship Id="rId154" Type="http://schemas.openxmlformats.org/officeDocument/2006/relationships/hyperlink" Target="https://discord.com/" TargetMode="External"/><Relationship Id="rId153" Type="http://schemas.openxmlformats.org/officeDocument/2006/relationships/hyperlink" Target="https://digbihealth.com/" TargetMode="External"/><Relationship Id="rId152" Type="http://schemas.openxmlformats.org/officeDocument/2006/relationships/hyperlink" Target="http://www.diapers.com/" TargetMode="External"/><Relationship Id="rId151" Type="http://schemas.openxmlformats.org/officeDocument/2006/relationships/hyperlink" Target="https://www.dezerv.in/" TargetMode="External"/><Relationship Id="rId158" Type="http://schemas.openxmlformats.org/officeDocument/2006/relationships/hyperlink" Target="http://www.docusign.com/" TargetMode="External"/><Relationship Id="rId157" Type="http://schemas.openxmlformats.org/officeDocument/2006/relationships/hyperlink" Target="https://drdroid.io/" TargetMode="External"/><Relationship Id="rId156" Type="http://schemas.openxmlformats.org/officeDocument/2006/relationships/hyperlink" Target="http://www.doctolib.fr/" TargetMode="External"/><Relationship Id="rId155" Type="http://schemas.openxmlformats.org/officeDocument/2006/relationships/hyperlink" Target="http://www.dji.com/" TargetMode="External"/><Relationship Id="rId107" Type="http://schemas.openxmlformats.org/officeDocument/2006/relationships/hyperlink" Target="https://citymall.live/" TargetMode="External"/><Relationship Id="rId106" Type="http://schemas.openxmlformats.org/officeDocument/2006/relationships/hyperlink" Target="https://cinder.co/" TargetMode="External"/><Relationship Id="rId105" Type="http://schemas.openxmlformats.org/officeDocument/2006/relationships/hyperlink" Target="https://chroniclehq.com/" TargetMode="External"/><Relationship Id="rId104" Type="http://schemas.openxmlformats.org/officeDocument/2006/relationships/hyperlink" Target="http://www.checkr.com/" TargetMode="External"/><Relationship Id="rId109" Type="http://schemas.openxmlformats.org/officeDocument/2006/relationships/hyperlink" Target="http://www.getclockwise.com/" TargetMode="External"/><Relationship Id="rId108" Type="http://schemas.openxmlformats.org/officeDocument/2006/relationships/hyperlink" Target="http://www.clevertap.com/" TargetMode="External"/><Relationship Id="rId103" Type="http://schemas.openxmlformats.org/officeDocument/2006/relationships/hyperlink" Target="https://www.checklyhq.com/" TargetMode="External"/><Relationship Id="rId102" Type="http://schemas.openxmlformats.org/officeDocument/2006/relationships/hyperlink" Target="http://www.check24.de/" TargetMode="External"/><Relationship Id="rId101" Type="http://schemas.openxmlformats.org/officeDocument/2006/relationships/hyperlink" Target="http://www.hello-charles.com/" TargetMode="External"/><Relationship Id="rId100" Type="http://schemas.openxmlformats.org/officeDocument/2006/relationships/hyperlink" Target="http://www.chargebee.com/" TargetMode="External"/><Relationship Id="rId129" Type="http://schemas.openxmlformats.org/officeDocument/2006/relationships/hyperlink" Target="http://www.crowdanalytix.com/" TargetMode="External"/><Relationship Id="rId128" Type="http://schemas.openxmlformats.org/officeDocument/2006/relationships/hyperlink" Target="https://www.credgenics.com/" TargetMode="External"/><Relationship Id="rId127" Type="http://schemas.openxmlformats.org/officeDocument/2006/relationships/hyperlink" Target="https://www.creatorstack.com/" TargetMode="External"/><Relationship Id="rId126" Type="http://schemas.openxmlformats.org/officeDocument/2006/relationships/hyperlink" Target="http://www.coverfox.com/" TargetMode="External"/><Relationship Id="rId121" Type="http://schemas.openxmlformats.org/officeDocument/2006/relationships/hyperlink" Target="https://www.conduktor.io/" TargetMode="External"/><Relationship Id="rId120" Type="http://schemas.openxmlformats.org/officeDocument/2006/relationships/hyperlink" Target="https://www.conductorone.com/" TargetMode="External"/><Relationship Id="rId125" Type="http://schemas.openxmlformats.org/officeDocument/2006/relationships/hyperlink" Target="http://www.couchbase.com/" TargetMode="External"/><Relationship Id="rId124" Type="http://schemas.openxmlformats.org/officeDocument/2006/relationships/hyperlink" Target="http://www.cornershopapp.com/" TargetMode="External"/><Relationship Id="rId123" Type="http://schemas.openxmlformats.org/officeDocument/2006/relationships/hyperlink" Target="http://www.corelight.com/" TargetMode="External"/><Relationship Id="rId122" Type="http://schemas.openxmlformats.org/officeDocument/2006/relationships/hyperlink" Target="http://www.consuremedical.com/" TargetMode="External"/><Relationship Id="rId118" Type="http://schemas.openxmlformats.org/officeDocument/2006/relationships/hyperlink" Target="https://commercetools.com/" TargetMode="External"/><Relationship Id="rId117" Type="http://schemas.openxmlformats.org/officeDocument/2006/relationships/hyperlink" Target="https://www.cointracker.io/" TargetMode="External"/><Relationship Id="rId116" Type="http://schemas.openxmlformats.org/officeDocument/2006/relationships/hyperlink" Target="http://www.cohesity.com/" TargetMode="External"/><Relationship Id="rId115" Type="http://schemas.openxmlformats.org/officeDocument/2006/relationships/hyperlink" Target="http://www.cogoport.com/" TargetMode="External"/><Relationship Id="rId119" Type="http://schemas.openxmlformats.org/officeDocument/2006/relationships/hyperlink" Target="https://www.complete.so/" TargetMode="External"/><Relationship Id="rId110" Type="http://schemas.openxmlformats.org/officeDocument/2006/relationships/hyperlink" Target="http://www.cloudera.com/" TargetMode="External"/><Relationship Id="rId114" Type="http://schemas.openxmlformats.org/officeDocument/2006/relationships/hyperlink" Target="https://www.cognite.com/en/" TargetMode="External"/><Relationship Id="rId113" Type="http://schemas.openxmlformats.org/officeDocument/2006/relationships/hyperlink" Target="https://about.codecov.io/" TargetMode="External"/><Relationship Id="rId112" Type="http://schemas.openxmlformats.org/officeDocument/2006/relationships/hyperlink" Target="http://www.code42.com/" TargetMode="External"/><Relationship Id="rId111" Type="http://schemas.openxmlformats.org/officeDocument/2006/relationships/hyperlink" Target="https://coastpay.com/" TargetMode="External"/></Relationships>
</file>

<file path=xl/worksheets/_rels/sheet9.xml.rels><?xml version="1.0" encoding="UTF-8" standalone="yes"?><Relationships xmlns="http://schemas.openxmlformats.org/package/2006/relationships"><Relationship Id="rId392" Type="http://schemas.openxmlformats.org/officeDocument/2006/relationships/hyperlink" Target="https://plushcare.com/" TargetMode="External"/><Relationship Id="rId391" Type="http://schemas.openxmlformats.org/officeDocument/2006/relationships/hyperlink" Target="https://plus.ai/" TargetMode="External"/><Relationship Id="rId390" Type="http://schemas.openxmlformats.org/officeDocument/2006/relationships/hyperlink" Target="https://plianttechnology.com/" TargetMode="External"/><Relationship Id="rId385" Type="http://schemas.openxmlformats.org/officeDocument/2006/relationships/hyperlink" Target="https://pixxel.space/" TargetMode="External"/><Relationship Id="rId384" Type="http://schemas.openxmlformats.org/officeDocument/2006/relationships/hyperlink" Target="https://pintu.co.id/" TargetMode="External"/><Relationship Id="rId383" Type="http://schemas.openxmlformats.org/officeDocument/2006/relationships/hyperlink" Target="https://www.pw.live/" TargetMode="External"/><Relationship Id="rId382" Type="http://schemas.openxmlformats.org/officeDocument/2006/relationships/hyperlink" Target="https://openwave.com/" TargetMode="External"/><Relationship Id="rId389" Type="http://schemas.openxmlformats.org/officeDocument/2006/relationships/hyperlink" Target="https://plexxi.com/" TargetMode="External"/><Relationship Id="rId388" Type="http://schemas.openxmlformats.org/officeDocument/2006/relationships/hyperlink" Target="https://plexistor.com/" TargetMode="External"/><Relationship Id="rId387" Type="http://schemas.openxmlformats.org/officeDocument/2006/relationships/hyperlink" Target="https://playdom.com/" TargetMode="External"/><Relationship Id="rId386" Type="http://schemas.openxmlformats.org/officeDocument/2006/relationships/hyperlink" Target="https://plana.earth/" TargetMode="External"/><Relationship Id="rId381" Type="http://schemas.openxmlformats.org/officeDocument/2006/relationships/hyperlink" Target="https://pheontx.com/" TargetMode="External"/><Relationship Id="rId380" Type="http://schemas.openxmlformats.org/officeDocument/2006/relationships/hyperlink" Target="https://personetics.com/" TargetMode="External"/><Relationship Id="rId379" Type="http://schemas.openxmlformats.org/officeDocument/2006/relationships/hyperlink" Target="https://personalis.com/" TargetMode="External"/><Relationship Id="rId374" Type="http://schemas.openxmlformats.org/officeDocument/2006/relationships/hyperlink" Target="https://pensando.io/" TargetMode="External"/><Relationship Id="rId373" Type="http://schemas.openxmlformats.org/officeDocument/2006/relationships/hyperlink" Target="https://pebblelife.com/" TargetMode="External"/><Relationship Id="rId372" Type="http://schemas.openxmlformats.org/officeDocument/2006/relationships/hyperlink" Target="https://payitoff.io/" TargetMode="External"/><Relationship Id="rId371" Type="http://schemas.openxmlformats.org/officeDocument/2006/relationships/hyperlink" Target="https://patronus.ai/" TargetMode="External"/><Relationship Id="rId378" Type="http://schemas.openxmlformats.org/officeDocument/2006/relationships/hyperlink" Target="https://pernixdata.com/" TargetMode="External"/><Relationship Id="rId377" Type="http://schemas.openxmlformats.org/officeDocument/2006/relationships/hyperlink" Target="https://percolate.com/" TargetMode="External"/><Relationship Id="rId376" Type="http://schemas.openxmlformats.org/officeDocument/2006/relationships/hyperlink" Target="https://peppercontent.in/" TargetMode="External"/><Relationship Id="rId375" Type="http://schemas.openxmlformats.org/officeDocument/2006/relationships/hyperlink" Target="https://people.ai/" TargetMode="External"/><Relationship Id="rId396" Type="http://schemas.openxmlformats.org/officeDocument/2006/relationships/hyperlink" Target="https://poncho.is/" TargetMode="External"/><Relationship Id="rId395" Type="http://schemas.openxmlformats.org/officeDocument/2006/relationships/hyperlink" Target="https://polygon.technology/" TargetMode="External"/><Relationship Id="rId394" Type="http://schemas.openxmlformats.org/officeDocument/2006/relationships/hyperlink" Target="https://polarsignals.com/" TargetMode="External"/><Relationship Id="rId393" Type="http://schemas.openxmlformats.org/officeDocument/2006/relationships/hyperlink" Target="https://pocketfm.com/" TargetMode="External"/><Relationship Id="rId399" Type="http://schemas.openxmlformats.org/officeDocument/2006/relationships/hyperlink" Target="https://portkey.ai/" TargetMode="External"/><Relationship Id="rId398" Type="http://schemas.openxmlformats.org/officeDocument/2006/relationships/hyperlink" Target="https://pontera.com/" TargetMode="External"/><Relationship Id="rId397" Type="http://schemas.openxmlformats.org/officeDocument/2006/relationships/hyperlink" Target="https://ponder.io/" TargetMode="External"/><Relationship Id="rId40" Type="http://schemas.openxmlformats.org/officeDocument/2006/relationships/hyperlink" Target="https://resilienceinsurance.com/" TargetMode="External"/><Relationship Id="rId42" Type="http://schemas.openxmlformats.org/officeDocument/2006/relationships/hyperlink" Target="https://skild.ai/" TargetMode="External"/><Relationship Id="rId41" Type="http://schemas.openxmlformats.org/officeDocument/2006/relationships/hyperlink" Target="https://rubrik.com/" TargetMode="External"/><Relationship Id="rId44" Type="http://schemas.openxmlformats.org/officeDocument/2006/relationships/hyperlink" Target="https://snorkel.ai/company/" TargetMode="External"/><Relationship Id="rId43" Type="http://schemas.openxmlformats.org/officeDocument/2006/relationships/hyperlink" Target="https://snapchat.com/" TargetMode="External"/><Relationship Id="rId46" Type="http://schemas.openxmlformats.org/officeDocument/2006/relationships/hyperlink" Target="https://teneobio.com/" TargetMode="External"/><Relationship Id="rId45" Type="http://schemas.openxmlformats.org/officeDocument/2006/relationships/hyperlink" Target="https://stripe.com/" TargetMode="External"/><Relationship Id="rId48" Type="http://schemas.openxmlformats.org/officeDocument/2006/relationships/hyperlink" Target="https://typeface.ai/" TargetMode="External"/><Relationship Id="rId47" Type="http://schemas.openxmlformats.org/officeDocument/2006/relationships/hyperlink" Target="https://thoughtspot.com/" TargetMode="External"/><Relationship Id="rId49" Type="http://schemas.openxmlformats.org/officeDocument/2006/relationships/hyperlink" Target="https://ultimagenomics.com/" TargetMode="External"/><Relationship Id="rId31" Type="http://schemas.openxmlformats.org/officeDocument/2006/relationships/hyperlink" Target="https://nest.com/" TargetMode="External"/><Relationship Id="rId30" Type="http://schemas.openxmlformats.org/officeDocument/2006/relationships/hyperlink" Target="https://navan.com/" TargetMode="External"/><Relationship Id="rId33" Type="http://schemas.openxmlformats.org/officeDocument/2006/relationships/hyperlink" Target="https://nonamesecurity.com/" TargetMode="External"/><Relationship Id="rId32" Type="http://schemas.openxmlformats.org/officeDocument/2006/relationships/hyperlink" Target="https://netskope.com/" TargetMode="External"/><Relationship Id="rId35" Type="http://schemas.openxmlformats.org/officeDocument/2006/relationships/hyperlink" Target="https://offchainlabs.com/" TargetMode="External"/><Relationship Id="rId34" Type="http://schemas.openxmlformats.org/officeDocument/2006/relationships/hyperlink" Target="https://nutanix.com/" TargetMode="External"/><Relationship Id="rId37" Type="http://schemas.openxmlformats.org/officeDocument/2006/relationships/hyperlink" Target="https://payhawk.com/" TargetMode="External"/><Relationship Id="rId36" Type="http://schemas.openxmlformats.org/officeDocument/2006/relationships/hyperlink" Target="https://orcabio.com/" TargetMode="External"/><Relationship Id="rId39" Type="http://schemas.openxmlformats.org/officeDocument/2006/relationships/hyperlink" Target="https://pika.art/" TargetMode="External"/><Relationship Id="rId38" Type="http://schemas.openxmlformats.org/officeDocument/2006/relationships/hyperlink" Target="https://personio.de/" TargetMode="External"/><Relationship Id="rId20" Type="http://schemas.openxmlformats.org/officeDocument/2006/relationships/hyperlink" Target="https://grafana.com/" TargetMode="External"/><Relationship Id="rId22" Type="http://schemas.openxmlformats.org/officeDocument/2006/relationships/hyperlink" Target="https://hauslabs.com/" TargetMode="External"/><Relationship Id="rId21" Type="http://schemas.openxmlformats.org/officeDocument/2006/relationships/hyperlink" Target="https://guardanthealth.com/" TargetMode="External"/><Relationship Id="rId24" Type="http://schemas.openxmlformats.org/officeDocument/2006/relationships/hyperlink" Target="https://magiceden.io/" TargetMode="External"/><Relationship Id="rId23" Type="http://schemas.openxmlformats.org/officeDocument/2006/relationships/hyperlink" Target="https://inworld.ai/" TargetMode="External"/><Relationship Id="rId26" Type="http://schemas.openxmlformats.org/officeDocument/2006/relationships/hyperlink" Target="https://methodical.com/" TargetMode="External"/><Relationship Id="rId25" Type="http://schemas.openxmlformats.org/officeDocument/2006/relationships/hyperlink" Target="https://matillion.com/" TargetMode="External"/><Relationship Id="rId28" Type="http://schemas.openxmlformats.org/officeDocument/2006/relationships/hyperlink" Target="https://moveworks.ai/" TargetMode="External"/><Relationship Id="rId27" Type="http://schemas.openxmlformats.org/officeDocument/2006/relationships/hyperlink" Target="https://mistral.ai/" TargetMode="External"/><Relationship Id="rId29" Type="http://schemas.openxmlformats.org/officeDocument/2006/relationships/hyperlink" Target="https://multiverse.io/" TargetMode="External"/><Relationship Id="rId11" Type="http://schemas.openxmlformats.org/officeDocument/2006/relationships/hyperlink" Target="https://clickup.com/" TargetMode="External"/><Relationship Id="rId10" Type="http://schemas.openxmlformats.org/officeDocument/2006/relationships/hyperlink" Target="https://catonetworks.com/" TargetMode="External"/><Relationship Id="rId13" Type="http://schemas.openxmlformats.org/officeDocument/2006/relationships/hyperlink" Target="https://dexterity.ai/" TargetMode="External"/><Relationship Id="rId12" Type="http://schemas.openxmlformats.org/officeDocument/2006/relationships/hyperlink" Target="https://www.daily-harvest.com/" TargetMode="External"/><Relationship Id="rId15" Type="http://schemas.openxmlformats.org/officeDocument/2006/relationships/hyperlink" Target="https://epicgames.com/" TargetMode="External"/><Relationship Id="rId14" Type="http://schemas.openxmlformats.org/officeDocument/2006/relationships/hyperlink" Target="https://eightfold.ai/" TargetMode="External"/><Relationship Id="rId17" Type="http://schemas.openxmlformats.org/officeDocument/2006/relationships/hyperlink" Target="https://fortyseveninc.com/" TargetMode="External"/><Relationship Id="rId16" Type="http://schemas.openxmlformats.org/officeDocument/2006/relationships/hyperlink" Target="https://faire.com/" TargetMode="External"/><Relationship Id="rId19" Type="http://schemas.openxmlformats.org/officeDocument/2006/relationships/hyperlink" Target="https://glean.com/" TargetMode="External"/><Relationship Id="rId18" Type="http://schemas.openxmlformats.org/officeDocument/2006/relationships/hyperlink" Target="https://found.com/" TargetMode="External"/><Relationship Id="rId84" Type="http://schemas.openxmlformats.org/officeDocument/2006/relationships/hyperlink" Target="https://artofsport.com/" TargetMode="External"/><Relationship Id="rId83" Type="http://schemas.openxmlformats.org/officeDocument/2006/relationships/hyperlink" Target="https://arrcus.com/" TargetMode="External"/><Relationship Id="rId86" Type="http://schemas.openxmlformats.org/officeDocument/2006/relationships/hyperlink" Target="https://astro.build/" TargetMode="External"/><Relationship Id="rId85" Type="http://schemas.openxmlformats.org/officeDocument/2006/relationships/hyperlink" Target="https://aspireapp.com/" TargetMode="External"/><Relationship Id="rId88" Type="http://schemas.openxmlformats.org/officeDocument/2006/relationships/hyperlink" Target="https://at-bay.com/" TargetMode="External"/><Relationship Id="rId87" Type="http://schemas.openxmlformats.org/officeDocument/2006/relationships/hyperlink" Target="https://www.astronauts.id/" TargetMode="External"/><Relationship Id="rId89" Type="http://schemas.openxmlformats.org/officeDocument/2006/relationships/hyperlink" Target="https://liveathos.com/" TargetMode="External"/><Relationship Id="rId80" Type="http://schemas.openxmlformats.org/officeDocument/2006/relationships/hyperlink" Target="https://arbornetworks.com/" TargetMode="External"/><Relationship Id="rId82" Type="http://schemas.openxmlformats.org/officeDocument/2006/relationships/hyperlink" Target="https://arilinc.com/" TargetMode="External"/><Relationship Id="rId81" Type="http://schemas.openxmlformats.org/officeDocument/2006/relationships/hyperlink" Target="https://archiveresale.co/" TargetMode="External"/><Relationship Id="rId73" Type="http://schemas.openxmlformats.org/officeDocument/2006/relationships/hyperlink" Target="https://www.anduril.com/" TargetMode="External"/><Relationship Id="rId72" Type="http://schemas.openxmlformats.org/officeDocument/2006/relationships/hyperlink" Target="https://ancorabiotech.com/" TargetMode="External"/><Relationship Id="rId75" Type="http://schemas.openxmlformats.org/officeDocument/2006/relationships/hyperlink" Target="https://apex.ai/" TargetMode="External"/><Relationship Id="rId74" Type="http://schemas.openxmlformats.org/officeDocument/2006/relationships/hyperlink" Target="http://apex.ai" TargetMode="External"/><Relationship Id="rId77" Type="http://schemas.openxmlformats.org/officeDocument/2006/relationships/hyperlink" Target="https://appzen.com/" TargetMode="External"/><Relationship Id="rId76" Type="http://schemas.openxmlformats.org/officeDocument/2006/relationships/hyperlink" Target="https://apna.co/" TargetMode="External"/><Relationship Id="rId79" Type="http://schemas.openxmlformats.org/officeDocument/2006/relationships/hyperlink" Target="https://aquantia.com/" TargetMode="External"/><Relationship Id="rId78" Type="http://schemas.openxmlformats.org/officeDocument/2006/relationships/hyperlink" Target="https://www.aquant.ai/" TargetMode="External"/><Relationship Id="rId71" Type="http://schemas.openxmlformats.org/officeDocument/2006/relationships/hyperlink" Target="https://a9oncology.com/" TargetMode="External"/><Relationship Id="rId70" Type="http://schemas.openxmlformats.org/officeDocument/2006/relationships/hyperlink" Target="https://alooma.com/" TargetMode="External"/><Relationship Id="rId62" Type="http://schemas.openxmlformats.org/officeDocument/2006/relationships/hyperlink" Target="https://acko.com/" TargetMode="External"/><Relationship Id="rId61" Type="http://schemas.openxmlformats.org/officeDocument/2006/relationships/hyperlink" Target="https://acceldata.io/" TargetMode="External"/><Relationship Id="rId64" Type="http://schemas.openxmlformats.org/officeDocument/2006/relationships/hyperlink" Target="https://affirmednetworks.com/" TargetMode="External"/><Relationship Id="rId63" Type="http://schemas.openxmlformats.org/officeDocument/2006/relationships/hyperlink" Target="https://aerohive.com/" TargetMode="External"/><Relationship Id="rId66" Type="http://schemas.openxmlformats.org/officeDocument/2006/relationships/hyperlink" Target="https://airbound.co/" TargetMode="External"/><Relationship Id="rId65" Type="http://schemas.openxmlformats.org/officeDocument/2006/relationships/hyperlink" Target="https://air-dr.com/" TargetMode="External"/><Relationship Id="rId68" Type="http://schemas.openxmlformats.org/officeDocument/2006/relationships/hyperlink" Target="https://aledade.com/" TargetMode="External"/><Relationship Id="rId67" Type="http://schemas.openxmlformats.org/officeDocument/2006/relationships/hyperlink" Target="https://www.alchemy.com/" TargetMode="External"/><Relationship Id="rId60" Type="http://schemas.openxmlformats.org/officeDocument/2006/relationships/hyperlink" Target="https://abstract.com/" TargetMode="External"/><Relationship Id="rId69" Type="http://schemas.openxmlformats.org/officeDocument/2006/relationships/hyperlink" Target="https://alldaykitchens.com/" TargetMode="External"/><Relationship Id="rId51" Type="http://schemas.openxmlformats.org/officeDocument/2006/relationships/hyperlink" Target="https://wheel.com/" TargetMode="External"/><Relationship Id="rId50" Type="http://schemas.openxmlformats.org/officeDocument/2006/relationships/hyperlink" Target="https://vinted.com/" TargetMode="External"/><Relationship Id="rId53" Type="http://schemas.openxmlformats.org/officeDocument/2006/relationships/hyperlink" Target="https://yugabyte.com/" TargetMode="External"/><Relationship Id="rId52" Type="http://schemas.openxmlformats.org/officeDocument/2006/relationships/hyperlink" Target="https://wiz.io/" TargetMode="External"/><Relationship Id="rId55" Type="http://schemas.openxmlformats.org/officeDocument/2006/relationships/hyperlink" Target="https://1047games.com/" TargetMode="External"/><Relationship Id="rId54" Type="http://schemas.openxmlformats.org/officeDocument/2006/relationships/hyperlink" Target="https://zola.com/" TargetMode="External"/><Relationship Id="rId57" Type="http://schemas.openxmlformats.org/officeDocument/2006/relationships/hyperlink" Target="https://51hitech.com/" TargetMode="External"/><Relationship Id="rId56" Type="http://schemas.openxmlformats.org/officeDocument/2006/relationships/hyperlink" Target="https://1password.com/" TargetMode="External"/><Relationship Id="rId59" Type="http://schemas.openxmlformats.org/officeDocument/2006/relationships/hyperlink" Target="https://abridge.com/" TargetMode="External"/><Relationship Id="rId58" Type="http://schemas.openxmlformats.org/officeDocument/2006/relationships/hyperlink" Target="https://abatatx.com/" TargetMode="External"/><Relationship Id="rId349" Type="http://schemas.openxmlformats.org/officeDocument/2006/relationships/hyperlink" Target="https://observo.ai/" TargetMode="External"/><Relationship Id="rId348" Type="http://schemas.openxmlformats.org/officeDocument/2006/relationships/hyperlink" Target="https://nym.health/" TargetMode="External"/><Relationship Id="rId347" Type="http://schemas.openxmlformats.org/officeDocument/2006/relationships/hyperlink" Target="https://nym.health/" TargetMode="External"/><Relationship Id="rId346" Type="http://schemas.openxmlformats.org/officeDocument/2006/relationships/hyperlink" Target="https://numerify.com/" TargetMode="External"/><Relationship Id="rId341" Type="http://schemas.openxmlformats.org/officeDocument/2006/relationships/hyperlink" Target="https://nicira.com/" TargetMode="External"/><Relationship Id="rId340" Type="http://schemas.openxmlformats.org/officeDocument/2006/relationships/hyperlink" Target="https://ngrok.com/" TargetMode="External"/><Relationship Id="rId345" Type="http://schemas.openxmlformats.org/officeDocument/2006/relationships/hyperlink" Target="https://normalyze.ai/" TargetMode="External"/><Relationship Id="rId344" Type="http://schemas.openxmlformats.org/officeDocument/2006/relationships/hyperlink" Target="https://noetica.ai/" TargetMode="External"/><Relationship Id="rId343" Type="http://schemas.openxmlformats.org/officeDocument/2006/relationships/hyperlink" Target="https://nirvanatech.com/" TargetMode="External"/><Relationship Id="rId342" Type="http://schemas.openxmlformats.org/officeDocument/2006/relationships/hyperlink" Target="https://nimblestorage.com/" TargetMode="External"/><Relationship Id="rId338" Type="http://schemas.openxmlformats.org/officeDocument/2006/relationships/hyperlink" Target="https://nextbillion.ai/" TargetMode="External"/><Relationship Id="rId337" Type="http://schemas.openxmlformats.org/officeDocument/2006/relationships/hyperlink" Target="https://nexprt.com/" TargetMode="External"/><Relationship Id="rId336" Type="http://schemas.openxmlformats.org/officeDocument/2006/relationships/hyperlink" Target="https://newrizon.com/" TargetMode="External"/><Relationship Id="rId335" Type="http://schemas.openxmlformats.org/officeDocument/2006/relationships/hyperlink" Target="https://neuralgalaxy.com/" TargetMode="External"/><Relationship Id="rId339" Type="http://schemas.openxmlformats.org/officeDocument/2006/relationships/hyperlink" Target="https://nexus.xyz/" TargetMode="External"/><Relationship Id="rId330" Type="http://schemas.openxmlformats.org/officeDocument/2006/relationships/hyperlink" Target="https://mystenlabs.com/" TargetMode="External"/><Relationship Id="rId334" Type="http://schemas.openxmlformats.org/officeDocument/2006/relationships/hyperlink" Target="https://zaijia.com/" TargetMode="External"/><Relationship Id="rId333" Type="http://schemas.openxmlformats.org/officeDocument/2006/relationships/hyperlink" Target="https://nekohealth.com/" TargetMode="External"/><Relationship Id="rId332" Type="http://schemas.openxmlformats.org/officeDocument/2006/relationships/hyperlink" Target="https://natera.com/" TargetMode="External"/><Relationship Id="rId331" Type="http://schemas.openxmlformats.org/officeDocument/2006/relationships/hyperlink" Target="https://nas.io/" TargetMode="External"/><Relationship Id="rId370" Type="http://schemas.openxmlformats.org/officeDocument/2006/relationships/hyperlink" Target="https://particle.news/" TargetMode="External"/><Relationship Id="rId369" Type="http://schemas.openxmlformats.org/officeDocument/2006/relationships/hyperlink" Target="https://parsable.com/" TargetMode="External"/><Relationship Id="rId368" Type="http://schemas.openxmlformats.org/officeDocument/2006/relationships/hyperlink" Target="https://parallel.fi/" TargetMode="External"/><Relationship Id="rId363" Type="http://schemas.openxmlformats.org/officeDocument/2006/relationships/hyperlink" Target="https://oyorooms.com/" TargetMode="External"/><Relationship Id="rId362" Type="http://schemas.openxmlformats.org/officeDocument/2006/relationships/hyperlink" Target="https://overops.com/" TargetMode="External"/><Relationship Id="rId361" Type="http://schemas.openxmlformats.org/officeDocument/2006/relationships/hyperlink" Target="https://outschool.com/" TargetMode="External"/><Relationship Id="rId360" Type="http://schemas.openxmlformats.org/officeDocument/2006/relationships/hyperlink" Target="https://outbrain.com/" TargetMode="External"/><Relationship Id="rId367" Type="http://schemas.openxmlformats.org/officeDocument/2006/relationships/hyperlink" Target="https://runpanther.io/" TargetMode="External"/><Relationship Id="rId366" Type="http://schemas.openxmlformats.org/officeDocument/2006/relationships/hyperlink" Target="https://pacificfusion.com/" TargetMode="External"/><Relationship Id="rId365" Type="http://schemas.openxmlformats.org/officeDocument/2006/relationships/hyperlink" Target="https://p0.dev/" TargetMode="External"/><Relationship Id="rId364" Type="http://schemas.openxmlformats.org/officeDocument/2006/relationships/hyperlink" Target="https://p0.inc/" TargetMode="External"/><Relationship Id="rId95" Type="http://schemas.openxmlformats.org/officeDocument/2006/relationships/hyperlink" Target="https://avarra.ai/" TargetMode="External"/><Relationship Id="rId94" Type="http://schemas.openxmlformats.org/officeDocument/2006/relationships/hyperlink" Target="https://autograph.io/" TargetMode="External"/><Relationship Id="rId97" Type="http://schemas.openxmlformats.org/officeDocument/2006/relationships/hyperlink" Target="https://avinetworks.com/" TargetMode="External"/><Relationship Id="rId96" Type="http://schemas.openxmlformats.org/officeDocument/2006/relationships/hyperlink" Target="https://averesystems.com/" TargetMode="External"/><Relationship Id="rId99" Type="http://schemas.openxmlformats.org/officeDocument/2006/relationships/hyperlink" Target="https://getbalance.com/" TargetMode="External"/><Relationship Id="rId98" Type="http://schemas.openxmlformats.org/officeDocument/2006/relationships/hyperlink" Target="https://awastudios.net/" TargetMode="External"/><Relationship Id="rId91" Type="http://schemas.openxmlformats.org/officeDocument/2006/relationships/hyperlink" Target="https://audius.co/" TargetMode="External"/><Relationship Id="rId90" Type="http://schemas.openxmlformats.org/officeDocument/2006/relationships/hyperlink" Target="https://audiomob.com/" TargetMode="External"/><Relationship Id="rId93" Type="http://schemas.openxmlformats.org/officeDocument/2006/relationships/hyperlink" Target="https://aurora.tech/" TargetMode="External"/><Relationship Id="rId92" Type="http://schemas.openxmlformats.org/officeDocument/2006/relationships/hyperlink" Target="https://augmentcode.com/" TargetMode="External"/><Relationship Id="rId359" Type="http://schemas.openxmlformats.org/officeDocument/2006/relationships/hyperlink" Target="https://osmos.io/" TargetMode="External"/><Relationship Id="rId358" Type="http://schemas.openxmlformats.org/officeDocument/2006/relationships/hyperlink" Target="https://orqafpv.com/" TargetMode="External"/><Relationship Id="rId357" Type="http://schemas.openxmlformats.org/officeDocument/2006/relationships/hyperlink" Target="https://origamilogic.com/" TargetMode="External"/><Relationship Id="rId352" Type="http://schemas.openxmlformats.org/officeDocument/2006/relationships/hyperlink" Target="https://olema.com/" TargetMode="External"/><Relationship Id="rId351" Type="http://schemas.openxmlformats.org/officeDocument/2006/relationships/hyperlink" Target="https://okcredit.in/" TargetMode="External"/><Relationship Id="rId350" Type="http://schemas.openxmlformats.org/officeDocument/2006/relationships/hyperlink" Target="https://officebanao.com/" TargetMode="External"/><Relationship Id="rId356" Type="http://schemas.openxmlformats.org/officeDocument/2006/relationships/hyperlink" Target="https://orbiseducation.com/" TargetMode="External"/><Relationship Id="rId355" Type="http://schemas.openxmlformats.org/officeDocument/2006/relationships/hyperlink" Target="https://onemoregame.com/" TargetMode="External"/><Relationship Id="rId354" Type="http://schemas.openxmlformats.org/officeDocument/2006/relationships/hyperlink" Target="https://oneassist.in/" TargetMode="External"/><Relationship Id="rId353" Type="http://schemas.openxmlformats.org/officeDocument/2006/relationships/hyperlink" Target="https://oligo.security/" TargetMode="External"/><Relationship Id="rId305" Type="http://schemas.openxmlformats.org/officeDocument/2006/relationships/hyperlink" Target="https://lunchclub.ai/" TargetMode="External"/><Relationship Id="rId304" Type="http://schemas.openxmlformats.org/officeDocument/2006/relationships/hyperlink" Target="https://51lepai.com/" TargetMode="External"/><Relationship Id="rId303" Type="http://schemas.openxmlformats.org/officeDocument/2006/relationships/hyperlink" Target="https://liveu.tv/" TargetMode="External"/><Relationship Id="rId302" Type="http://schemas.openxmlformats.org/officeDocument/2006/relationships/hyperlink" Target="https://litatom.com/" TargetMode="External"/><Relationship Id="rId309" Type="http://schemas.openxmlformats.org/officeDocument/2006/relationships/hyperlink" Target="https://www.markato.com/" TargetMode="External"/><Relationship Id="rId308" Type="http://schemas.openxmlformats.org/officeDocument/2006/relationships/hyperlink" Target="https://conexant.com/" TargetMode="External"/><Relationship Id="rId307" Type="http://schemas.openxmlformats.org/officeDocument/2006/relationships/hyperlink" Target="https://magicpin.in/" TargetMode="External"/><Relationship Id="rId306" Type="http://schemas.openxmlformats.org/officeDocument/2006/relationships/hyperlink" Target="https://magicspoon.com/" TargetMode="External"/><Relationship Id="rId301" Type="http://schemas.openxmlformats.org/officeDocument/2006/relationships/hyperlink" Target="https://lio.io/" TargetMode="External"/><Relationship Id="rId300" Type="http://schemas.openxmlformats.org/officeDocument/2006/relationships/hyperlink" Target="https://linkedcare.cn/" TargetMode="External"/><Relationship Id="rId327" Type="http://schemas.openxmlformats.org/officeDocument/2006/relationships/hyperlink" Target="https://mulesoft.com/" TargetMode="External"/><Relationship Id="rId326" Type="http://schemas.openxmlformats.org/officeDocument/2006/relationships/hyperlink" Target="https://www.mstack.in/" TargetMode="External"/><Relationship Id="rId325" Type="http://schemas.openxmlformats.org/officeDocument/2006/relationships/hyperlink" Target="https://www.mittilabs.earth/" TargetMode="External"/><Relationship Id="rId324" Type="http://schemas.openxmlformats.org/officeDocument/2006/relationships/hyperlink" Target="https://mist.com/" TargetMode="External"/><Relationship Id="rId329" Type="http://schemas.openxmlformats.org/officeDocument/2006/relationships/hyperlink" Target="https://mybuys.com/" TargetMode="External"/><Relationship Id="rId328" Type="http://schemas.openxmlformats.org/officeDocument/2006/relationships/hyperlink" Target="https://munitienda.com/" TargetMode="External"/><Relationship Id="rId323" Type="http://schemas.openxmlformats.org/officeDocument/2006/relationships/hyperlink" Target="https://ming-med.com/" TargetMode="External"/><Relationship Id="rId322" Type="http://schemas.openxmlformats.org/officeDocument/2006/relationships/hyperlink" Target="https://millennialfox.com/" TargetMode="External"/><Relationship Id="rId321" Type="http://schemas.openxmlformats.org/officeDocument/2006/relationships/hyperlink" Target="https://metispharmaceuticals.cn/" TargetMode="External"/><Relationship Id="rId320" Type="http://schemas.openxmlformats.org/officeDocument/2006/relationships/hyperlink" Target="https://oracle.com/metasolv" TargetMode="External"/><Relationship Id="rId316" Type="http://schemas.openxmlformats.org/officeDocument/2006/relationships/hyperlink" Target="https://medikine.com/" TargetMode="External"/><Relationship Id="rId315" Type="http://schemas.openxmlformats.org/officeDocument/2006/relationships/hyperlink" Target="https://mdclone.com/" TargetMode="External"/><Relationship Id="rId314" Type="http://schemas.openxmlformats.org/officeDocument/2006/relationships/hyperlink" Target="https://getmayd.com/" TargetMode="External"/><Relationship Id="rId313" Type="http://schemas.openxmlformats.org/officeDocument/2006/relationships/hyperlink" Target="https://materialize.com/" TargetMode="External"/><Relationship Id="rId319" Type="http://schemas.openxmlformats.org/officeDocument/2006/relationships/hyperlink" Target="https://letsmend.com/" TargetMode="External"/><Relationship Id="rId318" Type="http://schemas.openxmlformats.org/officeDocument/2006/relationships/hyperlink" Target="https://memverge.com/" TargetMode="External"/><Relationship Id="rId317" Type="http://schemas.openxmlformats.org/officeDocument/2006/relationships/hyperlink" Target="https://memoir-systems.com/" TargetMode="External"/><Relationship Id="rId312" Type="http://schemas.openxmlformats.org/officeDocument/2006/relationships/hyperlink" Target="https://getmason.io/" TargetMode="External"/><Relationship Id="rId311" Type="http://schemas.openxmlformats.org/officeDocument/2006/relationships/hyperlink" Target="https://masergy.com/" TargetMode="External"/><Relationship Id="rId310" Type="http://schemas.openxmlformats.org/officeDocument/2006/relationships/hyperlink" Target="https://www.marqo.ai/" TargetMode="External"/><Relationship Id="rId297" Type="http://schemas.openxmlformats.org/officeDocument/2006/relationships/hyperlink" Target="https://level.com/" TargetMode="External"/><Relationship Id="rId296" Type="http://schemas.openxmlformats.org/officeDocument/2006/relationships/hyperlink" Target="https://lemon.markets/" TargetMode="External"/><Relationship Id="rId295" Type="http://schemas.openxmlformats.org/officeDocument/2006/relationships/hyperlink" Target="https://leetcode-cn.com/" TargetMode="External"/><Relationship Id="rId294" Type="http://schemas.openxmlformats.org/officeDocument/2006/relationships/hyperlink" Target="https://ledgerx.com/" TargetMode="External"/><Relationship Id="rId299" Type="http://schemas.openxmlformats.org/officeDocument/2006/relationships/hyperlink" Target="https://golightyear.com/" TargetMode="External"/><Relationship Id="rId298" Type="http://schemas.openxmlformats.org/officeDocument/2006/relationships/hyperlink" Target="https://intel.com/" TargetMode="External"/><Relationship Id="rId271" Type="http://schemas.openxmlformats.org/officeDocument/2006/relationships/hyperlink" Target="https://infiot.com/" TargetMode="External"/><Relationship Id="rId270" Type="http://schemas.openxmlformats.org/officeDocument/2006/relationships/hyperlink" Target="https://iexindia.com/" TargetMode="External"/><Relationship Id="rId269" Type="http://schemas.openxmlformats.org/officeDocument/2006/relationships/hyperlink" Target="https://impira.com/" TargetMode="External"/><Relationship Id="rId264" Type="http://schemas.openxmlformats.org/officeDocument/2006/relationships/hyperlink" Target="https://hungryroot.com/" TargetMode="External"/><Relationship Id="rId263" Type="http://schemas.openxmlformats.org/officeDocument/2006/relationships/hyperlink" Target="https://hubilo.com/" TargetMode="External"/><Relationship Id="rId262" Type="http://schemas.openxmlformats.org/officeDocument/2006/relationships/hyperlink" Target="https://houseofx.in/" TargetMode="External"/><Relationship Id="rId261" Type="http://schemas.openxmlformats.org/officeDocument/2006/relationships/hyperlink" Target="https://honeylove.co/" TargetMode="External"/><Relationship Id="rId268" Type="http://schemas.openxmlformats.org/officeDocument/2006/relationships/hyperlink" Target="https://immunostherapeutics.com/" TargetMode="External"/><Relationship Id="rId267" Type="http://schemas.openxmlformats.org/officeDocument/2006/relationships/hyperlink" Target="https://illumix.com/" TargetMode="External"/><Relationship Id="rId266" Type="http://schemas.openxmlformats.org/officeDocument/2006/relationships/hyperlink" Target="https://ihaveu.com/" TargetMode="External"/><Relationship Id="rId265" Type="http://schemas.openxmlformats.org/officeDocument/2006/relationships/hyperlink" Target="https://hyperguest.com/" TargetMode="External"/><Relationship Id="rId260" Type="http://schemas.openxmlformats.org/officeDocument/2006/relationships/hyperlink" Target="https://homary.com/" TargetMode="External"/><Relationship Id="rId259" Type="http://schemas.openxmlformats.org/officeDocument/2006/relationships/hyperlink" Target="https://holoam.com/" TargetMode="External"/><Relationship Id="rId258" Type="http://schemas.openxmlformats.org/officeDocument/2006/relationships/hyperlink" Target="https://hillevax.com/" TargetMode="External"/><Relationship Id="rId253" Type="http://schemas.openxmlformats.org/officeDocument/2006/relationships/hyperlink" Target="https://heraldapi.com/" TargetMode="External"/><Relationship Id="rId252" Type="http://schemas.openxmlformats.org/officeDocument/2006/relationships/hyperlink" Target="https://heptio.com/" TargetMode="External"/><Relationship Id="rId251" Type="http://schemas.openxmlformats.org/officeDocument/2006/relationships/hyperlink" Target="https://helionenergy.com/" TargetMode="External"/><Relationship Id="rId250" Type="http://schemas.openxmlformats.org/officeDocument/2006/relationships/hyperlink" Target="https://healthplix.pro/" TargetMode="External"/><Relationship Id="rId257" Type="http://schemas.openxmlformats.org/officeDocument/2006/relationships/hyperlink" Target="https://highfive.com/" TargetMode="External"/><Relationship Id="rId256" Type="http://schemas.openxmlformats.org/officeDocument/2006/relationships/hyperlink" Target="https://hiddenleafgames.com/" TargetMode="External"/><Relationship Id="rId255" Type="http://schemas.openxmlformats.org/officeDocument/2006/relationships/hyperlink" Target="https://heygo.com/" TargetMode="External"/><Relationship Id="rId254" Type="http://schemas.openxmlformats.org/officeDocument/2006/relationships/hyperlink" Target="https://herbeast.cn/" TargetMode="External"/><Relationship Id="rId293" Type="http://schemas.openxmlformats.org/officeDocument/2006/relationships/hyperlink" Target="https://langfuse.com/" TargetMode="External"/><Relationship Id="rId292" Type="http://schemas.openxmlformats.org/officeDocument/2006/relationships/hyperlink" Target="https://ladderlife.com/" TargetMode="External"/><Relationship Id="rId291" Type="http://schemas.openxmlformats.org/officeDocument/2006/relationships/hyperlink" Target="https://kumospace.com/" TargetMode="External"/><Relationship Id="rId290" Type="http://schemas.openxmlformats.org/officeDocument/2006/relationships/hyperlink" Target="https://kosmix.com/" TargetMode="External"/><Relationship Id="rId286" Type="http://schemas.openxmlformats.org/officeDocument/2006/relationships/hyperlink" Target="https://kikoff.com/" TargetMode="External"/><Relationship Id="rId285" Type="http://schemas.openxmlformats.org/officeDocument/2006/relationships/hyperlink" Target="https://keychain.com/" TargetMode="External"/><Relationship Id="rId284" Type="http://schemas.openxmlformats.org/officeDocument/2006/relationships/hyperlink" Target="https://kespry.com/" TargetMode="External"/><Relationship Id="rId283" Type="http://schemas.openxmlformats.org/officeDocument/2006/relationships/hyperlink" Target="https://kariusdx.com/" TargetMode="External"/><Relationship Id="rId289" Type="http://schemas.openxmlformats.org/officeDocument/2006/relationships/hyperlink" Target="https://kongregate.com/" TargetMode="External"/><Relationship Id="rId288" Type="http://schemas.openxmlformats.org/officeDocument/2006/relationships/hyperlink" Target="https://kodiak.ai/" TargetMode="External"/><Relationship Id="rId287" Type="http://schemas.openxmlformats.org/officeDocument/2006/relationships/hyperlink" Target="https://kirilys.com/" TargetMode="External"/><Relationship Id="rId282" Type="http://schemas.openxmlformats.org/officeDocument/2006/relationships/hyperlink" Target="https://kalamlabs.in/" TargetMode="External"/><Relationship Id="rId281" Type="http://schemas.openxmlformats.org/officeDocument/2006/relationships/hyperlink" Target="https://k2space.com/" TargetMode="External"/><Relationship Id="rId280" Type="http://schemas.openxmlformats.org/officeDocument/2006/relationships/hyperlink" Target="https://k-id.com/" TargetMode="External"/><Relationship Id="rId275" Type="http://schemas.openxmlformats.org/officeDocument/2006/relationships/hyperlink" Target="https://intenseye.com/" TargetMode="External"/><Relationship Id="rId274" Type="http://schemas.openxmlformats.org/officeDocument/2006/relationships/hyperlink" Target="https://innovaccer.com/" TargetMode="External"/><Relationship Id="rId273" Type="http://schemas.openxmlformats.org/officeDocument/2006/relationships/hyperlink" Target="https://informatica.com/" TargetMode="External"/><Relationship Id="rId272" Type="http://schemas.openxmlformats.org/officeDocument/2006/relationships/hyperlink" Target="https://influitive.com/" TargetMode="External"/><Relationship Id="rId279" Type="http://schemas.openxmlformats.org/officeDocument/2006/relationships/hyperlink" Target="https://jumprope.com/" TargetMode="External"/><Relationship Id="rId278" Type="http://schemas.openxmlformats.org/officeDocument/2006/relationships/hyperlink" Target="https://joopiter.com/" TargetMode="External"/><Relationship Id="rId277" Type="http://schemas.openxmlformats.org/officeDocument/2006/relationships/hyperlink" Target="https://itsgood.life/" TargetMode="External"/><Relationship Id="rId276" Type="http://schemas.openxmlformats.org/officeDocument/2006/relationships/hyperlink" Target="https://ioturbine.com/" TargetMode="External"/><Relationship Id="rId228" Type="http://schemas.openxmlformats.org/officeDocument/2006/relationships/hyperlink" Target="https://freighttiger.com/" TargetMode="External"/><Relationship Id="rId227" Type="http://schemas.openxmlformats.org/officeDocument/2006/relationships/hyperlink" Target="https://freespira.com/" TargetMode="External"/><Relationship Id="rId226" Type="http://schemas.openxmlformats.org/officeDocument/2006/relationships/hyperlink" Target="https://foxy.in/" TargetMode="External"/><Relationship Id="rId225" Type="http://schemas.openxmlformats.org/officeDocument/2006/relationships/hyperlink" Target="https://mlfoundry.com/" TargetMode="External"/><Relationship Id="rId229" Type="http://schemas.openxmlformats.org/officeDocument/2006/relationships/hyperlink" Target="https://freshmenu.com/" TargetMode="External"/><Relationship Id="rId220" Type="http://schemas.openxmlformats.org/officeDocument/2006/relationships/hyperlink" Target="https://flixster.com/" TargetMode="External"/><Relationship Id="rId224" Type="http://schemas.openxmlformats.org/officeDocument/2006/relationships/hyperlink" Target="https://fordefi.com/" TargetMode="External"/><Relationship Id="rId223" Type="http://schemas.openxmlformats.org/officeDocument/2006/relationships/hyperlink" Target="https://theforage.com/" TargetMode="External"/><Relationship Id="rId222" Type="http://schemas.openxmlformats.org/officeDocument/2006/relationships/hyperlink" Target="https://flowspecialty.com/" TargetMode="External"/><Relationship Id="rId221" Type="http://schemas.openxmlformats.org/officeDocument/2006/relationships/hyperlink" Target="https://flockjay.com/" TargetMode="External"/><Relationship Id="rId217" Type="http://schemas.openxmlformats.org/officeDocument/2006/relationships/hyperlink" Target="https://flickplay.co/" TargetMode="External"/><Relationship Id="rId216" Type="http://schemas.openxmlformats.org/officeDocument/2006/relationships/hyperlink" Target="https://fizzsocial.app/" TargetMode="External"/><Relationship Id="rId215" Type="http://schemas.openxmlformats.org/officeDocument/2006/relationships/hyperlink" Target="https://fivestars.com/" TargetMode="External"/><Relationship Id="rId214" Type="http://schemas.openxmlformats.org/officeDocument/2006/relationships/hyperlink" Target="https://fire.glass/" TargetMode="External"/><Relationship Id="rId219" Type="http://schemas.openxmlformats.org/officeDocument/2006/relationships/hyperlink" Target="https://justflip.com/" TargetMode="External"/><Relationship Id="rId218" Type="http://schemas.openxmlformats.org/officeDocument/2006/relationships/hyperlink" Target="https://miflink.com/" TargetMode="External"/><Relationship Id="rId213" Type="http://schemas.openxmlformats.org/officeDocument/2006/relationships/hyperlink" Target="https://finvgroup.com/" TargetMode="External"/><Relationship Id="rId212" Type="http://schemas.openxmlformats.org/officeDocument/2006/relationships/hyperlink" Target="https://finixpayments.com/" TargetMode="External"/><Relationship Id="rId211" Type="http://schemas.openxmlformats.org/officeDocument/2006/relationships/hyperlink" Target="https://finaloop.com/" TargetMode="External"/><Relationship Id="rId210" Type="http://schemas.openxmlformats.org/officeDocument/2006/relationships/hyperlink" Target="https://fidu.la/" TargetMode="External"/><Relationship Id="rId249" Type="http://schemas.openxmlformats.org/officeDocument/2006/relationships/hyperlink" Target="https://hasura.io/" TargetMode="External"/><Relationship Id="rId248" Type="http://schemas.openxmlformats.org/officeDocument/2006/relationships/hyperlink" Target="https://joinhandshake.com/" TargetMode="External"/><Relationship Id="rId247" Type="http://schemas.openxmlformats.org/officeDocument/2006/relationships/hyperlink" Target="https://www.gushwork.ai/" TargetMode="External"/><Relationship Id="rId242" Type="http://schemas.openxmlformats.org/officeDocument/2006/relationships/hyperlink" Target="https://goop.com/" TargetMode="External"/><Relationship Id="rId241" Type="http://schemas.openxmlformats.org/officeDocument/2006/relationships/hyperlink" Target="https://goodfire.ai/" TargetMode="External"/><Relationship Id="rId240" Type="http://schemas.openxmlformats.org/officeDocument/2006/relationships/hyperlink" Target="https://myglobalfair.com/" TargetMode="External"/><Relationship Id="rId246" Type="http://schemas.openxmlformats.org/officeDocument/2006/relationships/hyperlink" Target="https://grubhub.com/" TargetMode="External"/><Relationship Id="rId245" Type="http://schemas.openxmlformats.org/officeDocument/2006/relationships/hyperlink" Target="https://cisco.com/" TargetMode="External"/><Relationship Id="rId244" Type="http://schemas.openxmlformats.org/officeDocument/2006/relationships/hyperlink" Target="https://granola.so/" TargetMode="External"/><Relationship Id="rId243" Type="http://schemas.openxmlformats.org/officeDocument/2006/relationships/hyperlink" Target="https://grab.com/" TargetMode="External"/><Relationship Id="rId239" Type="http://schemas.openxmlformats.org/officeDocument/2006/relationships/hyperlink" Target="https://globalbees.com/" TargetMode="External"/><Relationship Id="rId238" Type="http://schemas.openxmlformats.org/officeDocument/2006/relationships/hyperlink" Target="https://girlboss.com/" TargetMode="External"/><Relationship Id="rId237" Type="http://schemas.openxmlformats.org/officeDocument/2006/relationships/hyperlink" Target="https://giphy.com/" TargetMode="External"/><Relationship Id="rId236" Type="http://schemas.openxmlformats.org/officeDocument/2006/relationships/hyperlink" Target="https://geniebook.com/" TargetMode="External"/><Relationship Id="rId231" Type="http://schemas.openxmlformats.org/officeDocument/2006/relationships/hyperlink" Target="https://frubana.com/" TargetMode="External"/><Relationship Id="rId230" Type="http://schemas.openxmlformats.org/officeDocument/2006/relationships/hyperlink" Target="https://fronterahealth.com/" TargetMode="External"/><Relationship Id="rId235" Type="http://schemas.openxmlformats.org/officeDocument/2006/relationships/hyperlink" Target="https://gardens.dev/" TargetMode="External"/><Relationship Id="rId234" Type="http://schemas.openxmlformats.org/officeDocument/2006/relationships/hyperlink" Target="https://gainsight.com/" TargetMode="External"/><Relationship Id="rId233" Type="http://schemas.openxmlformats.org/officeDocument/2006/relationships/hyperlink" Target="https://fuisionio.com/" TargetMode="External"/><Relationship Id="rId232" Type="http://schemas.openxmlformats.org/officeDocument/2006/relationships/hyperlink" Target="https://www.fullview.io/" TargetMode="External"/><Relationship Id="rId206" Type="http://schemas.openxmlformats.org/officeDocument/2006/relationships/hyperlink" Target="https://farther.com/" TargetMode="External"/><Relationship Id="rId205" Type="http://schemas.openxmlformats.org/officeDocument/2006/relationships/hyperlink" Target="https://faraway.gg/" TargetMode="External"/><Relationship Id="rId204" Type="http://schemas.openxmlformats.org/officeDocument/2006/relationships/hyperlink" Target="https://fcf.io/home" TargetMode="External"/><Relationship Id="rId203" Type="http://schemas.openxmlformats.org/officeDocument/2006/relationships/hyperlink" Target="https://falconx.io/" TargetMode="External"/><Relationship Id="rId209" Type="http://schemas.openxmlformats.org/officeDocument/2006/relationships/hyperlink" Target="https://fiddler.ai/" TargetMode="External"/><Relationship Id="rId208" Type="http://schemas.openxmlformats.org/officeDocument/2006/relationships/hyperlink" Target="https://fathomhealth.com/" TargetMode="External"/><Relationship Id="rId207" Type="http://schemas.openxmlformats.org/officeDocument/2006/relationships/hyperlink" Target="https://fashionara.com/" TargetMode="External"/><Relationship Id="rId202" Type="http://schemas.openxmlformats.org/officeDocument/2006/relationships/hyperlink" Target="https://faceu.net/" TargetMode="External"/><Relationship Id="rId201" Type="http://schemas.openxmlformats.org/officeDocument/2006/relationships/hyperlink" Target="https://ezcater.com/" TargetMode="External"/><Relationship Id="rId200" Type="http://schemas.openxmlformats.org/officeDocument/2006/relationships/hyperlink" Target="https://eyeviewdigital.com/" TargetMode="External"/><Relationship Id="rId509" Type="http://schemas.openxmlformats.org/officeDocument/2006/relationships/hyperlink" Target="https://www.triomics.com/" TargetMode="External"/><Relationship Id="rId508" Type="http://schemas.openxmlformats.org/officeDocument/2006/relationships/hyperlink" Target="https://trianabio.com/" TargetMode="External"/><Relationship Id="rId503" Type="http://schemas.openxmlformats.org/officeDocument/2006/relationships/hyperlink" Target="https://beta.tome.app/" TargetMode="External"/><Relationship Id="rId502" Type="http://schemas.openxmlformats.org/officeDocument/2006/relationships/hyperlink" Target="https://tollbit.com/" TargetMode="External"/><Relationship Id="rId501" Type="http://schemas.openxmlformats.org/officeDocument/2006/relationships/hyperlink" Target="https://thunkable.com/" TargetMode="External"/><Relationship Id="rId500" Type="http://schemas.openxmlformats.org/officeDocument/2006/relationships/hyperlink" Target="https://thetalake.com/" TargetMode="External"/><Relationship Id="rId507" Type="http://schemas.openxmlformats.org/officeDocument/2006/relationships/hyperlink" Target="https://trendsi.com/" TargetMode="External"/><Relationship Id="rId506" Type="http://schemas.openxmlformats.org/officeDocument/2006/relationships/hyperlink" Target="https://tourhero.com/" TargetMode="External"/><Relationship Id="rId505" Type="http://schemas.openxmlformats.org/officeDocument/2006/relationships/hyperlink" Target="https://toonimo.com/" TargetMode="External"/><Relationship Id="rId504" Type="http://schemas.openxmlformats.org/officeDocument/2006/relationships/hyperlink" Target="https://tonkean.com/" TargetMode="External"/><Relationship Id="rId525" Type="http://schemas.openxmlformats.org/officeDocument/2006/relationships/hyperlink" Target="https://virtualinstruments.com/" TargetMode="External"/><Relationship Id="rId524" Type="http://schemas.openxmlformats.org/officeDocument/2006/relationships/hyperlink" Target="https://sap.com/" TargetMode="External"/><Relationship Id="rId523" Type="http://schemas.openxmlformats.org/officeDocument/2006/relationships/hyperlink" Target="https://vexata.com/" TargetMode="External"/><Relationship Id="rId522" Type="http://schemas.openxmlformats.org/officeDocument/2006/relationships/hyperlink" Target="https://vestwell.com/" TargetMode="External"/><Relationship Id="rId529" Type="http://schemas.openxmlformats.org/officeDocument/2006/relationships/hyperlink" Target="https://webull.com/" TargetMode="External"/><Relationship Id="rId528" Type="http://schemas.openxmlformats.org/officeDocument/2006/relationships/hyperlink" Target="https://www.wayz.ai/" TargetMode="External"/><Relationship Id="rId527" Type="http://schemas.openxmlformats.org/officeDocument/2006/relationships/hyperlink" Target="https://voltrondata.com/" TargetMode="External"/><Relationship Id="rId526" Type="http://schemas.openxmlformats.org/officeDocument/2006/relationships/hyperlink" Target="https://www.volleythat.com/" TargetMode="External"/><Relationship Id="rId521" Type="http://schemas.openxmlformats.org/officeDocument/2006/relationships/hyperlink" Target="https://verkada.com/" TargetMode="External"/><Relationship Id="rId520" Type="http://schemas.openxmlformats.org/officeDocument/2006/relationships/hyperlink" Target="https://vegrow.in/" TargetMode="External"/><Relationship Id="rId519" Type="http://schemas.openxmlformats.org/officeDocument/2006/relationships/hyperlink" Target="https://varagesale.com/" TargetMode="External"/><Relationship Id="rId514" Type="http://schemas.openxmlformats.org/officeDocument/2006/relationships/hyperlink" Target="https://landing.ula.app/en/" TargetMode="External"/><Relationship Id="rId513" Type="http://schemas.openxmlformats.org/officeDocument/2006/relationships/hyperlink" Target="https://udaan.com/" TargetMode="External"/><Relationship Id="rId512" Type="http://schemas.openxmlformats.org/officeDocument/2006/relationships/hyperlink" Target="https://tutorvista.com/" TargetMode="External"/><Relationship Id="rId511" Type="http://schemas.openxmlformats.org/officeDocument/2006/relationships/hyperlink" Target="https://trust.co/" TargetMode="External"/><Relationship Id="rId518" Type="http://schemas.openxmlformats.org/officeDocument/2006/relationships/hyperlink" Target="https://varada.io/" TargetMode="External"/><Relationship Id="rId517" Type="http://schemas.openxmlformats.org/officeDocument/2006/relationships/hyperlink" Target="https://unstract.com/" TargetMode="External"/><Relationship Id="rId516" Type="http://schemas.openxmlformats.org/officeDocument/2006/relationships/hyperlink" Target="https://uniteddwelling.com/" TargetMode="External"/><Relationship Id="rId515" Type="http://schemas.openxmlformats.org/officeDocument/2006/relationships/hyperlink" Target="https://uni.club/" TargetMode="External"/><Relationship Id="rId510" Type="http://schemas.openxmlformats.org/officeDocument/2006/relationships/hyperlink" Target="https://tripledotstudios.com/" TargetMode="External"/><Relationship Id="rId547" Type="http://schemas.openxmlformats.org/officeDocument/2006/relationships/hyperlink" Target="https://zebec.io/" TargetMode="External"/><Relationship Id="rId546" Type="http://schemas.openxmlformats.org/officeDocument/2006/relationships/hyperlink" Target="https://tryzapp.com/" TargetMode="External"/><Relationship Id="rId545" Type="http://schemas.openxmlformats.org/officeDocument/2006/relationships/hyperlink" Target="https://yuga.com/" TargetMode="External"/><Relationship Id="rId544" Type="http://schemas.openxmlformats.org/officeDocument/2006/relationships/hyperlink" Target="https://www.go-yubi.com/" TargetMode="External"/><Relationship Id="rId549" Type="http://schemas.openxmlformats.org/officeDocument/2006/relationships/hyperlink" Target="https://zerion.io/" TargetMode="External"/><Relationship Id="rId548" Type="http://schemas.openxmlformats.org/officeDocument/2006/relationships/hyperlink" Target="https://www.zeptonow.com/" TargetMode="External"/><Relationship Id="rId543" Type="http://schemas.openxmlformats.org/officeDocument/2006/relationships/hyperlink" Target="https://www.you.co/sg/" TargetMode="External"/><Relationship Id="rId542" Type="http://schemas.openxmlformats.org/officeDocument/2006/relationships/hyperlink" Target="https://yellowmessenger.com/" TargetMode="External"/><Relationship Id="rId541" Type="http://schemas.openxmlformats.org/officeDocument/2006/relationships/hyperlink" Target="https://shopyaysay.com/" TargetMode="External"/><Relationship Id="rId540" Type="http://schemas.openxmlformats.org/officeDocument/2006/relationships/hyperlink" Target="https://xflowpay.com/" TargetMode="External"/><Relationship Id="rId536" Type="http://schemas.openxmlformats.org/officeDocument/2006/relationships/hyperlink" Target="https://workos.com/" TargetMode="External"/><Relationship Id="rId535" Type="http://schemas.openxmlformats.org/officeDocument/2006/relationships/hyperlink" Target="https://witag.co/" TargetMode="External"/><Relationship Id="rId534" Type="http://schemas.openxmlformats.org/officeDocument/2006/relationships/hyperlink" Target="https://wintermute.com/" TargetMode="External"/><Relationship Id="rId533" Type="http://schemas.openxmlformats.org/officeDocument/2006/relationships/hyperlink" Target="https://wi-charge.com/" TargetMode="External"/><Relationship Id="rId539" Type="http://schemas.openxmlformats.org/officeDocument/2006/relationships/hyperlink" Target="https://xentral.com/" TargetMode="External"/><Relationship Id="rId538" Type="http://schemas.openxmlformats.org/officeDocument/2006/relationships/hyperlink" Target="https://xembly.com/" TargetMode="External"/><Relationship Id="rId537" Type="http://schemas.openxmlformats.org/officeDocument/2006/relationships/hyperlink" Target="https://xaira.com/" TargetMode="External"/><Relationship Id="rId532" Type="http://schemas.openxmlformats.org/officeDocument/2006/relationships/hyperlink" Target="https://wheelocity.com/" TargetMode="External"/><Relationship Id="rId531" Type="http://schemas.openxmlformats.org/officeDocument/2006/relationships/hyperlink" Target="https://whatnot.com/" TargetMode="External"/><Relationship Id="rId530" Type="http://schemas.openxmlformats.org/officeDocument/2006/relationships/hyperlink" Target="https://sayweee.com/" TargetMode="External"/><Relationship Id="rId557" Type="http://schemas.openxmlformats.org/officeDocument/2006/relationships/drawing" Target="../drawings/drawing9.xml"/><Relationship Id="rId556" Type="http://schemas.openxmlformats.org/officeDocument/2006/relationships/hyperlink" Target="https://zyod.com/" TargetMode="External"/><Relationship Id="rId555" Type="http://schemas.openxmlformats.org/officeDocument/2006/relationships/hyperlink" Target="https://zscaler.com/" TargetMode="External"/><Relationship Id="rId550" Type="http://schemas.openxmlformats.org/officeDocument/2006/relationships/hyperlink" Target="https://zest.ai/" TargetMode="External"/><Relationship Id="rId554" Type="http://schemas.openxmlformats.org/officeDocument/2006/relationships/hyperlink" Target="https://zolve.com/" TargetMode="External"/><Relationship Id="rId553" Type="http://schemas.openxmlformats.org/officeDocument/2006/relationships/hyperlink" Target="https://www.zluri.com/" TargetMode="External"/><Relationship Id="rId552" Type="http://schemas.openxmlformats.org/officeDocument/2006/relationships/hyperlink" Target="https://zipstack.com/" TargetMode="External"/><Relationship Id="rId551" Type="http://schemas.openxmlformats.org/officeDocument/2006/relationships/hyperlink" Target="https://zetwerk.com/" TargetMode="External"/><Relationship Id="rId495" Type="http://schemas.openxmlformats.org/officeDocument/2006/relationships/hyperlink" Target="https://honest.com/" TargetMode="External"/><Relationship Id="rId494" Type="http://schemas.openxmlformats.org/officeDocument/2006/relationships/hyperlink" Target="https://testim.io/" TargetMode="External"/><Relationship Id="rId493" Type="http://schemas.openxmlformats.org/officeDocument/2006/relationships/hyperlink" Target="https://tessell.com/" TargetMode="External"/><Relationship Id="rId492" Type="http://schemas.openxmlformats.org/officeDocument/2006/relationships/hyperlink" Target="https://terminal.io/" TargetMode="External"/><Relationship Id="rId499" Type="http://schemas.openxmlformats.org/officeDocument/2006/relationships/hyperlink" Target="https://theranica.com/" TargetMode="External"/><Relationship Id="rId498" Type="http://schemas.openxmlformats.org/officeDocument/2006/relationships/hyperlink" Target="https://www.thena.ai/" TargetMode="External"/><Relationship Id="rId497" Type="http://schemas.openxmlformats.org/officeDocument/2006/relationships/hyperlink" Target="https://nudgetext.com/" TargetMode="External"/><Relationship Id="rId496" Type="http://schemas.openxmlformats.org/officeDocument/2006/relationships/hyperlink" Target="https://thehouseoflrc.com/" TargetMode="External"/><Relationship Id="rId409" Type="http://schemas.openxmlformats.org/officeDocument/2006/relationships/hyperlink" Target="https://www.qure.ai/" TargetMode="External"/><Relationship Id="rId404" Type="http://schemas.openxmlformats.org/officeDocument/2006/relationships/hyperlink" Target="https://alphonsolabs.com/" TargetMode="External"/><Relationship Id="rId403" Type="http://schemas.openxmlformats.org/officeDocument/2006/relationships/hyperlink" Target="https://workboard.com/okrs/" TargetMode="External"/><Relationship Id="rId402" Type="http://schemas.openxmlformats.org/officeDocument/2006/relationships/hyperlink" Target="https://propertyshare.in/" TargetMode="External"/><Relationship Id="rId401" Type="http://schemas.openxmlformats.org/officeDocument/2006/relationships/hyperlink" Target="https://projectdiscovery.io/" TargetMode="External"/><Relationship Id="rId408" Type="http://schemas.openxmlformats.org/officeDocument/2006/relationships/hyperlink" Target="https://qubole.com/" TargetMode="External"/><Relationship Id="rId407" Type="http://schemas.openxmlformats.org/officeDocument/2006/relationships/hyperlink" Target="https://quantumscape.com/" TargetMode="External"/><Relationship Id="rId406" Type="http://schemas.openxmlformats.org/officeDocument/2006/relationships/hyperlink" Target="https://pmc-sierra.com/" TargetMode="External"/><Relationship Id="rId405" Type="http://schemas.openxmlformats.org/officeDocument/2006/relationships/hyperlink" Target="https://pushpinsapp.com/" TargetMode="External"/><Relationship Id="rId400" Type="http://schemas.openxmlformats.org/officeDocument/2006/relationships/hyperlink" Target="https://predicthq.com/" TargetMode="External"/><Relationship Id="rId469" Type="http://schemas.openxmlformats.org/officeDocument/2006/relationships/hyperlink" Target="https://starfieldcn.com/" TargetMode="External"/><Relationship Id="rId468" Type="http://schemas.openxmlformats.org/officeDocument/2006/relationships/hyperlink" Target="https://staranalytics.com/" TargetMode="External"/><Relationship Id="rId467" Type="http://schemas.openxmlformats.org/officeDocument/2006/relationships/hyperlink" Target="https://standard-robots.com/" TargetMode="External"/><Relationship Id="rId462" Type="http://schemas.openxmlformats.org/officeDocument/2006/relationships/hyperlink" Target="https://www.solarsquare.in/" TargetMode="External"/><Relationship Id="rId461" Type="http://schemas.openxmlformats.org/officeDocument/2006/relationships/hyperlink" Target="https://solaredge.com/" TargetMode="External"/><Relationship Id="rId460" Type="http://schemas.openxmlformats.org/officeDocument/2006/relationships/hyperlink" Target="https://solana.com/" TargetMode="External"/><Relationship Id="rId466" Type="http://schemas.openxmlformats.org/officeDocument/2006/relationships/hyperlink" Target="https://stablemoney.in/" TargetMode="External"/><Relationship Id="rId465" Type="http://schemas.openxmlformats.org/officeDocument/2006/relationships/hyperlink" Target="https://stability.ai/" TargetMode="External"/><Relationship Id="rId464" Type="http://schemas.openxmlformats.org/officeDocument/2006/relationships/hyperlink" Target="https://split.io/" TargetMode="External"/><Relationship Id="rId463" Type="http://schemas.openxmlformats.org/officeDocument/2006/relationships/hyperlink" Target="https://spiff.com/" TargetMode="External"/><Relationship Id="rId459" Type="http://schemas.openxmlformats.org/officeDocument/2006/relationships/hyperlink" Target="https://sodahealth.com/" TargetMode="External"/><Relationship Id="rId458" Type="http://schemas.openxmlformats.org/officeDocument/2006/relationships/hyperlink" Target="https://soba.xyz/" TargetMode="External"/><Relationship Id="rId457" Type="http://schemas.openxmlformats.org/officeDocument/2006/relationships/hyperlink" Target="https://snaproute.com/" TargetMode="External"/><Relationship Id="rId456" Type="http://schemas.openxmlformats.org/officeDocument/2006/relationships/hyperlink" Target="https://smartex.ai/" TargetMode="External"/><Relationship Id="rId451" Type="http://schemas.openxmlformats.org/officeDocument/2006/relationships/hyperlink" Target="https://shortwave.com/" TargetMode="External"/><Relationship Id="rId450" Type="http://schemas.openxmlformats.org/officeDocument/2006/relationships/hyperlink" Target="https://shoedazzle.com/" TargetMode="External"/><Relationship Id="rId455" Type="http://schemas.openxmlformats.org/officeDocument/2006/relationships/hyperlink" Target="https://slice.com/" TargetMode="External"/><Relationship Id="rId454" Type="http://schemas.openxmlformats.org/officeDocument/2006/relationships/hyperlink" Target="https://skyfire.com/" TargetMode="External"/><Relationship Id="rId453" Type="http://schemas.openxmlformats.org/officeDocument/2006/relationships/hyperlink" Target="https://skild.com/" TargetMode="External"/><Relationship Id="rId452" Type="http://schemas.openxmlformats.org/officeDocument/2006/relationships/hyperlink" Target="https://sycamorenet.com/" TargetMode="External"/><Relationship Id="rId491" Type="http://schemas.openxmlformats.org/officeDocument/2006/relationships/hyperlink" Target="https://tennr.com/" TargetMode="External"/><Relationship Id="rId490" Type="http://schemas.openxmlformats.org/officeDocument/2006/relationships/hyperlink" Target="https://ti.com/" TargetMode="External"/><Relationship Id="rId489" Type="http://schemas.openxmlformats.org/officeDocument/2006/relationships/hyperlink" Target="https://telegram.org/" TargetMode="External"/><Relationship Id="rId484" Type="http://schemas.openxmlformats.org/officeDocument/2006/relationships/hyperlink" Target="https://talon-sec.com/" TargetMode="External"/><Relationship Id="rId483" Type="http://schemas.openxmlformats.org/officeDocument/2006/relationships/hyperlink" Target="https://tabs.inc/" TargetMode="External"/><Relationship Id="rId482" Type="http://schemas.openxmlformats.org/officeDocument/2006/relationships/hyperlink" Target="https://table22.com/" TargetMode="External"/><Relationship Id="rId481" Type="http://schemas.openxmlformats.org/officeDocument/2006/relationships/hyperlink" Target="https://synctera.com/" TargetMode="External"/><Relationship Id="rId488" Type="http://schemas.openxmlformats.org/officeDocument/2006/relationships/hyperlink" Target="https://teads.tv/" TargetMode="External"/><Relationship Id="rId487" Type="http://schemas.openxmlformats.org/officeDocument/2006/relationships/hyperlink" Target="https://teachmint.com/" TargetMode="External"/><Relationship Id="rId486" Type="http://schemas.openxmlformats.org/officeDocument/2006/relationships/hyperlink" Target="https://taskrabbit.com/" TargetMode="External"/><Relationship Id="rId485" Type="http://schemas.openxmlformats.org/officeDocument/2006/relationships/hyperlink" Target="https://tana.inc/" TargetMode="External"/><Relationship Id="rId480" Type="http://schemas.openxmlformats.org/officeDocument/2006/relationships/hyperlink" Target="https://gosupercritical.com/" TargetMode="External"/><Relationship Id="rId479" Type="http://schemas.openxmlformats.org/officeDocument/2006/relationships/hyperlink" Target="https://supabase.com/" TargetMode="External"/><Relationship Id="rId478" Type="http://schemas.openxmlformats.org/officeDocument/2006/relationships/hyperlink" Target="https://suno.com/" TargetMode="External"/><Relationship Id="rId473" Type="http://schemas.openxmlformats.org/officeDocument/2006/relationships/hyperlink" Target="https://streamonce.com/" TargetMode="External"/><Relationship Id="rId472" Type="http://schemas.openxmlformats.org/officeDocument/2006/relationships/hyperlink" Target="https://streaml.io/" TargetMode="External"/><Relationship Id="rId471" Type="http://schemas.openxmlformats.org/officeDocument/2006/relationships/hyperlink" Target="https://storicard.com/" TargetMode="External"/><Relationship Id="rId470" Type="http://schemas.openxmlformats.org/officeDocument/2006/relationships/hyperlink" Target="https://stickies.wtf/" TargetMode="External"/><Relationship Id="rId477" Type="http://schemas.openxmlformats.org/officeDocument/2006/relationships/hyperlink" Target="https://sunmi.com/" TargetMode="External"/><Relationship Id="rId476" Type="http://schemas.openxmlformats.org/officeDocument/2006/relationships/hyperlink" Target="https://gosummer.com/" TargetMode="External"/><Relationship Id="rId475" Type="http://schemas.openxmlformats.org/officeDocument/2006/relationships/hyperlink" Target="https://substrate.run/" TargetMode="External"/><Relationship Id="rId474" Type="http://schemas.openxmlformats.org/officeDocument/2006/relationships/hyperlink" Target="https://styleseat.com/" TargetMode="External"/><Relationship Id="rId426" Type="http://schemas.openxmlformats.org/officeDocument/2006/relationships/hyperlink" Target="https://rothys.com/" TargetMode="External"/><Relationship Id="rId425" Type="http://schemas.openxmlformats.org/officeDocument/2006/relationships/hyperlink" Target="https://roofstock.com/" TargetMode="External"/><Relationship Id="rId424" Type="http://schemas.openxmlformats.org/officeDocument/2006/relationships/hyperlink" Target="https://roofstock.com/" TargetMode="External"/><Relationship Id="rId423" Type="http://schemas.openxmlformats.org/officeDocument/2006/relationships/hyperlink" Target="https://robco.de/" TargetMode="External"/><Relationship Id="rId429" Type="http://schemas.openxmlformats.org/officeDocument/2006/relationships/hyperlink" Target="https://salto.io/" TargetMode="External"/><Relationship Id="rId428" Type="http://schemas.openxmlformats.org/officeDocument/2006/relationships/hyperlink" Target="https://sailpoint.com/" TargetMode="External"/><Relationship Id="rId427" Type="http://schemas.openxmlformats.org/officeDocument/2006/relationships/hyperlink" Target="https://runway.com/" TargetMode="External"/><Relationship Id="rId422" Type="http://schemas.openxmlformats.org/officeDocument/2006/relationships/hyperlink" Target="https://riverbed.com/" TargetMode="External"/><Relationship Id="rId421" Type="http://schemas.openxmlformats.org/officeDocument/2006/relationships/hyperlink" Target="https://rippling.com/" TargetMode="External"/><Relationship Id="rId420" Type="http://schemas.openxmlformats.org/officeDocument/2006/relationships/hyperlink" Target="https://ripple.com/" TargetMode="External"/><Relationship Id="rId415" Type="http://schemas.openxmlformats.org/officeDocument/2006/relationships/hyperlink" Target="https://recordgram.com/" TargetMode="External"/><Relationship Id="rId414" Type="http://schemas.openxmlformats.org/officeDocument/2006/relationships/hyperlink" Target="https://join-real.com/" TargetMode="External"/><Relationship Id="rId413" Type="http://schemas.openxmlformats.org/officeDocument/2006/relationships/hyperlink" Target="https://razorpay.com/" TargetMode="External"/><Relationship Id="rId412" Type="http://schemas.openxmlformats.org/officeDocument/2006/relationships/hyperlink" Target="https://gorattle.com/" TargetMode="External"/><Relationship Id="rId419" Type="http://schemas.openxmlformats.org/officeDocument/2006/relationships/hyperlink" Target="https://rephrase.ai/" TargetMode="External"/><Relationship Id="rId418" Type="http://schemas.openxmlformats.org/officeDocument/2006/relationships/hyperlink" Target="https://reliable.co/" TargetMode="External"/><Relationship Id="rId417" Type="http://schemas.openxmlformats.org/officeDocument/2006/relationships/hyperlink" Target="https://reflektive.com/" TargetMode="External"/><Relationship Id="rId416" Type="http://schemas.openxmlformats.org/officeDocument/2006/relationships/hyperlink" Target="https://redpanda.com/" TargetMode="External"/><Relationship Id="rId411" Type="http://schemas.openxmlformats.org/officeDocument/2006/relationships/hyperlink" Target="https://rapsphere.com/" TargetMode="External"/><Relationship Id="rId410" Type="http://schemas.openxmlformats.org/officeDocument/2006/relationships/hyperlink" Target="https://radiantsecurity.ai/" TargetMode="External"/><Relationship Id="rId448" Type="http://schemas.openxmlformats.org/officeDocument/2006/relationships/hyperlink" Target="https://shipper.id/" TargetMode="External"/><Relationship Id="rId447" Type="http://schemas.openxmlformats.org/officeDocument/2006/relationships/hyperlink" Target="https://sharechat.com/" TargetMode="External"/><Relationship Id="rId446" Type="http://schemas.openxmlformats.org/officeDocument/2006/relationships/hyperlink" Target="https://platform.shapes.inc/" TargetMode="External"/><Relationship Id="rId445" Type="http://schemas.openxmlformats.org/officeDocument/2006/relationships/hyperlink" Target="https://seventhspark.com/" TargetMode="External"/><Relationship Id="rId449" Type="http://schemas.openxmlformats.org/officeDocument/2006/relationships/hyperlink" Target="https://shivalikbank.com/" TargetMode="External"/><Relationship Id="rId440" Type="http://schemas.openxmlformats.org/officeDocument/2006/relationships/hyperlink" Target="https://selectstar.com/" TargetMode="External"/><Relationship Id="rId444" Type="http://schemas.openxmlformats.org/officeDocument/2006/relationships/hyperlink" Target="https://setu.co/" TargetMode="External"/><Relationship Id="rId443" Type="http://schemas.openxmlformats.org/officeDocument/2006/relationships/hyperlink" Target="https://serverless.com/" TargetMode="External"/><Relationship Id="rId442" Type="http://schemas.openxmlformats.org/officeDocument/2006/relationships/hyperlink" Target="https://sentio.xyz/" TargetMode="External"/><Relationship Id="rId441" Type="http://schemas.openxmlformats.org/officeDocument/2006/relationships/hyperlink" Target="https://semgrep.dev/" TargetMode="External"/><Relationship Id="rId437" Type="http://schemas.openxmlformats.org/officeDocument/2006/relationships/hyperlink" Target="https://seel.com/" TargetMode="External"/><Relationship Id="rId436" Type="http://schemas.openxmlformats.org/officeDocument/2006/relationships/hyperlink" Target="https://scrut.io/" TargetMode="External"/><Relationship Id="rId435" Type="http://schemas.openxmlformats.org/officeDocument/2006/relationships/hyperlink" Target="https://scorpiontx.vom/" TargetMode="External"/><Relationship Id="rId434" Type="http://schemas.openxmlformats.org/officeDocument/2006/relationships/hyperlink" Target="https://scodix.com/" TargetMode="External"/><Relationship Id="rId439" Type="http://schemas.openxmlformats.org/officeDocument/2006/relationships/hyperlink" Target="https://seismictx.com/" TargetMode="External"/><Relationship Id="rId438" Type="http://schemas.openxmlformats.org/officeDocument/2006/relationships/hyperlink" Target="https://seismictx.com/" TargetMode="External"/><Relationship Id="rId433" Type="http://schemas.openxmlformats.org/officeDocument/2006/relationships/hyperlink" Target="https://scaleops.com/" TargetMode="External"/><Relationship Id="rId432" Type="http://schemas.openxmlformats.org/officeDocument/2006/relationships/hyperlink" Target="https://satellite.bio/" TargetMode="External"/><Relationship Id="rId431" Type="http://schemas.openxmlformats.org/officeDocument/2006/relationships/hyperlink" Target="https://www.sarvam.ai/" TargetMode="External"/><Relationship Id="rId430" Type="http://schemas.openxmlformats.org/officeDocument/2006/relationships/hyperlink" Target="https://saronic.com/" TargetMode="External"/><Relationship Id="rId1" Type="http://schemas.openxmlformats.org/officeDocument/2006/relationships/hyperlink" Target="https://affirm.com/" TargetMode="External"/><Relationship Id="rId2" Type="http://schemas.openxmlformats.org/officeDocument/2006/relationships/hyperlink" Target="https://alloy.com/" TargetMode="External"/><Relationship Id="rId3" Type="http://schemas.openxmlformats.org/officeDocument/2006/relationships/hyperlink" Target="https://appdynamics.com/" TargetMode="External"/><Relationship Id="rId4" Type="http://schemas.openxmlformats.org/officeDocument/2006/relationships/hyperlink" Target="https://aquasec.com/" TargetMode="External"/><Relationship Id="rId9" Type="http://schemas.openxmlformats.org/officeDocument/2006/relationships/hyperlink" Target="https://carta.com/" TargetMode="External"/><Relationship Id="rId5" Type="http://schemas.openxmlformats.org/officeDocument/2006/relationships/hyperlink" Target="https://arcticwolf.com/" TargetMode="External"/><Relationship Id="rId6" Type="http://schemas.openxmlformats.org/officeDocument/2006/relationships/hyperlink" Target="https://axonius.com/" TargetMode="External"/><Relationship Id="rId7" Type="http://schemas.openxmlformats.org/officeDocument/2006/relationships/hyperlink" Target="https://believer.gg/" TargetMode="External"/><Relationship Id="rId8" Type="http://schemas.openxmlformats.org/officeDocument/2006/relationships/hyperlink" Target="https://betterup.co/" TargetMode="External"/><Relationship Id="rId190" Type="http://schemas.openxmlformats.org/officeDocument/2006/relationships/hyperlink" Target="https://epsagon.com/" TargetMode="External"/><Relationship Id="rId194" Type="http://schemas.openxmlformats.org/officeDocument/2006/relationships/hyperlink" Target="https://evenuplaw.com/" TargetMode="External"/><Relationship Id="rId193" Type="http://schemas.openxmlformats.org/officeDocument/2006/relationships/hyperlink" Target="https://eve.com/" TargetMode="External"/><Relationship Id="rId192" Type="http://schemas.openxmlformats.org/officeDocument/2006/relationships/hyperlink" Target="http://eve.com" TargetMode="External"/><Relationship Id="rId191" Type="http://schemas.openxmlformats.org/officeDocument/2006/relationships/hyperlink" Target="https://eve.legal/" TargetMode="External"/><Relationship Id="rId187" Type="http://schemas.openxmlformats.org/officeDocument/2006/relationships/hyperlink" Target="https://ensilo.com/" TargetMode="External"/><Relationship Id="rId186" Type="http://schemas.openxmlformats.org/officeDocument/2006/relationships/hyperlink" Target="https://enlazatx.com/" TargetMode="External"/><Relationship Id="rId185" Type="http://schemas.openxmlformats.org/officeDocument/2006/relationships/hyperlink" Target="https://endowus.com/" TargetMode="External"/><Relationship Id="rId184" Type="http://schemas.openxmlformats.org/officeDocument/2006/relationships/hyperlink" Target="https://enable.com/" TargetMode="External"/><Relationship Id="rId189" Type="http://schemas.openxmlformats.org/officeDocument/2006/relationships/hyperlink" Target="https://epropulsion.cn/" TargetMode="External"/><Relationship Id="rId188" Type="http://schemas.openxmlformats.org/officeDocument/2006/relationships/hyperlink" Target="https://eon.io/" TargetMode="External"/><Relationship Id="rId183" Type="http://schemas.openxmlformats.org/officeDocument/2006/relationships/hyperlink" Target="https://elementum.com/" TargetMode="External"/><Relationship Id="rId182" Type="http://schemas.openxmlformats.org/officeDocument/2006/relationships/hyperlink" Target="https://elementor.com/" TargetMode="External"/><Relationship Id="rId181" Type="http://schemas.openxmlformats.org/officeDocument/2006/relationships/hyperlink" Target="https://elastifile.com/" TargetMode="External"/><Relationship Id="rId180" Type="http://schemas.openxmlformats.org/officeDocument/2006/relationships/hyperlink" Target="https://ehealthinsurance.com/" TargetMode="External"/><Relationship Id="rId176" Type="http://schemas.openxmlformats.org/officeDocument/2006/relationships/hyperlink" Target="https://www.dpanda.in/" TargetMode="External"/><Relationship Id="rId175" Type="http://schemas.openxmlformats.org/officeDocument/2006/relationships/hyperlink" Target="https://doubleclick.com/" TargetMode="External"/><Relationship Id="rId174" Type="http://schemas.openxmlformats.org/officeDocument/2006/relationships/hyperlink" Target="https://docker.com/" TargetMode="External"/><Relationship Id="rId173" Type="http://schemas.openxmlformats.org/officeDocument/2006/relationships/hyperlink" Target="https://distyl.ai/" TargetMode="External"/><Relationship Id="rId179" Type="http://schemas.openxmlformats.org/officeDocument/2006/relationships/hyperlink" Target="https://edgespring.com/" TargetMode="External"/><Relationship Id="rId178" Type="http://schemas.openxmlformats.org/officeDocument/2006/relationships/hyperlink" Target="https://eco.com/" TargetMode="External"/><Relationship Id="rId177" Type="http://schemas.openxmlformats.org/officeDocument/2006/relationships/hyperlink" Target="https://dremio.com/" TargetMode="External"/><Relationship Id="rId198" Type="http://schemas.openxmlformats.org/officeDocument/2006/relationships/hyperlink" Target="https://exabeam.com/" TargetMode="External"/><Relationship Id="rId197" Type="http://schemas.openxmlformats.org/officeDocument/2006/relationships/hyperlink" Target="https://exa.ai/" TargetMode="External"/><Relationship Id="rId196" Type="http://schemas.openxmlformats.org/officeDocument/2006/relationships/hyperlink" Target="https://everyrealm.com/" TargetMode="External"/><Relationship Id="rId195" Type="http://schemas.openxmlformats.org/officeDocument/2006/relationships/hyperlink" Target="https://everstring.com/" TargetMode="External"/><Relationship Id="rId199" Type="http://schemas.openxmlformats.org/officeDocument/2006/relationships/hyperlink" Target="https://exponent.energy/" TargetMode="External"/><Relationship Id="rId150" Type="http://schemas.openxmlformats.org/officeDocument/2006/relationships/hyperlink" Target="https://clutch.security/" TargetMode="External"/><Relationship Id="rId149" Type="http://schemas.openxmlformats.org/officeDocument/2006/relationships/hyperlink" Target="https://cloudbees.com/" TargetMode="External"/><Relationship Id="rId148" Type="http://schemas.openxmlformats.org/officeDocument/2006/relationships/hyperlink" Target="https://clickhouse.com/" TargetMode="External"/><Relationship Id="rId143" Type="http://schemas.openxmlformats.org/officeDocument/2006/relationships/hyperlink" Target="https://chaoslabs.xyz/" TargetMode="External"/><Relationship Id="rId142" Type="http://schemas.openxmlformats.org/officeDocument/2006/relationships/hyperlink" Target="https://chainguard.dev/" TargetMode="External"/><Relationship Id="rId141" Type="http://schemas.openxmlformats.org/officeDocument/2006/relationships/hyperlink" Target="https://certik.com/" TargetMode="External"/><Relationship Id="rId140" Type="http://schemas.openxmlformats.org/officeDocument/2006/relationships/hyperlink" Target="https://centricity.co.in/" TargetMode="External"/><Relationship Id="rId147" Type="http://schemas.openxmlformats.org/officeDocument/2006/relationships/hyperlink" Target="https://www.cleanliquor.com/" TargetMode="External"/><Relationship Id="rId146" Type="http://schemas.openxmlformats.org/officeDocument/2006/relationships/hyperlink" Target="https://pota.hiclark.com/" TargetMode="External"/><Relationship Id="rId145" Type="http://schemas.openxmlformats.org/officeDocument/2006/relationships/hyperlink" Target="https://dronecitadel.com/" TargetMode="External"/><Relationship Id="rId144" Type="http://schemas.openxmlformats.org/officeDocument/2006/relationships/hyperlink" Target="https://ciena.com/" TargetMode="External"/><Relationship Id="rId139" Type="http://schemas.openxmlformats.org/officeDocument/2006/relationships/hyperlink" Target="https://celona.io/" TargetMode="External"/><Relationship Id="rId138" Type="http://schemas.openxmlformats.org/officeDocument/2006/relationships/hyperlink" Target="https://celequest.com/" TargetMode="External"/><Relationship Id="rId137" Type="http://schemas.openxmlformats.org/officeDocument/2006/relationships/hyperlink" Target="https://cartesia.ai/" TargetMode="External"/><Relationship Id="rId132" Type="http://schemas.openxmlformats.org/officeDocument/2006/relationships/hyperlink" Target="https://byjus.com/" TargetMode="External"/><Relationship Id="rId131" Type="http://schemas.openxmlformats.org/officeDocument/2006/relationships/hyperlink" Target="https://buildots.com/" TargetMode="External"/><Relationship Id="rId130" Type="http://schemas.openxmlformats.org/officeDocument/2006/relationships/hyperlink" Target="https://buildingconnected.com/" TargetMode="External"/><Relationship Id="rId136" Type="http://schemas.openxmlformats.org/officeDocument/2006/relationships/hyperlink" Target="https://candis.io/" TargetMode="External"/><Relationship Id="rId135" Type="http://schemas.openxmlformats.org/officeDocument/2006/relationships/hyperlink" Target="https://cameo.com/" TargetMode="External"/><Relationship Id="rId134" Type="http://schemas.openxmlformats.org/officeDocument/2006/relationships/hyperlink" Target="https://calm.com/" TargetMode="External"/><Relationship Id="rId133" Type="http://schemas.openxmlformats.org/officeDocument/2006/relationships/hyperlink" Target="https://calistatechnologies.com/" TargetMode="External"/><Relationship Id="rId172" Type="http://schemas.openxmlformats.org/officeDocument/2006/relationships/hyperlink" Target="https://descope.com/" TargetMode="External"/><Relationship Id="rId171" Type="http://schemas.openxmlformats.org/officeDocument/2006/relationships/hyperlink" Target="https://delphix.com/" TargetMode="External"/><Relationship Id="rId170" Type="http://schemas.openxmlformats.org/officeDocument/2006/relationships/hyperlink" Target="https://daybreakhealth.com/" TargetMode="External"/><Relationship Id="rId165" Type="http://schemas.openxmlformats.org/officeDocument/2006/relationships/hyperlink" Target="https://datafleets.com/" TargetMode="External"/><Relationship Id="rId164" Type="http://schemas.openxmlformats.org/officeDocument/2006/relationships/hyperlink" Target="https://databricks.com/" TargetMode="External"/><Relationship Id="rId163" Type="http://schemas.openxmlformats.org/officeDocument/2006/relationships/hyperlink" Target="https://darwinbox.com/" TargetMode="External"/><Relationship Id="rId162" Type="http://schemas.openxmlformats.org/officeDocument/2006/relationships/hyperlink" Target="https://d2g-oncology.com/" TargetMode="External"/><Relationship Id="rId169" Type="http://schemas.openxmlformats.org/officeDocument/2006/relationships/hyperlink" Target="https://www.datrium.com/" TargetMode="External"/><Relationship Id="rId168" Type="http://schemas.openxmlformats.org/officeDocument/2006/relationships/hyperlink" Target="https://datos.io/" TargetMode="External"/><Relationship Id="rId167" Type="http://schemas.openxmlformats.org/officeDocument/2006/relationships/hyperlink" Target="https://datorama.com/" TargetMode="External"/><Relationship Id="rId166" Type="http://schemas.openxmlformats.org/officeDocument/2006/relationships/hyperlink" Target="https://datastax.com/" TargetMode="External"/><Relationship Id="rId161" Type="http://schemas.openxmlformats.org/officeDocument/2006/relationships/hyperlink" Target="https://cycognito.com/" TargetMode="External"/><Relationship Id="rId160" Type="http://schemas.openxmlformats.org/officeDocument/2006/relationships/hyperlink" Target="https://curvehealth.com/" TargetMode="External"/><Relationship Id="rId159" Type="http://schemas.openxmlformats.org/officeDocument/2006/relationships/hyperlink" Target="https://cuein.ai/" TargetMode="External"/><Relationship Id="rId154" Type="http://schemas.openxmlformats.org/officeDocument/2006/relationships/hyperlink" Target="https://comprehend.com/" TargetMode="External"/><Relationship Id="rId153" Type="http://schemas.openxmlformats.org/officeDocument/2006/relationships/hyperlink" Target="https://communitylabs.com/" TargetMode="External"/><Relationship Id="rId152" Type="http://schemas.openxmlformats.org/officeDocument/2006/relationships/hyperlink" Target="https://commando.dev/" TargetMode="External"/><Relationship Id="rId151" Type="http://schemas.openxmlformats.org/officeDocument/2006/relationships/hyperlink" Target="https://cohere-technologies.com/" TargetMode="External"/><Relationship Id="rId158" Type="http://schemas.openxmlformats.org/officeDocument/2006/relationships/hyperlink" Target="https://superfanapp.com/" TargetMode="External"/><Relationship Id="rId157" Type="http://schemas.openxmlformats.org/officeDocument/2006/relationships/hyperlink" Target="https://craftsvilla.com/" TargetMode="External"/><Relationship Id="rId156" Type="http://schemas.openxmlformats.org/officeDocument/2006/relationships/hyperlink" Target="https://cosmart.id/" TargetMode="External"/><Relationship Id="rId155" Type="http://schemas.openxmlformats.org/officeDocument/2006/relationships/hyperlink" Target="https://www.confluera.com/" TargetMode="External"/><Relationship Id="rId107" Type="http://schemas.openxmlformats.org/officeDocument/2006/relationships/hyperlink" Target="https://bettylabs.io/" TargetMode="External"/><Relationship Id="rId106" Type="http://schemas.openxmlformats.org/officeDocument/2006/relationships/hyperlink" Target="https://betdex.com/" TargetMode="External"/><Relationship Id="rId105" Type="http://schemas.openxmlformats.org/officeDocument/2006/relationships/hyperlink" Target="https://betawm.com/" TargetMode="External"/><Relationship Id="rId104" Type="http://schemas.openxmlformats.org/officeDocument/2006/relationships/hyperlink" Target="https://ourberry.io/" TargetMode="External"/><Relationship Id="rId109" Type="http://schemas.openxmlformats.org/officeDocument/2006/relationships/hyperlink" Target="https://bhanzu.com/" TargetMode="External"/><Relationship Id="rId108" Type="http://schemas.openxmlformats.org/officeDocument/2006/relationships/hyperlink" Target="https://emversity.com/" TargetMode="External"/><Relationship Id="rId103" Type="http://schemas.openxmlformats.org/officeDocument/2006/relationships/hyperlink" Target="https://beme.com/" TargetMode="External"/><Relationship Id="rId102" Type="http://schemas.openxmlformats.org/officeDocument/2006/relationships/hyperlink" Target="https://beek.io/en" TargetMode="External"/><Relationship Id="rId101" Type="http://schemas.openxmlformats.org/officeDocument/2006/relationships/hyperlink" Target="https://beehiiv.com/" TargetMode="External"/><Relationship Id="rId100" Type="http://schemas.openxmlformats.org/officeDocument/2006/relationships/hyperlink" Target="https://barefootnetworks.com/" TargetMode="External"/><Relationship Id="rId129" Type="http://schemas.openxmlformats.org/officeDocument/2006/relationships/hyperlink" Target="https://btcchina.com/" TargetMode="External"/><Relationship Id="rId128" Type="http://schemas.openxmlformats.org/officeDocument/2006/relationships/hyperlink" Target="https://bromium.com/" TargetMode="External"/><Relationship Id="rId127" Type="http://schemas.openxmlformats.org/officeDocument/2006/relationships/hyperlink" Target="https://brocade.com/" TargetMode="External"/><Relationship Id="rId126" Type="http://schemas.openxmlformats.org/officeDocument/2006/relationships/hyperlink" Target="https://brigit.com/" TargetMode="External"/><Relationship Id="rId121" Type="http://schemas.openxmlformats.org/officeDocument/2006/relationships/hyperlink" Target="https://bluepha.com/" TargetMode="External"/><Relationship Id="rId120" Type="http://schemas.openxmlformats.org/officeDocument/2006/relationships/hyperlink" Target="https://bluebirds.com/" TargetMode="External"/><Relationship Id="rId125" Type="http://schemas.openxmlformats.org/officeDocument/2006/relationships/hyperlink" Target="https://bonobos.com/" TargetMode="External"/><Relationship Id="rId124" Type="http://schemas.openxmlformats.org/officeDocument/2006/relationships/hyperlink" Target="https://joinbonnet.com/" TargetMode="External"/><Relationship Id="rId123" Type="http://schemas.openxmlformats.org/officeDocument/2006/relationships/hyperlink" Target="https://bmser.com/" TargetMode="External"/><Relationship Id="rId122" Type="http://schemas.openxmlformats.org/officeDocument/2006/relationships/hyperlink" Target="https://bluevine.com/" TargetMode="External"/><Relationship Id="rId118" Type="http://schemas.openxmlformats.org/officeDocument/2006/relationships/hyperlink" Target="https://bloomreach.com/" TargetMode="External"/><Relationship Id="rId117" Type="http://schemas.openxmlformats.org/officeDocument/2006/relationships/hyperlink" Target="https://blockchain.com/" TargetMode="External"/><Relationship Id="rId116" Type="http://schemas.openxmlformats.org/officeDocument/2006/relationships/hyperlink" Target="https://blinkops.com/" TargetMode="External"/><Relationship Id="rId115" Type="http://schemas.openxmlformats.org/officeDocument/2006/relationships/hyperlink" Target="https://blend.com/" TargetMode="External"/><Relationship Id="rId119" Type="http://schemas.openxmlformats.org/officeDocument/2006/relationships/hyperlink" Target="https://bluenile.com/" TargetMode="External"/><Relationship Id="rId110" Type="http://schemas.openxmlformats.org/officeDocument/2006/relationships/hyperlink" Target="https://bigsur.ai/" TargetMode="External"/><Relationship Id="rId114" Type="http://schemas.openxmlformats.org/officeDocument/2006/relationships/hyperlink" Target="https://blameless.com/" TargetMode="External"/><Relationship Id="rId113" Type="http://schemas.openxmlformats.org/officeDocument/2006/relationships/hyperlink" Target="https://blacklake.cn/" TargetMode="External"/><Relationship Id="rId112" Type="http://schemas.openxmlformats.org/officeDocument/2006/relationships/hyperlink" Target="https://bitmain.com/" TargetMode="External"/><Relationship Id="rId111" Type="http://schemas.openxmlformats.org/officeDocument/2006/relationships/hyperlink" Target="https://binaris.com/" TargetMode="External"/></Relationships>
</file>

<file path=xl/worksheets/_rels/sheet10.xml.rels><?xml version="1.0" encoding="UTF-8" standalone="yes"?><Relationships xmlns="http://schemas.openxmlformats.org/package/2006/relationships"><Relationship Id="rId392" Type="http://schemas.openxmlformats.org/officeDocument/2006/relationships/hyperlink" Target="https://www.nea.com/portfolio/good-technology" TargetMode="External"/><Relationship Id="rId391" Type="http://schemas.openxmlformats.org/officeDocument/2006/relationships/hyperlink" Target="https://gsms.us/" TargetMode="External"/><Relationship Id="rId390" Type="http://schemas.openxmlformats.org/officeDocument/2006/relationships/hyperlink" Target="https://www.nea.com/portfolio/golden-state-medical-supply" TargetMode="External"/><Relationship Id="rId385" Type="http://schemas.openxmlformats.org/officeDocument/2006/relationships/hyperlink" Target="https://www.nea.com/portfolio/glamsquad" TargetMode="External"/><Relationship Id="rId384" Type="http://schemas.openxmlformats.org/officeDocument/2006/relationships/hyperlink" Target="https://www.gladly.com/" TargetMode="External"/><Relationship Id="rId383" Type="http://schemas.openxmlformats.org/officeDocument/2006/relationships/hyperlink" Target="https://www.nea.com/portfolio/gladly" TargetMode="External"/><Relationship Id="rId382" Type="http://schemas.openxmlformats.org/officeDocument/2006/relationships/hyperlink" Target="https://endwaste.io/" TargetMode="External"/><Relationship Id="rId389" Type="http://schemas.openxmlformats.org/officeDocument/2006/relationships/hyperlink" Target="https://glycomimetics.com/" TargetMode="External"/><Relationship Id="rId388" Type="http://schemas.openxmlformats.org/officeDocument/2006/relationships/hyperlink" Target="https://www.nea.com/portfolio/glycomimetics" TargetMode="External"/><Relationship Id="rId387" Type="http://schemas.openxmlformats.org/officeDocument/2006/relationships/hyperlink" Target="https://www.nea.com/portfolio/glu-mobile" TargetMode="External"/><Relationship Id="rId386" Type="http://schemas.openxmlformats.org/officeDocument/2006/relationships/hyperlink" Target="https://www.glamsquad.com/" TargetMode="External"/><Relationship Id="rId381" Type="http://schemas.openxmlformats.org/officeDocument/2006/relationships/hyperlink" Target="https://www.nea.com/portfolio/glacier" TargetMode="External"/><Relationship Id="rId380" Type="http://schemas.openxmlformats.org/officeDocument/2006/relationships/hyperlink" Target="https://www.geo-tel.com/" TargetMode="External"/><Relationship Id="rId379" Type="http://schemas.openxmlformats.org/officeDocument/2006/relationships/hyperlink" Target="https://www.nea.com/portfolio/geotel-corporation" TargetMode="External"/><Relationship Id="rId374" Type="http://schemas.openxmlformats.org/officeDocument/2006/relationships/hyperlink" Target="https://www.nea.com/portfolio/genetic-therapy-inc" TargetMode="External"/><Relationship Id="rId373" Type="http://schemas.openxmlformats.org/officeDocument/2006/relationships/hyperlink" Target="https://geng.gg/" TargetMode="External"/><Relationship Id="rId372" Type="http://schemas.openxmlformats.org/officeDocument/2006/relationships/hyperlink" Target="https://www.nea.com/portfolio/gen-g" TargetMode="External"/><Relationship Id="rId371" Type="http://schemas.openxmlformats.org/officeDocument/2006/relationships/hyperlink" Target="https://www.nea.com/portfolio/geltex-pharmaceuticals" TargetMode="External"/><Relationship Id="rId378" Type="http://schemas.openxmlformats.org/officeDocument/2006/relationships/hyperlink" Target="https://www.genmo.ai/" TargetMode="External"/><Relationship Id="rId377" Type="http://schemas.openxmlformats.org/officeDocument/2006/relationships/hyperlink" Target="https://www.nea.com/portfolio/genmo" TargetMode="External"/><Relationship Id="rId376" Type="http://schemas.openxmlformats.org/officeDocument/2006/relationships/hyperlink" Target="https://genies.com/" TargetMode="External"/><Relationship Id="rId375" Type="http://schemas.openxmlformats.org/officeDocument/2006/relationships/hyperlink" Target="https://www.nea.com/portfolio/genies" TargetMode="External"/><Relationship Id="rId396" Type="http://schemas.openxmlformats.org/officeDocument/2006/relationships/hyperlink" Target="https://www.nea.com/portfolio/goop" TargetMode="External"/><Relationship Id="rId395" Type="http://schemas.openxmlformats.org/officeDocument/2006/relationships/hyperlink" Target="https://www.ongoody.com/" TargetMode="External"/><Relationship Id="rId394" Type="http://schemas.openxmlformats.org/officeDocument/2006/relationships/hyperlink" Target="https://www.nea.com/portfolio/goody" TargetMode="External"/><Relationship Id="rId393" Type="http://schemas.openxmlformats.org/officeDocument/2006/relationships/hyperlink" Target="https://www.blackberry.com/us/en" TargetMode="External"/><Relationship Id="rId399" Type="http://schemas.openxmlformats.org/officeDocument/2006/relationships/hyperlink" Target="https://goqii.com/in-en" TargetMode="External"/><Relationship Id="rId398" Type="http://schemas.openxmlformats.org/officeDocument/2006/relationships/hyperlink" Target="https://www.nea.com/portfolio/goqii" TargetMode="External"/><Relationship Id="rId397" Type="http://schemas.openxmlformats.org/officeDocument/2006/relationships/hyperlink" Target="https://goop.com/" TargetMode="External"/><Relationship Id="rId40" Type="http://schemas.openxmlformats.org/officeDocument/2006/relationships/hyperlink" Target="https://www.allaytx.com/" TargetMode="External"/><Relationship Id="rId42" Type="http://schemas.openxmlformats.org/officeDocument/2006/relationships/hyperlink" Target="https://www.nea.com/portfolio/amber-therapeutics" TargetMode="External"/><Relationship Id="rId41" Type="http://schemas.openxmlformats.org/officeDocument/2006/relationships/hyperlink" Target="https://www.nea.com/portfolio/alteon-websystems" TargetMode="External"/><Relationship Id="rId44" Type="http://schemas.openxmlformats.org/officeDocument/2006/relationships/hyperlink" Target="https://www.nea.com/portfolio/american-pathology-partners" TargetMode="External"/><Relationship Id="rId43" Type="http://schemas.openxmlformats.org/officeDocument/2006/relationships/hyperlink" Target="https://www.amber-tx.com/" TargetMode="External"/><Relationship Id="rId46" Type="http://schemas.openxmlformats.org/officeDocument/2006/relationships/hyperlink" Target="https://www.nea.com/portfolio/amerigroup-corporation" TargetMode="External"/><Relationship Id="rId45" Type="http://schemas.openxmlformats.org/officeDocument/2006/relationships/hyperlink" Target="https://www.ap2.com/" TargetMode="External"/><Relationship Id="rId48" Type="http://schemas.openxmlformats.org/officeDocument/2006/relationships/hyperlink" Target="https://www.nea.com/portfolio/amplitude" TargetMode="External"/><Relationship Id="rId47" Type="http://schemas.openxmlformats.org/officeDocument/2006/relationships/hyperlink" Target="https://www.nea.com/portfolio/amisys-managed-care" TargetMode="External"/><Relationship Id="rId49" Type="http://schemas.openxmlformats.org/officeDocument/2006/relationships/hyperlink" Target="https://www.nea.com/portfolio/amplyx-pharmaceuticals" TargetMode="External"/><Relationship Id="rId31" Type="http://schemas.openxmlformats.org/officeDocument/2006/relationships/hyperlink" Target="https://www.nea.com/portfolio/affinia-therapeutics" TargetMode="External"/><Relationship Id="rId30" Type="http://schemas.openxmlformats.org/officeDocument/2006/relationships/hyperlink" Target="https://aetion.com/" TargetMode="External"/><Relationship Id="rId33" Type="http://schemas.openxmlformats.org/officeDocument/2006/relationships/hyperlink" Target="https://www.nea.com/portfolio/air-works" TargetMode="External"/><Relationship Id="rId32" Type="http://schemas.openxmlformats.org/officeDocument/2006/relationships/hyperlink" Target="https://www.affiniatx.com/" TargetMode="External"/><Relationship Id="rId35" Type="http://schemas.openxmlformats.org/officeDocument/2006/relationships/hyperlink" Target="https://www.nea.com/portfolio/akouos" TargetMode="External"/><Relationship Id="rId34" Type="http://schemas.openxmlformats.org/officeDocument/2006/relationships/hyperlink" Target="https://airworks.aero/" TargetMode="External"/><Relationship Id="rId37" Type="http://schemas.openxmlformats.org/officeDocument/2006/relationships/hyperlink" Target="https://www.nea.com/portfolio/alfred" TargetMode="External"/><Relationship Id="rId36" Type="http://schemas.openxmlformats.org/officeDocument/2006/relationships/hyperlink" Target="https://akouos.com/" TargetMode="External"/><Relationship Id="rId39" Type="http://schemas.openxmlformats.org/officeDocument/2006/relationships/hyperlink" Target="https://www.nea.com/portfolio/allay-therapeutics" TargetMode="External"/><Relationship Id="rId38" Type="http://schemas.openxmlformats.org/officeDocument/2006/relationships/hyperlink" Target="https://www.helloalfred.com/" TargetMode="External"/><Relationship Id="rId20" Type="http://schemas.openxmlformats.org/officeDocument/2006/relationships/hyperlink" Target="https://www.addthis.com/" TargetMode="External"/><Relationship Id="rId22" Type="http://schemas.openxmlformats.org/officeDocument/2006/relationships/hyperlink" Target="http://advertising.com" TargetMode="External"/><Relationship Id="rId21" Type="http://schemas.openxmlformats.org/officeDocument/2006/relationships/hyperlink" Target="https://www.nea.com/portfolio/advanced-cardiovascular" TargetMode="External"/><Relationship Id="rId24" Type="http://schemas.openxmlformats.org/officeDocument/2006/relationships/hyperlink" Target="https://www.nea.com/portfolio/aeluros" TargetMode="External"/><Relationship Id="rId23" Type="http://schemas.openxmlformats.org/officeDocument/2006/relationships/hyperlink" Target="https://www.nea.com/portfolio/advertising-com" TargetMode="External"/><Relationship Id="rId26" Type="http://schemas.openxmlformats.org/officeDocument/2006/relationships/hyperlink" Target="https://www.aeratechnology.com/" TargetMode="External"/><Relationship Id="rId25" Type="http://schemas.openxmlformats.org/officeDocument/2006/relationships/hyperlink" Target="https://www.nea.com/portfolio/aera" TargetMode="External"/><Relationship Id="rId28" Type="http://schemas.openxmlformats.org/officeDocument/2006/relationships/hyperlink" Target="https://aerospike.com/" TargetMode="External"/><Relationship Id="rId27" Type="http://schemas.openxmlformats.org/officeDocument/2006/relationships/hyperlink" Target="https://www.nea.com/portfolio/aerospike" TargetMode="External"/><Relationship Id="rId29" Type="http://schemas.openxmlformats.org/officeDocument/2006/relationships/hyperlink" Target="https://www.nea.com/portfolio/aetion" TargetMode="External"/><Relationship Id="rId11" Type="http://schemas.openxmlformats.org/officeDocument/2006/relationships/hyperlink" Target="https://8five8tx.com/" TargetMode="External"/><Relationship Id="rId10" Type="http://schemas.openxmlformats.org/officeDocument/2006/relationships/hyperlink" Target="https://www.nea.com/portfolio/858-therapeutics" TargetMode="External"/><Relationship Id="rId13" Type="http://schemas.openxmlformats.org/officeDocument/2006/relationships/hyperlink" Target="https://abcuro.com/" TargetMode="External"/><Relationship Id="rId12" Type="http://schemas.openxmlformats.org/officeDocument/2006/relationships/hyperlink" Target="https://www.nea.com/portfolio/abcuro" TargetMode="External"/><Relationship Id="rId15" Type="http://schemas.openxmlformats.org/officeDocument/2006/relationships/hyperlink" Target="https://www.nea.com/portfolio/actions-semiconductor" TargetMode="External"/><Relationship Id="rId14" Type="http://schemas.openxmlformats.org/officeDocument/2006/relationships/hyperlink" Target="https://www.nea.com/portfolio/aciex" TargetMode="External"/><Relationship Id="rId17" Type="http://schemas.openxmlformats.org/officeDocument/2006/relationships/hyperlink" Target="https://www.nea.com/portfolio/adaptimmune" TargetMode="External"/><Relationship Id="rId16" Type="http://schemas.openxmlformats.org/officeDocument/2006/relationships/hyperlink" Target="https://www.actions-semi.com/" TargetMode="External"/><Relationship Id="rId19" Type="http://schemas.openxmlformats.org/officeDocument/2006/relationships/hyperlink" Target="https://www.nea.com/portfolio/addthis" TargetMode="External"/><Relationship Id="rId18" Type="http://schemas.openxmlformats.org/officeDocument/2006/relationships/hyperlink" Target="https://www.adaptimmune.com/" TargetMode="External"/><Relationship Id="rId84" Type="http://schemas.openxmlformats.org/officeDocument/2006/relationships/hyperlink" Target="https://www.automationanywhere.com/" TargetMode="External"/><Relationship Id="rId83" Type="http://schemas.openxmlformats.org/officeDocument/2006/relationships/hyperlink" Target="https://www.nea.com/portfolio/automation-anywhere" TargetMode="External"/><Relationship Id="rId86" Type="http://schemas.openxmlformats.org/officeDocument/2006/relationships/hyperlink" Target="http://www.availink.com/" TargetMode="External"/><Relationship Id="rId85" Type="http://schemas.openxmlformats.org/officeDocument/2006/relationships/hyperlink" Target="https://www.nea.com/portfolio/availink" TargetMode="External"/><Relationship Id="rId88" Type="http://schemas.openxmlformats.org/officeDocument/2006/relationships/hyperlink" Target="https://aviadobio.com/" TargetMode="External"/><Relationship Id="rId87" Type="http://schemas.openxmlformats.org/officeDocument/2006/relationships/hyperlink" Target="https://www.nea.com/portfolio/aviadobio" TargetMode="External"/><Relationship Id="rId89" Type="http://schemas.openxmlformats.org/officeDocument/2006/relationships/hyperlink" Target="https://www.nea.com/portfolio/backflip-ai" TargetMode="External"/><Relationship Id="rId80" Type="http://schemas.openxmlformats.org/officeDocument/2006/relationships/hyperlink" Target="https://www.nea.com/portfolio/attest" TargetMode="External"/><Relationship Id="rId82" Type="http://schemas.openxmlformats.org/officeDocument/2006/relationships/hyperlink" Target="https://www.nea.com/portfolio/audience" TargetMode="External"/><Relationship Id="rId81" Type="http://schemas.openxmlformats.org/officeDocument/2006/relationships/hyperlink" Target="https://www.askattest.com/" TargetMode="External"/><Relationship Id="rId73" Type="http://schemas.openxmlformats.org/officeDocument/2006/relationships/hyperlink" Target="https://www.nea.com/portfolio/arris" TargetMode="External"/><Relationship Id="rId72" Type="http://schemas.openxmlformats.org/officeDocument/2006/relationships/hyperlink" Target="https://arkestro.com/" TargetMode="External"/><Relationship Id="rId75" Type="http://schemas.openxmlformats.org/officeDocument/2006/relationships/hyperlink" Target="https://www.nea.com/portfolio/ascend-communications" TargetMode="External"/><Relationship Id="rId74" Type="http://schemas.openxmlformats.org/officeDocument/2006/relationships/hyperlink" Target="https://arriscomposites.com/" TargetMode="External"/><Relationship Id="rId77" Type="http://schemas.openxmlformats.org/officeDocument/2006/relationships/hyperlink" Target="https://www.nea.com/portfolio/assembled" TargetMode="External"/><Relationship Id="rId76" Type="http://schemas.openxmlformats.org/officeDocument/2006/relationships/hyperlink" Target="https://www.nea.com/portfolio/aspect-medical" TargetMode="External"/><Relationship Id="rId79" Type="http://schemas.openxmlformats.org/officeDocument/2006/relationships/hyperlink" Target="https://www.nea.com/portfolio/astral-point" TargetMode="External"/><Relationship Id="rId78" Type="http://schemas.openxmlformats.org/officeDocument/2006/relationships/hyperlink" Target="https://www.assembled.com/" TargetMode="External"/><Relationship Id="rId71" Type="http://schemas.openxmlformats.org/officeDocument/2006/relationships/hyperlink" Target="https://www.nea.com/portfolio/arkestro" TargetMode="External"/><Relationship Id="rId70" Type="http://schemas.openxmlformats.org/officeDocument/2006/relationships/hyperlink" Target="https://www.nea.com/portfolio/argon-networks" TargetMode="External"/><Relationship Id="rId62" Type="http://schemas.openxmlformats.org/officeDocument/2006/relationships/hyperlink" Target="https://www.nea.com/portfolio/appriva-medical" TargetMode="External"/><Relationship Id="rId61" Type="http://schemas.openxmlformats.org/officeDocument/2006/relationships/hyperlink" Target="https://www.applix.com/" TargetMode="External"/><Relationship Id="rId64" Type="http://schemas.openxmlformats.org/officeDocument/2006/relationships/hyperlink" Target="https://www.marvell.com/" TargetMode="External"/><Relationship Id="rId63" Type="http://schemas.openxmlformats.org/officeDocument/2006/relationships/hyperlink" Target="https://www.nea.com/portfolio/aquantia" TargetMode="External"/><Relationship Id="rId66" Type="http://schemas.openxmlformats.org/officeDocument/2006/relationships/hyperlink" Target="https://www.arcellx.com/company/about" TargetMode="External"/><Relationship Id="rId65" Type="http://schemas.openxmlformats.org/officeDocument/2006/relationships/hyperlink" Target="https://www.nea.com/portfolio/arcellx" TargetMode="External"/><Relationship Id="rId68" Type="http://schemas.openxmlformats.org/officeDocument/2006/relationships/hyperlink" Target="https://www.nea.com/portfolio/ardelyx" TargetMode="External"/><Relationship Id="rId67" Type="http://schemas.openxmlformats.org/officeDocument/2006/relationships/hyperlink" Target="https://www.nea.com/portfolio/arcsight-inc" TargetMode="External"/><Relationship Id="rId60" Type="http://schemas.openxmlformats.org/officeDocument/2006/relationships/hyperlink" Target="https://www.nea.com/portfolio/applix" TargetMode="External"/><Relationship Id="rId69" Type="http://schemas.openxmlformats.org/officeDocument/2006/relationships/hyperlink" Target="https://ardelyx.com/" TargetMode="External"/><Relationship Id="rId51" Type="http://schemas.openxmlformats.org/officeDocument/2006/relationships/hyperlink" Target="https://www.nea.com/portfolio/annexon" TargetMode="External"/><Relationship Id="rId50" Type="http://schemas.openxmlformats.org/officeDocument/2006/relationships/hyperlink" Target="https://www.nea.com/portfolio/aneurx" TargetMode="External"/><Relationship Id="rId53" Type="http://schemas.openxmlformats.org/officeDocument/2006/relationships/hyperlink" Target="https://www.nea.com/portfolio/antenna-software" TargetMode="External"/><Relationship Id="rId52" Type="http://schemas.openxmlformats.org/officeDocument/2006/relationships/hyperlink" Target="https://annexonbio.com/" TargetMode="External"/><Relationship Id="rId55" Type="http://schemas.openxmlformats.org/officeDocument/2006/relationships/hyperlink" Target="https://www.anterior.com/" TargetMode="External"/><Relationship Id="rId54" Type="http://schemas.openxmlformats.org/officeDocument/2006/relationships/hyperlink" Target="https://www.nea.com/portfolio/anterior" TargetMode="External"/><Relationship Id="rId57" Type="http://schemas.openxmlformats.org/officeDocument/2006/relationships/hyperlink" Target="https://www.antimatter.io/" TargetMode="External"/><Relationship Id="rId56" Type="http://schemas.openxmlformats.org/officeDocument/2006/relationships/hyperlink" Target="https://www.nea.com/portfolio/antimatter" TargetMode="External"/><Relationship Id="rId59" Type="http://schemas.openxmlformats.org/officeDocument/2006/relationships/hyperlink" Target="https://www.anyscale.com/" TargetMode="External"/><Relationship Id="rId58" Type="http://schemas.openxmlformats.org/officeDocument/2006/relationships/hyperlink" Target="https://www.nea.com/portfolio/anyscale" TargetMode="External"/><Relationship Id="rId349" Type="http://schemas.openxmlformats.org/officeDocument/2006/relationships/hyperlink" Target="https://www.mayhem.security/" TargetMode="External"/><Relationship Id="rId348" Type="http://schemas.openxmlformats.org/officeDocument/2006/relationships/hyperlink" Target="https://www.nea.com/portfolio/forallsecure" TargetMode="External"/><Relationship Id="rId347" Type="http://schemas.openxmlformats.org/officeDocument/2006/relationships/hyperlink" Target="https://www.folloze.com/" TargetMode="External"/><Relationship Id="rId346" Type="http://schemas.openxmlformats.org/officeDocument/2006/relationships/hyperlink" Target="https://www.nea.com/portfolio/folloze" TargetMode="External"/><Relationship Id="rId341" Type="http://schemas.openxmlformats.org/officeDocument/2006/relationships/hyperlink" Target="https://fizzsocial.app/" TargetMode="External"/><Relationship Id="rId340" Type="http://schemas.openxmlformats.org/officeDocument/2006/relationships/hyperlink" Target="https://www.nea.com/portfolio/fizz" TargetMode="External"/><Relationship Id="rId345" Type="http://schemas.openxmlformats.org/officeDocument/2006/relationships/hyperlink" Target="https://floxdev.com/" TargetMode="External"/><Relationship Id="rId344" Type="http://schemas.openxmlformats.org/officeDocument/2006/relationships/hyperlink" Target="https://www.nea.com/portfolio/flox" TargetMode="External"/><Relationship Id="rId343" Type="http://schemas.openxmlformats.org/officeDocument/2006/relationships/hyperlink" Target="https://www.flow.io/" TargetMode="External"/><Relationship Id="rId342" Type="http://schemas.openxmlformats.org/officeDocument/2006/relationships/hyperlink" Target="https://www.nea.com/portfolio/flow" TargetMode="External"/><Relationship Id="rId338" Type="http://schemas.openxmlformats.org/officeDocument/2006/relationships/hyperlink" Target="https://www.nea.com/portfolio/fire1" TargetMode="External"/><Relationship Id="rId337" Type="http://schemas.openxmlformats.org/officeDocument/2006/relationships/hyperlink" Target="https://www.nea.com/portfolio/fineground-networks" TargetMode="External"/><Relationship Id="rId336" Type="http://schemas.openxmlformats.org/officeDocument/2006/relationships/hyperlink" Target="https://www.edelmanfinancialengines.com/" TargetMode="External"/><Relationship Id="rId335" Type="http://schemas.openxmlformats.org/officeDocument/2006/relationships/hyperlink" Target="https://www.nea.com/portfolio/financial-engines" TargetMode="External"/><Relationship Id="rId339" Type="http://schemas.openxmlformats.org/officeDocument/2006/relationships/hyperlink" Target="https://thefoundry.com/home.html" TargetMode="External"/><Relationship Id="rId330" Type="http://schemas.openxmlformats.org/officeDocument/2006/relationships/hyperlink" Target="https://www.nea.com/portfolio/fabric8labs" TargetMode="External"/><Relationship Id="rId334" Type="http://schemas.openxmlformats.org/officeDocument/2006/relationships/hyperlink" Target="https://www.nea.com/portfolio/fiftythree" TargetMode="External"/><Relationship Id="rId333" Type="http://schemas.openxmlformats.org/officeDocument/2006/relationships/hyperlink" Target="https://www.nea.com/portfolio/fibex" TargetMode="External"/><Relationship Id="rId332" Type="http://schemas.openxmlformats.org/officeDocument/2006/relationships/hyperlink" Target="https://www.nea.com/portfolio/fanhattan" TargetMode="External"/><Relationship Id="rId331" Type="http://schemas.openxmlformats.org/officeDocument/2006/relationships/hyperlink" Target="https://fabric8labs.com/" TargetMode="External"/><Relationship Id="rId370" Type="http://schemas.openxmlformats.org/officeDocument/2006/relationships/hyperlink" Target="https://www.galeratx.com/" TargetMode="External"/><Relationship Id="rId369" Type="http://schemas.openxmlformats.org/officeDocument/2006/relationships/hyperlink" Target="https://www.nea.com/portfolio/galera-therapeutics" TargetMode="External"/><Relationship Id="rId368" Type="http://schemas.openxmlformats.org/officeDocument/2006/relationships/hyperlink" Target="https://www.nea.com/portfolio/gainspeed" TargetMode="External"/><Relationship Id="rId363" Type="http://schemas.openxmlformats.org/officeDocument/2006/relationships/hyperlink" Target="https://www.nea.com/portfolio/frontier-car-group" TargetMode="External"/><Relationship Id="rId362" Type="http://schemas.openxmlformats.org/officeDocument/2006/relationships/hyperlink" Target="https://www.framebridge.com/" TargetMode="External"/><Relationship Id="rId361" Type="http://schemas.openxmlformats.org/officeDocument/2006/relationships/hyperlink" Target="https://www.nea.com/portfolio/framebridge" TargetMode="External"/><Relationship Id="rId360" Type="http://schemas.openxmlformats.org/officeDocument/2006/relationships/hyperlink" Target="https://www.nea.com/portfolio/fox-hollow-technologies" TargetMode="External"/><Relationship Id="rId367" Type="http://schemas.openxmlformats.org/officeDocument/2006/relationships/hyperlink" Target="https://www.nea.com/portfolio/gaikai" TargetMode="External"/><Relationship Id="rId366" Type="http://schemas.openxmlformats.org/officeDocument/2006/relationships/hyperlink" Target="https://www.nea.com/portfolio/fusion-io" TargetMode="External"/><Relationship Id="rId365" Type="http://schemas.openxmlformats.org/officeDocument/2006/relationships/hyperlink" Target="https://www.nea.com/portfolio/fulcrum-microsystems" TargetMode="External"/><Relationship Id="rId364" Type="http://schemas.openxmlformats.org/officeDocument/2006/relationships/hyperlink" Target="https://www.nea.com/portfolio/fugue" TargetMode="External"/><Relationship Id="rId95" Type="http://schemas.openxmlformats.org/officeDocument/2006/relationships/hyperlink" Target="https://www.nea.com/portfolio/beachmint" TargetMode="External"/><Relationship Id="rId94" Type="http://schemas.openxmlformats.org/officeDocument/2006/relationships/hyperlink" Target="https://www.nea.com/portfolio/bcd-semiconductor" TargetMode="External"/><Relationship Id="rId97" Type="http://schemas.openxmlformats.org/officeDocument/2006/relationships/hyperlink" Target="https://sportsrocket.com/" TargetMode="External"/><Relationship Id="rId96" Type="http://schemas.openxmlformats.org/officeDocument/2006/relationships/hyperlink" Target="https://www.nea.com/portfolio/bedrocket-media" TargetMode="External"/><Relationship Id="rId99" Type="http://schemas.openxmlformats.org/officeDocument/2006/relationships/hyperlink" Target="https://www.beehiiv.com/" TargetMode="External"/><Relationship Id="rId98" Type="http://schemas.openxmlformats.org/officeDocument/2006/relationships/hyperlink" Target="https://www.nea.com/portfolio/beehiiv" TargetMode="External"/><Relationship Id="rId91" Type="http://schemas.openxmlformats.org/officeDocument/2006/relationships/hyperlink" Target="https://www.nea.com/portfolio/baihe-holding-corporation" TargetMode="External"/><Relationship Id="rId90" Type="http://schemas.openxmlformats.org/officeDocument/2006/relationships/hyperlink" Target="https://www.backflip.ai/" TargetMode="External"/><Relationship Id="rId93" Type="http://schemas.openxmlformats.org/officeDocument/2006/relationships/hyperlink" Target="https://www.nea.com/portfolio/bay-networks" TargetMode="External"/><Relationship Id="rId92" Type="http://schemas.openxmlformats.org/officeDocument/2006/relationships/hyperlink" Target="https://i.baihe.com/" TargetMode="External"/><Relationship Id="rId359" Type="http://schemas.openxmlformats.org/officeDocument/2006/relationships/hyperlink" Target="https://thefoundry.com/" TargetMode="External"/><Relationship Id="rId358" Type="http://schemas.openxmlformats.org/officeDocument/2006/relationships/hyperlink" Target="https://www.nea.com/portfolio/foundry-therapeutics-1" TargetMode="External"/><Relationship Id="rId357" Type="http://schemas.openxmlformats.org/officeDocument/2006/relationships/hyperlink" Target="https://www.forter.com/" TargetMode="External"/><Relationship Id="rId352" Type="http://schemas.openxmlformats.org/officeDocument/2006/relationships/hyperlink" Target="https://www.nea.com/portfolio/forethought" TargetMode="External"/><Relationship Id="rId351" Type="http://schemas.openxmlformats.org/officeDocument/2006/relationships/hyperlink" Target="https://www.dell.com/support/kbdoc/en-us/000181811/force10networks-resources" TargetMode="External"/><Relationship Id="rId350" Type="http://schemas.openxmlformats.org/officeDocument/2006/relationships/hyperlink" Target="https://www.nea.com/portfolio/force10" TargetMode="External"/><Relationship Id="rId356" Type="http://schemas.openxmlformats.org/officeDocument/2006/relationships/hyperlink" Target="https://www.nea.com/portfolio/forter" TargetMode="External"/><Relationship Id="rId355" Type="http://schemas.openxmlformats.org/officeDocument/2006/relationships/hyperlink" Target="https://formlabs.com/" TargetMode="External"/><Relationship Id="rId354" Type="http://schemas.openxmlformats.org/officeDocument/2006/relationships/hyperlink" Target="https://www.nea.com/portfolio/formlabs" TargetMode="External"/><Relationship Id="rId353" Type="http://schemas.openxmlformats.org/officeDocument/2006/relationships/hyperlink" Target="https://www.forethought.ai/" TargetMode="External"/><Relationship Id="rId305" Type="http://schemas.openxmlformats.org/officeDocument/2006/relationships/hyperlink" Target="https://www.nea.com/portfolio/enzytech" TargetMode="External"/><Relationship Id="rId304" Type="http://schemas.openxmlformats.org/officeDocument/2006/relationships/hyperlink" Target="https://www.nea.com/portfolio/envisia-therapeutics" TargetMode="External"/><Relationship Id="rId303" Type="http://schemas.openxmlformats.org/officeDocument/2006/relationships/hyperlink" Target="https://enigma.com/" TargetMode="External"/><Relationship Id="rId302" Type="http://schemas.openxmlformats.org/officeDocument/2006/relationships/hyperlink" Target="https://www.nea.com/portfolio/enigma" TargetMode="External"/><Relationship Id="rId309" Type="http://schemas.openxmlformats.org/officeDocument/2006/relationships/hyperlink" Target="https://www.nea.com/portfolio/eroom" TargetMode="External"/><Relationship Id="rId308" Type="http://schemas.openxmlformats.org/officeDocument/2006/relationships/hyperlink" Target="https://www.ipsen.com/us/" TargetMode="External"/><Relationship Id="rId307" Type="http://schemas.openxmlformats.org/officeDocument/2006/relationships/hyperlink" Target="https://www.nea.com/portfolio/epizyme" TargetMode="External"/><Relationship Id="rId306" Type="http://schemas.openxmlformats.org/officeDocument/2006/relationships/hyperlink" Target="https://www.nea.com/portfolio/epix-therapeutics" TargetMode="External"/><Relationship Id="rId301" Type="http://schemas.openxmlformats.org/officeDocument/2006/relationships/hyperlink" Target="https://www.engineyard.com/" TargetMode="External"/><Relationship Id="rId300" Type="http://schemas.openxmlformats.org/officeDocument/2006/relationships/hyperlink" Target="https://www.nea.com/portfolio/engine-yard" TargetMode="External"/><Relationship Id="rId327" Type="http://schemas.openxmlformats.org/officeDocument/2006/relationships/hyperlink" Target="https://www.nea.com/portfolio/expel" TargetMode="External"/><Relationship Id="rId326" Type="http://schemas.openxmlformats.org/officeDocument/2006/relationships/hyperlink" Target="https://www.paloaltonetworks.com/cortex/cortex-xpanse" TargetMode="External"/><Relationship Id="rId325" Type="http://schemas.openxmlformats.org/officeDocument/2006/relationships/hyperlink" Target="https://www.nea.com/portfolio/expanse" TargetMode="External"/><Relationship Id="rId324" Type="http://schemas.openxmlformats.org/officeDocument/2006/relationships/hyperlink" Target="http://www.exent.com/" TargetMode="External"/><Relationship Id="rId329" Type="http://schemas.openxmlformats.org/officeDocument/2006/relationships/hyperlink" Target="https://www.nea.com/portfolio/exploramed" TargetMode="External"/><Relationship Id="rId328" Type="http://schemas.openxmlformats.org/officeDocument/2006/relationships/hyperlink" Target="https://expel.com/" TargetMode="External"/><Relationship Id="rId323" Type="http://schemas.openxmlformats.org/officeDocument/2006/relationships/hyperlink" Target="https://www.nea.com/portfolio/exent-technologies" TargetMode="External"/><Relationship Id="rId322" Type="http://schemas.openxmlformats.org/officeDocument/2006/relationships/hyperlink" Target="https://www.evidentid.com/" TargetMode="External"/><Relationship Id="rId321" Type="http://schemas.openxmlformats.org/officeDocument/2006/relationships/hyperlink" Target="https://www.nea.com/portfolio/evident-id" TargetMode="External"/><Relationship Id="rId320" Type="http://schemas.openxmlformats.org/officeDocument/2006/relationships/hyperlink" Target="https://www.nea.com/portfolio/evernote" TargetMode="External"/><Relationship Id="rId316" Type="http://schemas.openxmlformats.org/officeDocument/2006/relationships/hyperlink" Target="https://www.nea.com/portfolio/everactive" TargetMode="External"/><Relationship Id="rId315" Type="http://schemas.openxmlformats.org/officeDocument/2006/relationships/hyperlink" Target="https://www.evenly.com/" TargetMode="External"/><Relationship Id="rId314" Type="http://schemas.openxmlformats.org/officeDocument/2006/relationships/hyperlink" Target="https://www.nea.com/portfolio/evenly" TargetMode="External"/><Relationship Id="rId313" Type="http://schemas.openxmlformats.org/officeDocument/2006/relationships/hyperlink" Target="https://www.nea.com/portfolio/euclid-analytics" TargetMode="External"/><Relationship Id="rId319" Type="http://schemas.openxmlformats.org/officeDocument/2006/relationships/hyperlink" Target="https://www.everfi.com/" TargetMode="External"/><Relationship Id="rId318" Type="http://schemas.openxmlformats.org/officeDocument/2006/relationships/hyperlink" Target="https://www.nea.com/portfolio/everfi" TargetMode="External"/><Relationship Id="rId317" Type="http://schemas.openxmlformats.org/officeDocument/2006/relationships/hyperlink" Target="https://everactive.com/" TargetMode="External"/><Relationship Id="rId312" Type="http://schemas.openxmlformats.org/officeDocument/2006/relationships/hyperlink" Target="https://www.nea.com/portfolio/eucalyptus-systems" TargetMode="External"/><Relationship Id="rId311" Type="http://schemas.openxmlformats.org/officeDocument/2006/relationships/hyperlink" Target="https://www.escientpharma.com/" TargetMode="External"/><Relationship Id="rId310" Type="http://schemas.openxmlformats.org/officeDocument/2006/relationships/hyperlink" Target="https://www.nea.com/portfolio/escient-pharmaceuticals" TargetMode="External"/><Relationship Id="rId297" Type="http://schemas.openxmlformats.org/officeDocument/2006/relationships/hyperlink" Target="https://www.nea.com/portfolio/embrane" TargetMode="External"/><Relationship Id="rId296" Type="http://schemas.openxmlformats.org/officeDocument/2006/relationships/hyperlink" Target="https://embrace.io/" TargetMode="External"/><Relationship Id="rId295" Type="http://schemas.openxmlformats.org/officeDocument/2006/relationships/hyperlink" Target="https://www.nea.com/portfolio/embrace" TargetMode="External"/><Relationship Id="rId294" Type="http://schemas.openxmlformats.org/officeDocument/2006/relationships/hyperlink" Target="https://elevenlabs.io/" TargetMode="External"/><Relationship Id="rId299" Type="http://schemas.openxmlformats.org/officeDocument/2006/relationships/hyperlink" Target="https://www.nea.com/portfolio/endotex" TargetMode="External"/><Relationship Id="rId298" Type="http://schemas.openxmlformats.org/officeDocument/2006/relationships/hyperlink" Target="https://www.nea.com/portfolio/endocardial-solutions" TargetMode="External"/><Relationship Id="rId271" Type="http://schemas.openxmlformats.org/officeDocument/2006/relationships/hyperlink" Target="https://www.nea.com/portfolio/dots-technology-corp" TargetMode="External"/><Relationship Id="rId270" Type="http://schemas.openxmlformats.org/officeDocument/2006/relationships/hyperlink" Target="https://www.djust.io/" TargetMode="External"/><Relationship Id="rId269" Type="http://schemas.openxmlformats.org/officeDocument/2006/relationships/hyperlink" Target="https://www.nea.com/portfolio/djust" TargetMode="External"/><Relationship Id="rId264" Type="http://schemas.openxmlformats.org/officeDocument/2006/relationships/hyperlink" Target="https://www.nea.com/portfolio/diatide" TargetMode="External"/><Relationship Id="rId263" Type="http://schemas.openxmlformats.org/officeDocument/2006/relationships/hyperlink" Target="https://www.nea.com/portfolio/devices-for-vascular-intervention" TargetMode="External"/><Relationship Id="rId262" Type="http://schemas.openxmlformats.org/officeDocument/2006/relationships/hyperlink" Target="https://www.nea.com/portfolio/desktop-metal" TargetMode="External"/><Relationship Id="rId261" Type="http://schemas.openxmlformats.org/officeDocument/2006/relationships/hyperlink" Target="https://www.nea.com/portfolio/dermira" TargetMode="External"/><Relationship Id="rId268" Type="http://schemas.openxmlformats.org/officeDocument/2006/relationships/hyperlink" Target="https://getdivvy.com/home/" TargetMode="External"/><Relationship Id="rId267" Type="http://schemas.openxmlformats.org/officeDocument/2006/relationships/hyperlink" Target="https://www.nea.com/portfolio/divvy" TargetMode="External"/><Relationship Id="rId266" Type="http://schemas.openxmlformats.org/officeDocument/2006/relationships/hyperlink" Target="https://www.didiglobal.com/news/newsCenter" TargetMode="External"/><Relationship Id="rId265" Type="http://schemas.openxmlformats.org/officeDocument/2006/relationships/hyperlink" Target="https://www.nea.com/portfolio/didi-chuxing" TargetMode="External"/><Relationship Id="rId260" Type="http://schemas.openxmlformats.org/officeDocument/2006/relationships/hyperlink" Target="https://www.nea.com/portfolio/decru" TargetMode="External"/><Relationship Id="rId259" Type="http://schemas.openxmlformats.org/officeDocument/2006/relationships/hyperlink" Target="https://www.nea.com/portfolio/davita-nephrolife" TargetMode="External"/><Relationship Id="rId258" Type="http://schemas.openxmlformats.org/officeDocument/2006/relationships/hyperlink" Target="https://www.nea.com/portfolio/datrium" TargetMode="External"/><Relationship Id="rId253" Type="http://schemas.openxmlformats.org/officeDocument/2006/relationships/hyperlink" Target="https://www.nea.com/portfolio/databricks" TargetMode="External"/><Relationship Id="rId252" Type="http://schemas.openxmlformats.org/officeDocument/2006/relationships/hyperlink" Target="https://www.nea.com/portfolio/cyras-systems" TargetMode="External"/><Relationship Id="rId251" Type="http://schemas.openxmlformats.org/officeDocument/2006/relationships/hyperlink" Target="https://www.nea.com/portfolio/cyence" TargetMode="External"/><Relationship Id="rId250" Type="http://schemas.openxmlformats.org/officeDocument/2006/relationships/hyperlink" Target="https://www.nea.com/portfolio/cybermedia" TargetMode="External"/><Relationship Id="rId257" Type="http://schemas.openxmlformats.org/officeDocument/2006/relationships/hyperlink" Target="https://www.datarobot.com/" TargetMode="External"/><Relationship Id="rId256" Type="http://schemas.openxmlformats.org/officeDocument/2006/relationships/hyperlink" Target="https://www.nea.com/portfolio/datarobot" TargetMode="External"/><Relationship Id="rId255" Type="http://schemas.openxmlformats.org/officeDocument/2006/relationships/hyperlink" Target="https://www.nea.com/portfolio/datalogix" TargetMode="External"/><Relationship Id="rId254" Type="http://schemas.openxmlformats.org/officeDocument/2006/relationships/hyperlink" Target="https://www.databricks.com/" TargetMode="External"/><Relationship Id="rId293" Type="http://schemas.openxmlformats.org/officeDocument/2006/relationships/hyperlink" Target="https://www.nea.com/portfolio/elevenlabs" TargetMode="External"/><Relationship Id="rId292" Type="http://schemas.openxmlformats.org/officeDocument/2006/relationships/hyperlink" Target="https://www.elastic.co/" TargetMode="External"/><Relationship Id="rId291" Type="http://schemas.openxmlformats.org/officeDocument/2006/relationships/hyperlink" Target="https://www.nea.com/portfolio/elastic" TargetMode="External"/><Relationship Id="rId290" Type="http://schemas.openxmlformats.org/officeDocument/2006/relationships/hyperlink" Target="https://www.nea.com/portfolio/eko" TargetMode="External"/><Relationship Id="rId286" Type="http://schemas.openxmlformats.org/officeDocument/2006/relationships/hyperlink" Target="https://www.nea.com/portfolio/ebenx" TargetMode="External"/><Relationship Id="rId285" Type="http://schemas.openxmlformats.org/officeDocument/2006/relationships/hyperlink" Target="https://earlens.com/" TargetMode="External"/><Relationship Id="rId284" Type="http://schemas.openxmlformats.org/officeDocument/2006/relationships/hyperlink" Target="https://www.nea.com/portfolio/earlens" TargetMode="External"/><Relationship Id="rId283" Type="http://schemas.openxmlformats.org/officeDocument/2006/relationships/hyperlink" Target="https://www.eargo.com/" TargetMode="External"/><Relationship Id="rId289" Type="http://schemas.openxmlformats.org/officeDocument/2006/relationships/hyperlink" Target="https://www.nea.com/portfolio/edmodo" TargetMode="External"/><Relationship Id="rId288" Type="http://schemas.openxmlformats.org/officeDocument/2006/relationships/hyperlink" Target="https://www.nea.com/portfolio/eci-acquisition-holdings" TargetMode="External"/><Relationship Id="rId287" Type="http://schemas.openxmlformats.org/officeDocument/2006/relationships/hyperlink" Target="https://www.nea.com/portfolio/echopass-corporation" TargetMode="External"/><Relationship Id="rId282" Type="http://schemas.openxmlformats.org/officeDocument/2006/relationships/hyperlink" Target="https://www.nea.com/portfolio/eargo" TargetMode="External"/><Relationship Id="rId281" Type="http://schemas.openxmlformats.org/officeDocument/2006/relationships/hyperlink" Target="https://www.nea.com/portfolio/e2o-communications" TargetMode="External"/><Relationship Id="rId280" Type="http://schemas.openxmlformats.org/officeDocument/2006/relationships/hyperlink" Target="https://www.nea.com/portfolio/e-offering" TargetMode="External"/><Relationship Id="rId275" Type="http://schemas.openxmlformats.org/officeDocument/2006/relationships/hyperlink" Target="https://www.nea.com/portfolio/drop" TargetMode="External"/><Relationship Id="rId274" Type="http://schemas.openxmlformats.org/officeDocument/2006/relationships/hyperlink" Target="https://www.drobo.com/" TargetMode="External"/><Relationship Id="rId273" Type="http://schemas.openxmlformats.org/officeDocument/2006/relationships/hyperlink" Target="https://www.nea.com/portfolio/drobo" TargetMode="External"/><Relationship Id="rId272" Type="http://schemas.openxmlformats.org/officeDocument/2006/relationships/hyperlink" Target="http://www.dotscorp.com/" TargetMode="External"/><Relationship Id="rId279" Type="http://schemas.openxmlformats.org/officeDocument/2006/relationships/hyperlink" Target="https://www.nea.com/portfolio/dura-pharmaceuticals" TargetMode="External"/><Relationship Id="rId278" Type="http://schemas.openxmlformats.org/officeDocument/2006/relationships/hyperlink" Target="https://www.duolingo.com/" TargetMode="External"/><Relationship Id="rId277" Type="http://schemas.openxmlformats.org/officeDocument/2006/relationships/hyperlink" Target="https://www.nea.com/portfolio/duolingo" TargetMode="External"/><Relationship Id="rId276" Type="http://schemas.openxmlformats.org/officeDocument/2006/relationships/hyperlink" Target="https://www.joindrop.com/" TargetMode="External"/><Relationship Id="rId228" Type="http://schemas.openxmlformats.org/officeDocument/2006/relationships/hyperlink" Target="https://www.nea.com/portfolio/concentric-medical" TargetMode="External"/><Relationship Id="rId227" Type="http://schemas.openxmlformats.org/officeDocument/2006/relationships/hyperlink" Target="https://cps.com/" TargetMode="External"/><Relationship Id="rId226" Type="http://schemas.openxmlformats.org/officeDocument/2006/relationships/hyperlink" Target="https://www.nea.com/portfolio/comprehensive-pharmacy-services" TargetMode="External"/><Relationship Id="rId225" Type="http://schemas.openxmlformats.org/officeDocument/2006/relationships/hyperlink" Target="https://www.nea.com/portfolio/complexa" TargetMode="External"/><Relationship Id="rId229" Type="http://schemas.openxmlformats.org/officeDocument/2006/relationships/hyperlink" Target="https://www.stryker.com/us/en/about.html" TargetMode="External"/><Relationship Id="rId220" Type="http://schemas.openxmlformats.org/officeDocument/2006/relationships/hyperlink" Target="https://www.cohere-tech.com/" TargetMode="External"/><Relationship Id="rId224" Type="http://schemas.openxmlformats.org/officeDocument/2006/relationships/hyperlink" Target="https://www.nea.com/portfolio/comanche" TargetMode="External"/><Relationship Id="rId223" Type="http://schemas.openxmlformats.org/officeDocument/2006/relationships/hyperlink" Target="https://www.nea.com/portfolio/com21" TargetMode="External"/><Relationship Id="rId222" Type="http://schemas.openxmlformats.org/officeDocument/2006/relationships/hyperlink" Target="https://collectivehealth.com/" TargetMode="External"/><Relationship Id="rId221" Type="http://schemas.openxmlformats.org/officeDocument/2006/relationships/hyperlink" Target="https://www.nea.com/portfolio/collective-health" TargetMode="External"/><Relationship Id="rId217" Type="http://schemas.openxmlformats.org/officeDocument/2006/relationships/hyperlink" Target="https://www.nea.com/portfolio/code-biotherapeutics" TargetMode="External"/><Relationship Id="rId216" Type="http://schemas.openxmlformats.org/officeDocument/2006/relationships/hyperlink" Target="https://coda.io/" TargetMode="External"/><Relationship Id="rId215" Type="http://schemas.openxmlformats.org/officeDocument/2006/relationships/hyperlink" Target="https://www.nea.com/portfolio/coda" TargetMode="External"/><Relationship Id="rId214" Type="http://schemas.openxmlformats.org/officeDocument/2006/relationships/hyperlink" Target="https://www.clovisoncology.com/" TargetMode="External"/><Relationship Id="rId219" Type="http://schemas.openxmlformats.org/officeDocument/2006/relationships/hyperlink" Target="https://www.nea.com/portfolio/cohere-technologies" TargetMode="External"/><Relationship Id="rId218" Type="http://schemas.openxmlformats.org/officeDocument/2006/relationships/hyperlink" Target="https://www.codebiotx.com/" TargetMode="External"/><Relationship Id="rId213" Type="http://schemas.openxmlformats.org/officeDocument/2006/relationships/hyperlink" Target="https://www.nea.com/portfolio/clovis-oncology" TargetMode="External"/><Relationship Id="rId212" Type="http://schemas.openxmlformats.org/officeDocument/2006/relationships/hyperlink" Target="https://www.cloudflare.com/" TargetMode="External"/><Relationship Id="rId211" Type="http://schemas.openxmlformats.org/officeDocument/2006/relationships/hyperlink" Target="https://www.nea.com/portfolio/cloudflare" TargetMode="External"/><Relationship Id="rId210" Type="http://schemas.openxmlformats.org/officeDocument/2006/relationships/hyperlink" Target="https://www.clockwork.io/" TargetMode="External"/><Relationship Id="rId249" Type="http://schemas.openxmlformats.org/officeDocument/2006/relationships/hyperlink" Target="https://www.cvrx.com/" TargetMode="External"/><Relationship Id="rId248" Type="http://schemas.openxmlformats.org/officeDocument/2006/relationships/hyperlink" Target="https://www.nea.com/portfolio/cvrx" TargetMode="External"/><Relationship Id="rId247" Type="http://schemas.openxmlformats.org/officeDocument/2006/relationships/hyperlink" Target="https://www.cvent.com/" TargetMode="External"/><Relationship Id="rId242" Type="http://schemas.openxmlformats.org/officeDocument/2006/relationships/hyperlink" Target="https://www.nea.com/portfolio/curalate" TargetMode="External"/><Relationship Id="rId241" Type="http://schemas.openxmlformats.org/officeDocument/2006/relationships/hyperlink" Target="https://www.global-savings-group.com/" TargetMode="External"/><Relationship Id="rId240" Type="http://schemas.openxmlformats.org/officeDocument/2006/relationships/hyperlink" Target="https://www.nea.com/portfolio/cuponation" TargetMode="External"/><Relationship Id="rId246" Type="http://schemas.openxmlformats.org/officeDocument/2006/relationships/hyperlink" Target="https://www.nea.com/portfolio/cvent" TargetMode="External"/><Relationship Id="rId245" Type="http://schemas.openxmlformats.org/officeDocument/2006/relationships/hyperlink" Target="https://www.nea.com/portfolio/cv-ingenuity" TargetMode="External"/><Relationship Id="rId244" Type="http://schemas.openxmlformats.org/officeDocument/2006/relationships/hyperlink" Target="https://www.nea.com/portfolio/curzion-pharmaceuticals" TargetMode="External"/><Relationship Id="rId243" Type="http://schemas.openxmlformats.org/officeDocument/2006/relationships/hyperlink" Target="https://www.bazaarvoice.com/?redirect=curalatecom" TargetMode="External"/><Relationship Id="rId239" Type="http://schemas.openxmlformats.org/officeDocument/2006/relationships/hyperlink" Target="https://www.crowdbotics.com/" TargetMode="External"/><Relationship Id="rId238" Type="http://schemas.openxmlformats.org/officeDocument/2006/relationships/hyperlink" Target="https://www.nea.com/portfolio/crowdbotics" TargetMode="External"/><Relationship Id="rId237" Type="http://schemas.openxmlformats.org/officeDocument/2006/relationships/hyperlink" Target="http://www.coursera.org/" TargetMode="External"/><Relationship Id="rId236" Type="http://schemas.openxmlformats.org/officeDocument/2006/relationships/hyperlink" Target="https://www.nea.com/portfolio/coursera" TargetMode="External"/><Relationship Id="rId231" Type="http://schemas.openxmlformats.org/officeDocument/2006/relationships/hyperlink" Target="https://www.nea.com/portfolio/contra" TargetMode="External"/><Relationship Id="rId230" Type="http://schemas.openxmlformats.org/officeDocument/2006/relationships/hyperlink" Target="https://www.nea.com/portfolio/conceptus" TargetMode="External"/><Relationship Id="rId235" Type="http://schemas.openxmlformats.org/officeDocument/2006/relationships/hyperlink" Target="https://www.nea.com/portfolio/corvis" TargetMode="External"/><Relationship Id="rId234" Type="http://schemas.openxmlformats.org/officeDocument/2006/relationships/hyperlink" Target="https://www.conviva.com/" TargetMode="External"/><Relationship Id="rId233" Type="http://schemas.openxmlformats.org/officeDocument/2006/relationships/hyperlink" Target="https://www.nea.com/portfolio/conviva" TargetMode="External"/><Relationship Id="rId232" Type="http://schemas.openxmlformats.org/officeDocument/2006/relationships/hyperlink" Target="https://contra.com/" TargetMode="External"/><Relationship Id="rId206" Type="http://schemas.openxmlformats.org/officeDocument/2006/relationships/hyperlink" Target="https://www.nea.com/portfolio/cleo" TargetMode="External"/><Relationship Id="rId205" Type="http://schemas.openxmlformats.org/officeDocument/2006/relationships/hyperlink" Target="https://www.ipsen.com/contact-us/" TargetMode="External"/><Relationship Id="rId204" Type="http://schemas.openxmlformats.org/officeDocument/2006/relationships/hyperlink" Target="https://www.nea.com/portfolio/clementia" TargetMode="External"/><Relationship Id="rId203" Type="http://schemas.openxmlformats.org/officeDocument/2006/relationships/hyperlink" Target="https://cleavetherapeutics.com/" TargetMode="External"/><Relationship Id="rId209" Type="http://schemas.openxmlformats.org/officeDocument/2006/relationships/hyperlink" Target="https://www.nea.com/portfolio/clockwork" TargetMode="External"/><Relationship Id="rId208" Type="http://schemas.openxmlformats.org/officeDocument/2006/relationships/hyperlink" Target="https://www.nea.com/portfolio/cleversafe" TargetMode="External"/><Relationship Id="rId207" Type="http://schemas.openxmlformats.org/officeDocument/2006/relationships/hyperlink" Target="https://hicleo.com/" TargetMode="External"/><Relationship Id="rId202" Type="http://schemas.openxmlformats.org/officeDocument/2006/relationships/hyperlink" Target="https://www.nea.com/portfolio/cleave-biosciences" TargetMode="External"/><Relationship Id="rId201" Type="http://schemas.openxmlformats.org/officeDocument/2006/relationships/hyperlink" Target="https://www.clearmotion.com/" TargetMode="External"/><Relationship Id="rId200" Type="http://schemas.openxmlformats.org/officeDocument/2006/relationships/hyperlink" Target="https://www.nea.com/portfolio/clearmotion" TargetMode="External"/><Relationship Id="rId509" Type="http://schemas.openxmlformats.org/officeDocument/2006/relationships/hyperlink" Target="https://www.nea.com/portfolio/missmalini" TargetMode="External"/><Relationship Id="rId508" Type="http://schemas.openxmlformats.org/officeDocument/2006/relationships/hyperlink" Target="https://www.nea.com/portfolio/mission-critical-software" TargetMode="External"/><Relationship Id="rId503" Type="http://schemas.openxmlformats.org/officeDocument/2006/relationships/hyperlink" Target="https://www.nea.com/portfolio/mimosa-networks" TargetMode="External"/><Relationship Id="rId502" Type="http://schemas.openxmlformats.org/officeDocument/2006/relationships/hyperlink" Target="https://www.nea.com/portfolio/millennial-media" TargetMode="External"/><Relationship Id="rId501" Type="http://schemas.openxmlformats.org/officeDocument/2006/relationships/hyperlink" Target="https://www.nea.com/portfolio/miim" TargetMode="External"/><Relationship Id="rId500" Type="http://schemas.openxmlformats.org/officeDocument/2006/relationships/hyperlink" Target="https://www.nea.com/portfolio/mighty-ai" TargetMode="External"/><Relationship Id="rId507" Type="http://schemas.openxmlformats.org/officeDocument/2006/relationships/hyperlink" Target="https://www.nea.com/portfolio/mirum-pharmaceuticals" TargetMode="External"/><Relationship Id="rId506" Type="http://schemas.openxmlformats.org/officeDocument/2006/relationships/hyperlink" Target="https://www.nea.com/portfolio/mirna-therapeutics" TargetMode="External"/><Relationship Id="rId505" Type="http://schemas.openxmlformats.org/officeDocument/2006/relationships/hyperlink" Target="https://www.nea.com/portfolio/minerva-surgical" TargetMode="External"/><Relationship Id="rId504" Type="http://schemas.openxmlformats.org/officeDocument/2006/relationships/hyperlink" Target="https://www.nea.com/portfolio/mindtickle" TargetMode="External"/><Relationship Id="rId525" Type="http://schemas.openxmlformats.org/officeDocument/2006/relationships/hyperlink" Target="https://www.nea.com/portfolio/neoteris" TargetMode="External"/><Relationship Id="rId524" Type="http://schemas.openxmlformats.org/officeDocument/2006/relationships/hyperlink" Target="https://www.nea.com/portfolio/nefeli-networks" TargetMode="External"/><Relationship Id="rId523" Type="http://schemas.openxmlformats.org/officeDocument/2006/relationships/hyperlink" Target="https://www.nea.com/portfolio/nrc" TargetMode="External"/><Relationship Id="rId522" Type="http://schemas.openxmlformats.org/officeDocument/2006/relationships/hyperlink" Target="https://www.nea.com/portfolio/myogen" TargetMode="External"/><Relationship Id="rId529" Type="http://schemas.openxmlformats.org/officeDocument/2006/relationships/hyperlink" Target="https://www.nea.com/portfolio/netsolve" TargetMode="External"/><Relationship Id="rId528" Type="http://schemas.openxmlformats.org/officeDocument/2006/relationships/hyperlink" Target="https://www.nea.com/portfolio/netiq" TargetMode="External"/><Relationship Id="rId527" Type="http://schemas.openxmlformats.org/officeDocument/2006/relationships/hyperlink" Target="https://www.nea.com/portfolio/netcitadel" TargetMode="External"/><Relationship Id="rId526" Type="http://schemas.openxmlformats.org/officeDocument/2006/relationships/hyperlink" Target="https://www.nea.com/portfolio/neotract" TargetMode="External"/><Relationship Id="rId521" Type="http://schemas.openxmlformats.org/officeDocument/2006/relationships/hyperlink" Target="https://www.nea.com/portfolio/myfit" TargetMode="External"/><Relationship Id="rId520" Type="http://schemas.openxmlformats.org/officeDocument/2006/relationships/hyperlink" Target="https://www.nea.com/portfolio/moximed" TargetMode="External"/><Relationship Id="rId519" Type="http://schemas.openxmlformats.org/officeDocument/2006/relationships/hyperlink" Target="https://www.nea.com/portfolio/movius-interactive-corporation" TargetMode="External"/><Relationship Id="rId514" Type="http://schemas.openxmlformats.org/officeDocument/2006/relationships/hyperlink" Target="https://www.nea.com/portfolio/mongodb" TargetMode="External"/><Relationship Id="rId513" Type="http://schemas.openxmlformats.org/officeDocument/2006/relationships/hyperlink" Target="https://www.nea.com/portfolio/moneytap" TargetMode="External"/><Relationship Id="rId512" Type="http://schemas.openxmlformats.org/officeDocument/2006/relationships/hyperlink" Target="https://www.nea.com/portfolio/mojo-vision" TargetMode="External"/><Relationship Id="rId511" Type="http://schemas.openxmlformats.org/officeDocument/2006/relationships/hyperlink" Target="https://www.nea.com/portfolio/moda-operandi" TargetMode="External"/><Relationship Id="rId518" Type="http://schemas.openxmlformats.org/officeDocument/2006/relationships/hyperlink" Target="https://www.nea.com/portfolio/motus-therapeutics" TargetMode="External"/><Relationship Id="rId517" Type="http://schemas.openxmlformats.org/officeDocument/2006/relationships/hyperlink" Target="https://www.nea.com/portfolio/motricity" TargetMode="External"/><Relationship Id="rId516" Type="http://schemas.openxmlformats.org/officeDocument/2006/relationships/hyperlink" Target="https://www.nea.com/portfolio/motion-computing" TargetMode="External"/><Relationship Id="rId515" Type="http://schemas.openxmlformats.org/officeDocument/2006/relationships/hyperlink" Target="https://www.nea.com/portfolio/more-health" TargetMode="External"/><Relationship Id="rId510" Type="http://schemas.openxmlformats.org/officeDocument/2006/relationships/hyperlink" Target="https://www.nea.com/portfolio/mobius-management-systems" TargetMode="External"/><Relationship Id="rId590" Type="http://schemas.openxmlformats.org/officeDocument/2006/relationships/hyperlink" Target="https://www.nea.com/portfolio/predictive-biosciences" TargetMode="External"/><Relationship Id="rId589" Type="http://schemas.openxmlformats.org/officeDocument/2006/relationships/hyperlink" Target="https://www.nea.com/portfolio/pponext" TargetMode="External"/><Relationship Id="rId588" Type="http://schemas.openxmlformats.org/officeDocument/2006/relationships/hyperlink" Target="https://www.nea.com/portfolio/portauthority" TargetMode="External"/><Relationship Id="rId583" Type="http://schemas.openxmlformats.org/officeDocument/2006/relationships/hyperlink" Target="https://www.nea.com/portfolio/playvs" TargetMode="External"/><Relationship Id="rId582" Type="http://schemas.openxmlformats.org/officeDocument/2006/relationships/hyperlink" Target="https://www.nea.com/portfolio/plato" TargetMode="External"/><Relationship Id="rId581" Type="http://schemas.openxmlformats.org/officeDocument/2006/relationships/hyperlink" Target="https://www.nea.com/portfolio/plaid" TargetMode="External"/><Relationship Id="rId580" Type="http://schemas.openxmlformats.org/officeDocument/2006/relationships/hyperlink" Target="https://www.nea.com/portfolio/placester" TargetMode="External"/><Relationship Id="rId587" Type="http://schemas.openxmlformats.org/officeDocument/2006/relationships/hyperlink" Target="https://www.nea.com/portfolio/polyserve" TargetMode="External"/><Relationship Id="rId586" Type="http://schemas.openxmlformats.org/officeDocument/2006/relationships/hyperlink" Target="https://www.nea.com/portfolio/pocket" TargetMode="External"/><Relationship Id="rId585" Type="http://schemas.openxmlformats.org/officeDocument/2006/relationships/hyperlink" Target="https://www.nea.com/portfolio/plusmo" TargetMode="External"/><Relationship Id="rId584" Type="http://schemas.openxmlformats.org/officeDocument/2006/relationships/hyperlink" Target="https://www.nea.com/portfolio/pluribus-networks" TargetMode="External"/><Relationship Id="rId579" Type="http://schemas.openxmlformats.org/officeDocument/2006/relationships/hyperlink" Target="https://www.nea.com/portfolio/placemeter" TargetMode="External"/><Relationship Id="rId578" Type="http://schemas.openxmlformats.org/officeDocument/2006/relationships/hyperlink" Target="https://www.nea.com/portfolio/pionyr-immunotherapeutics" TargetMode="External"/><Relationship Id="rId577" Type="http://schemas.openxmlformats.org/officeDocument/2006/relationships/hyperlink" Target="https://www.nea.com/portfolio/pinnacle-engines" TargetMode="External"/><Relationship Id="rId572" Type="http://schemas.openxmlformats.org/officeDocument/2006/relationships/hyperlink" Target="https://www.nea.com/portfolio/phase-forward" TargetMode="External"/><Relationship Id="rId571" Type="http://schemas.openxmlformats.org/officeDocument/2006/relationships/hyperlink" Target="https://www.nea.com/portfolio/personal-genome-diagnostics" TargetMode="External"/><Relationship Id="rId570" Type="http://schemas.openxmlformats.org/officeDocument/2006/relationships/hyperlink" Target="https://www.nea.com/portfolio/perplexity" TargetMode="External"/><Relationship Id="rId576" Type="http://schemas.openxmlformats.org/officeDocument/2006/relationships/hyperlink" Target="https://www.nea.com/portfolio/pilot-ai" TargetMode="External"/><Relationship Id="rId575" Type="http://schemas.openxmlformats.org/officeDocument/2006/relationships/hyperlink" Target="https://www.nea.com/portfolio/picaboo" TargetMode="External"/><Relationship Id="rId574" Type="http://schemas.openxmlformats.org/officeDocument/2006/relationships/hyperlink" Target="https://www.nea.com/portfolio/philo" TargetMode="External"/><Relationship Id="rId573" Type="http://schemas.openxmlformats.org/officeDocument/2006/relationships/hyperlink" Target="https://www.nea.com/portfolio/phasebio-pharmaceuticals" TargetMode="External"/><Relationship Id="rId599" Type="http://schemas.openxmlformats.org/officeDocument/2006/relationships/hyperlink" Target="https://www.nea.com/portfolio/pure-energies" TargetMode="External"/><Relationship Id="rId594" Type="http://schemas.openxmlformats.org/officeDocument/2006/relationships/hyperlink" Target="https://www.nea.com/portfolio/prosensa" TargetMode="External"/><Relationship Id="rId593" Type="http://schemas.openxmlformats.org/officeDocument/2006/relationships/hyperlink" Target="https://www.nea.com/portfolio/progress-software" TargetMode="External"/><Relationship Id="rId592" Type="http://schemas.openxmlformats.org/officeDocument/2006/relationships/hyperlink" Target="https://www.nea.com/portfolio/procket" TargetMode="External"/><Relationship Id="rId591" Type="http://schemas.openxmlformats.org/officeDocument/2006/relationships/hyperlink" Target="https://www.nea.com/portfolio/prime-financial-technologies" TargetMode="External"/><Relationship Id="rId598" Type="http://schemas.openxmlformats.org/officeDocument/2006/relationships/hyperlink" Target="https://www.nea.com/portfolio/pulse" TargetMode="External"/><Relationship Id="rId597" Type="http://schemas.openxmlformats.org/officeDocument/2006/relationships/hyperlink" Target="https://www.nea.com/portfolio/psyadon-pharmaceuticals" TargetMode="External"/><Relationship Id="rId596" Type="http://schemas.openxmlformats.org/officeDocument/2006/relationships/hyperlink" Target="https://www.nea.com/portfolio/proxima-therapeutics" TargetMode="External"/><Relationship Id="rId595" Type="http://schemas.openxmlformats.org/officeDocument/2006/relationships/hyperlink" Target="https://www.nea.com/portfolio/proteostasis-therapeutics" TargetMode="External"/><Relationship Id="rId547" Type="http://schemas.openxmlformats.org/officeDocument/2006/relationships/hyperlink" Target="https://www.nea.com/portfolio/nuelle" TargetMode="External"/><Relationship Id="rId546" Type="http://schemas.openxmlformats.org/officeDocument/2006/relationships/hyperlink" Target="https://www.nea.com/portfolio/novatium" TargetMode="External"/><Relationship Id="rId545" Type="http://schemas.openxmlformats.org/officeDocument/2006/relationships/hyperlink" Target="https://www.nea.com/portfolio/novast-holdings-limited" TargetMode="External"/><Relationship Id="rId544" Type="http://schemas.openxmlformats.org/officeDocument/2006/relationships/hyperlink" Target="https://www.nea.com/portfolio/nova-fertility" TargetMode="External"/><Relationship Id="rId549" Type="http://schemas.openxmlformats.org/officeDocument/2006/relationships/hyperlink" Target="https://www.nea.com/portfolio/obseva" TargetMode="External"/><Relationship Id="rId548" Type="http://schemas.openxmlformats.org/officeDocument/2006/relationships/hyperlink" Target="https://www.nea.com/portfolio/nuvolo" TargetMode="External"/><Relationship Id="rId543" Type="http://schemas.openxmlformats.org/officeDocument/2006/relationships/hyperlink" Target="https://www.nea.com/portfolio/nodar" TargetMode="External"/><Relationship Id="rId542" Type="http://schemas.openxmlformats.org/officeDocument/2006/relationships/hyperlink" Target="https://www.nea.com/portfolio/nkarta-therapeutics" TargetMode="External"/><Relationship Id="rId541" Type="http://schemas.openxmlformats.org/officeDocument/2006/relationships/hyperlink" Target="https://www.nea.com/portfolio/nightstar" TargetMode="External"/><Relationship Id="rId540" Type="http://schemas.openxmlformats.org/officeDocument/2006/relationships/hyperlink" Target="https://www.nea.com/portfolio/nicira" TargetMode="External"/><Relationship Id="rId536" Type="http://schemas.openxmlformats.org/officeDocument/2006/relationships/hyperlink" Target="https://www.nea.com/portfolio/nexo" TargetMode="External"/><Relationship Id="rId535" Type="http://schemas.openxmlformats.org/officeDocument/2006/relationships/hyperlink" Target="https://www.nea.com/portfolio/newscale" TargetMode="External"/><Relationship Id="rId534" Type="http://schemas.openxmlformats.org/officeDocument/2006/relationships/hyperlink" Target="https://www.nea.com/portfolio/newglobe" TargetMode="External"/><Relationship Id="rId533" Type="http://schemas.openxmlformats.org/officeDocument/2006/relationships/hyperlink" Target="https://www.nea.com/portfolio/nevro" TargetMode="External"/><Relationship Id="rId539" Type="http://schemas.openxmlformats.org/officeDocument/2006/relationships/hyperlink" Target="https://www.nea.com/portfolio/niara" TargetMode="External"/><Relationship Id="rId538" Type="http://schemas.openxmlformats.org/officeDocument/2006/relationships/hyperlink" Target="https://www.nea.com/portfolio/nginx" TargetMode="External"/><Relationship Id="rId537" Type="http://schemas.openxmlformats.org/officeDocument/2006/relationships/hyperlink" Target="https://www.nea.com/portfolio/nextnav" TargetMode="External"/><Relationship Id="rId532" Type="http://schemas.openxmlformats.org/officeDocument/2006/relationships/hyperlink" Target="https://www.nea.com/portfolio/neutral-tandem" TargetMode="External"/><Relationship Id="rId531" Type="http://schemas.openxmlformats.org/officeDocument/2006/relationships/hyperlink" Target="https://www.nea.com/portfolio/neuropace" TargetMode="External"/><Relationship Id="rId530" Type="http://schemas.openxmlformats.org/officeDocument/2006/relationships/hyperlink" Target="https://www.nea.com/portfolio/neuralieve" TargetMode="External"/><Relationship Id="rId569" Type="http://schemas.openxmlformats.org/officeDocument/2006/relationships/hyperlink" Target="https://www.nea.com/portfolio/pentaho" TargetMode="External"/><Relationship Id="rId568" Type="http://schemas.openxmlformats.org/officeDocument/2006/relationships/hyperlink" Target="https://www.nea.com/portfolio/pcorder" TargetMode="External"/><Relationship Id="rId567" Type="http://schemas.openxmlformats.org/officeDocument/2006/relationships/hyperlink" Target="https://www.nea.com/portfolio/payzen" TargetMode="External"/><Relationship Id="rId566" Type="http://schemas.openxmlformats.org/officeDocument/2006/relationships/hyperlink" Target="https://www.nea.com/portfolio/patientkeeper" TargetMode="External"/><Relationship Id="rId561" Type="http://schemas.openxmlformats.org/officeDocument/2006/relationships/hyperlink" Target="https://www.nea.com/portfolio/packeteer" TargetMode="External"/><Relationship Id="rId560" Type="http://schemas.openxmlformats.org/officeDocument/2006/relationships/hyperlink" Target="https://www.nea.com/portfolio/oyster-point" TargetMode="External"/><Relationship Id="rId565" Type="http://schemas.openxmlformats.org/officeDocument/2006/relationships/hyperlink" Target="https://www.nea.com/portfolio/pathos" TargetMode="External"/><Relationship Id="rId564" Type="http://schemas.openxmlformats.org/officeDocument/2006/relationships/hyperlink" Target="https://www.nea.com/portfolio/parc-place" TargetMode="External"/><Relationship Id="rId563" Type="http://schemas.openxmlformats.org/officeDocument/2006/relationships/hyperlink" Target="https://www.nea.com/portfolio/transcept-pharmaceuticals" TargetMode="External"/><Relationship Id="rId562" Type="http://schemas.openxmlformats.org/officeDocument/2006/relationships/hyperlink" Target="https://www.nea.com/portfolio/pager" TargetMode="External"/><Relationship Id="rId558" Type="http://schemas.openxmlformats.org/officeDocument/2006/relationships/hyperlink" Target="https://www.nea.com/portfolio/orphomed" TargetMode="External"/><Relationship Id="rId557" Type="http://schemas.openxmlformats.org/officeDocument/2006/relationships/hyperlink" Target="https://www.nea.com/portfolio/origin-medsystems" TargetMode="External"/><Relationship Id="rId556" Type="http://schemas.openxmlformats.org/officeDocument/2006/relationships/hyperlink" Target="https://www.nea.com/portfolio/opower" TargetMode="External"/><Relationship Id="rId555" Type="http://schemas.openxmlformats.org/officeDocument/2006/relationships/hyperlink" Target="https://www.nea.com/portfolio/onstream" TargetMode="External"/><Relationship Id="rId559" Type="http://schemas.openxmlformats.org/officeDocument/2006/relationships/hyperlink" Target="https://www.nea.com/portfolio/outrider" TargetMode="External"/><Relationship Id="rId550" Type="http://schemas.openxmlformats.org/officeDocument/2006/relationships/hyperlink" Target="https://www.nea.com/portfolio/oculeve" TargetMode="External"/><Relationship Id="rId554" Type="http://schemas.openxmlformats.org/officeDocument/2006/relationships/hyperlink" Target="https://www.nea.com/portfolio/onshape" TargetMode="External"/><Relationship Id="rId553" Type="http://schemas.openxmlformats.org/officeDocument/2006/relationships/hyperlink" Target="https://www.nea.com/portfolio/one-concern" TargetMode="External"/><Relationship Id="rId552" Type="http://schemas.openxmlformats.org/officeDocument/2006/relationships/hyperlink" Target="https://www.nea.com/portfolio/omthera-pharmaceuticals" TargetMode="External"/><Relationship Id="rId551" Type="http://schemas.openxmlformats.org/officeDocument/2006/relationships/hyperlink" Target="https://www.nea.com/portfolio/omio" TargetMode="External"/><Relationship Id="rId495" Type="http://schemas.openxmlformats.org/officeDocument/2006/relationships/hyperlink" Target="https://www.nea.com/portfolio/mejuri" TargetMode="External"/><Relationship Id="rId494" Type="http://schemas.openxmlformats.org/officeDocument/2006/relationships/hyperlink" Target="https://www.nea.com/portfolio/medisys-edutech" TargetMode="External"/><Relationship Id="rId493" Type="http://schemas.openxmlformats.org/officeDocument/2006/relationships/hyperlink" Target="https://www.nea.com/portfolio/mbx-biosciences" TargetMode="External"/><Relationship Id="rId492" Type="http://schemas.openxmlformats.org/officeDocument/2006/relationships/hyperlink" Target="https://www.nea.com/portfolio/matroid" TargetMode="External"/><Relationship Id="rId499" Type="http://schemas.openxmlformats.org/officeDocument/2006/relationships/hyperlink" Target="https://www.nea.com/portfolio/metronome" TargetMode="External"/><Relationship Id="rId498" Type="http://schemas.openxmlformats.org/officeDocument/2006/relationships/hyperlink" Target="https://www.nea.com/portfolio/metacrine" TargetMode="External"/><Relationship Id="rId497" Type="http://schemas.openxmlformats.org/officeDocument/2006/relationships/hyperlink" Target="https://www.nea.com/portfolio/metabase" TargetMode="External"/><Relationship Id="rId496" Type="http://schemas.openxmlformats.org/officeDocument/2006/relationships/hyperlink" Target="https://www.nea.com/portfolio/mersana" TargetMode="External"/><Relationship Id="rId409" Type="http://schemas.openxmlformats.org/officeDocument/2006/relationships/hyperlink" Target="https://grid.is/" TargetMode="External"/><Relationship Id="rId404" Type="http://schemas.openxmlformats.org/officeDocument/2006/relationships/hyperlink" Target="https://www.nea.com/portfolio/green-chef" TargetMode="External"/><Relationship Id="rId403" Type="http://schemas.openxmlformats.org/officeDocument/2006/relationships/hyperlink" Target="https://gravel.co.id/" TargetMode="External"/><Relationship Id="rId402" Type="http://schemas.openxmlformats.org/officeDocument/2006/relationships/hyperlink" Target="https://www.nea.com/portfolio/gravel" TargetMode="External"/><Relationship Id="rId401" Type="http://schemas.openxmlformats.org/officeDocument/2006/relationships/hyperlink" Target="https://www.nea.com/portfolio/graphite-systems" TargetMode="External"/><Relationship Id="rId408" Type="http://schemas.openxmlformats.org/officeDocument/2006/relationships/hyperlink" Target="https://www.nea.com/portfolio/grid" TargetMode="External"/><Relationship Id="rId407" Type="http://schemas.openxmlformats.org/officeDocument/2006/relationships/hyperlink" Target="https://www.greythr.com/" TargetMode="External"/><Relationship Id="rId406" Type="http://schemas.openxmlformats.org/officeDocument/2006/relationships/hyperlink" Target="https://www.nea.com/portfolio/greythr" TargetMode="External"/><Relationship Id="rId405" Type="http://schemas.openxmlformats.org/officeDocument/2006/relationships/hyperlink" Target="https://www.greenchef.com/" TargetMode="External"/><Relationship Id="rId400" Type="http://schemas.openxmlformats.org/officeDocument/2006/relationships/hyperlink" Target="https://www.nea.com/portfolio/grand-junction" TargetMode="External"/><Relationship Id="rId469" Type="http://schemas.openxmlformats.org/officeDocument/2006/relationships/hyperlink" Target="https://www.nea.com/portfolio/lianlian" TargetMode="External"/><Relationship Id="rId468" Type="http://schemas.openxmlformats.org/officeDocument/2006/relationships/hyperlink" Target="https://www.nea.com/portfolio/letgo" TargetMode="External"/><Relationship Id="rId467" Type="http://schemas.openxmlformats.org/officeDocument/2006/relationships/hyperlink" Target="https://www.nea.com/portfolio/legato-medical" TargetMode="External"/><Relationship Id="rId462" Type="http://schemas.openxmlformats.org/officeDocument/2006/relationships/hyperlink" Target="https://www.nea.com/portfolio/korro" TargetMode="External"/><Relationship Id="rId461" Type="http://schemas.openxmlformats.org/officeDocument/2006/relationships/hyperlink" Target="https://www.nea.com/portfolio/konux" TargetMode="External"/><Relationship Id="rId460" Type="http://schemas.openxmlformats.org/officeDocument/2006/relationships/hyperlink" Target="https://www.nea.com/portfolio/knotch" TargetMode="External"/><Relationship Id="rId466" Type="http://schemas.openxmlformats.org/officeDocument/2006/relationships/hyperlink" Target="https://www.nea.com/portfolio/ledgy" TargetMode="External"/><Relationship Id="rId465" Type="http://schemas.openxmlformats.org/officeDocument/2006/relationships/hyperlink" Target="https://www.nea.com/portfolio/laurel-networks" TargetMode="External"/><Relationship Id="rId464" Type="http://schemas.openxmlformats.org/officeDocument/2006/relationships/hyperlink" Target="https://www.nea.com/portfolio/lattice-engines" TargetMode="External"/><Relationship Id="rId463" Type="http://schemas.openxmlformats.org/officeDocument/2006/relationships/hyperlink" Target="https://www.nea.com/portfolio/kumu-networks" TargetMode="External"/><Relationship Id="rId459" Type="http://schemas.openxmlformats.org/officeDocument/2006/relationships/hyperlink" Target="https://www.nea.com/portfolio/kindred" TargetMode="External"/><Relationship Id="rId458" Type="http://schemas.openxmlformats.org/officeDocument/2006/relationships/hyperlink" Target="https://www.nea.com/portfolio/ketra" TargetMode="External"/><Relationship Id="rId457" Type="http://schemas.openxmlformats.org/officeDocument/2006/relationships/hyperlink" Target="https://www.nea.com/portfolio/kaazing" TargetMode="External"/><Relationship Id="rId456" Type="http://schemas.openxmlformats.org/officeDocument/2006/relationships/hyperlink" Target="https://www.nea.com/portfolio/juvo" TargetMode="External"/><Relationship Id="rId451" Type="http://schemas.openxmlformats.org/officeDocument/2006/relationships/hyperlink" Target="https://www.nea.com/portfolio/ionq" TargetMode="External"/><Relationship Id="rId450" Type="http://schemas.openxmlformats.org/officeDocument/2006/relationships/hyperlink" Target="https://www.nea.com/portfolio/iomai-corporation" TargetMode="External"/><Relationship Id="rId455" Type="http://schemas.openxmlformats.org/officeDocument/2006/relationships/hyperlink" Target="https://www.nea.com/portfolio/juniper-networks" TargetMode="External"/><Relationship Id="rId454" Type="http://schemas.openxmlformats.org/officeDocument/2006/relationships/hyperlink" Target="https://www.nea.com/portfolio/jet-com" TargetMode="External"/><Relationship Id="rId453" Type="http://schemas.openxmlformats.org/officeDocument/2006/relationships/hyperlink" Target="https://www.nea.com/portfolio/ivantis" TargetMode="External"/><Relationship Id="rId452" Type="http://schemas.openxmlformats.org/officeDocument/2006/relationships/hyperlink" Target="https://www.nea.com/portfolio/iridex-corporation" TargetMode="External"/><Relationship Id="rId491" Type="http://schemas.openxmlformats.org/officeDocument/2006/relationships/hyperlink" Target="https://www.nea.com/portfolio/masterclass" TargetMode="External"/><Relationship Id="rId490" Type="http://schemas.openxmlformats.org/officeDocument/2006/relationships/hyperlink" Target="https://www.nea.com/portfolio/mashgin" TargetMode="External"/><Relationship Id="rId489" Type="http://schemas.openxmlformats.org/officeDocument/2006/relationships/hyperlink" Target="https://www.nea.com/portfolio/marker-therapeutics" TargetMode="External"/><Relationship Id="rId484" Type="http://schemas.openxmlformats.org/officeDocument/2006/relationships/hyperlink" Target="https://www.nea.com/portfolio/lxa" TargetMode="External"/><Relationship Id="rId483" Type="http://schemas.openxmlformats.org/officeDocument/2006/relationships/hyperlink" Target="https://www.nea.com/portfolio/luxtera" TargetMode="External"/><Relationship Id="rId482" Type="http://schemas.openxmlformats.org/officeDocument/2006/relationships/hyperlink" Target="https://www.nea.com/portfolio/lumos-pharma" TargetMode="External"/><Relationship Id="rId481" Type="http://schemas.openxmlformats.org/officeDocument/2006/relationships/hyperlink" Target="https://www.nea.com/portfolio/luminate-wireless" TargetMode="External"/><Relationship Id="rId488" Type="http://schemas.openxmlformats.org/officeDocument/2006/relationships/hyperlink" Target="https://www.nea.com/portfolio/mainstream-data" TargetMode="External"/><Relationship Id="rId487" Type="http://schemas.openxmlformats.org/officeDocument/2006/relationships/hyperlink" Target="https://www.nea.com/portfolio/magma-design-automation" TargetMode="External"/><Relationship Id="rId486" Type="http://schemas.openxmlformats.org/officeDocument/2006/relationships/hyperlink" Target="https://www.nea.com/portfolio/magenta-medical" TargetMode="External"/><Relationship Id="rId485" Type="http://schemas.openxmlformats.org/officeDocument/2006/relationships/hyperlink" Target="https://www.nea.com/portfolio/macromedia" TargetMode="External"/><Relationship Id="rId480" Type="http://schemas.openxmlformats.org/officeDocument/2006/relationships/hyperlink" Target="https://www.nea.com/portfolio/luminary-micro" TargetMode="External"/><Relationship Id="rId479" Type="http://schemas.openxmlformats.org/officeDocument/2006/relationships/hyperlink" Target="https://www.nea.com/portfolio/luminary" TargetMode="External"/><Relationship Id="rId478" Type="http://schemas.openxmlformats.org/officeDocument/2006/relationships/hyperlink" Target="https://www.nea.com/portfolio/lumena" TargetMode="External"/><Relationship Id="rId473" Type="http://schemas.openxmlformats.org/officeDocument/2006/relationships/hyperlink" Target="https://www.nea.com/portfolio/lithium-technologies" TargetMode="External"/><Relationship Id="rId472" Type="http://schemas.openxmlformats.org/officeDocument/2006/relationships/hyperlink" Target="https://www.nea.com/portfolio/liquidia-corporation" TargetMode="External"/><Relationship Id="rId471" Type="http://schemas.openxmlformats.org/officeDocument/2006/relationships/hyperlink" Target="https://www.nea.com/portfolio/linekong-international-co-ltd" TargetMode="External"/><Relationship Id="rId470" Type="http://schemas.openxmlformats.org/officeDocument/2006/relationships/hyperlink" Target="https://www.nea.com/portfolio/life-technologies" TargetMode="External"/><Relationship Id="rId477" Type="http://schemas.openxmlformats.org/officeDocument/2006/relationships/hyperlink" Target="https://www.nea.com/portfolio/loxo-oncology" TargetMode="External"/><Relationship Id="rId476" Type="http://schemas.openxmlformats.org/officeDocument/2006/relationships/hyperlink" Target="https://www.nea.com/portfolio/loopt" TargetMode="External"/><Relationship Id="rId475" Type="http://schemas.openxmlformats.org/officeDocument/2006/relationships/hyperlink" Target="https://www.nea.com/portfolio/long-term-care-group" TargetMode="External"/><Relationship Id="rId474" Type="http://schemas.openxmlformats.org/officeDocument/2006/relationships/hyperlink" Target="https://www.nea.com/portfolio/logikcull" TargetMode="External"/><Relationship Id="rId426" Type="http://schemas.openxmlformats.org/officeDocument/2006/relationships/hyperlink" Target="https://www.nea.com/portfolio/heavy-ai" TargetMode="External"/><Relationship Id="rId425" Type="http://schemas.openxmlformats.org/officeDocument/2006/relationships/hyperlink" Target="https://www.nea.com/portfolio/hearsay-social" TargetMode="External"/><Relationship Id="rId424" Type="http://schemas.openxmlformats.org/officeDocument/2006/relationships/hyperlink" Target="https://www.nea.com/portfolio/heap" TargetMode="External"/><Relationship Id="rId423" Type="http://schemas.openxmlformats.org/officeDocument/2006/relationships/hyperlink" Target="https://www.nea.com/portfolio/healthsouth" TargetMode="External"/><Relationship Id="rId429" Type="http://schemas.openxmlformats.org/officeDocument/2006/relationships/hyperlink" Target="https://www.nea.com/portfolio/hydra-biosciences-inc" TargetMode="External"/><Relationship Id="rId428" Type="http://schemas.openxmlformats.org/officeDocument/2006/relationships/hyperlink" Target="https://www.nea.com/portfolio/houzz" TargetMode="External"/><Relationship Id="rId427" Type="http://schemas.openxmlformats.org/officeDocument/2006/relationships/hyperlink" Target="https://www.nea.com/portfolio/hillcrest-laboratories" TargetMode="External"/><Relationship Id="rId422" Type="http://schemas.openxmlformats.org/officeDocument/2006/relationships/hyperlink" Target="https://www.nea.com/portfolio/hdmessaging" TargetMode="External"/><Relationship Id="rId421" Type="http://schemas.openxmlformats.org/officeDocument/2006/relationships/hyperlink" Target="https://www.nea.com/portfolio/hackerone" TargetMode="External"/><Relationship Id="rId420" Type="http://schemas.openxmlformats.org/officeDocument/2006/relationships/hyperlink" Target="https://www.nea.com/portfolio/habitat-health" TargetMode="External"/><Relationship Id="rId415" Type="http://schemas.openxmlformats.org/officeDocument/2006/relationships/hyperlink" Target="https://www.nea.com/portfolio/gst-clinics" TargetMode="External"/><Relationship Id="rId414" Type="http://schemas.openxmlformats.org/officeDocument/2006/relationships/hyperlink" Target="https://www.nea.com/portfolio/growth-networks" TargetMode="External"/><Relationship Id="rId413" Type="http://schemas.openxmlformats.org/officeDocument/2006/relationships/hyperlink" Target="https://www.groupon.com/" TargetMode="External"/><Relationship Id="rId412" Type="http://schemas.openxmlformats.org/officeDocument/2006/relationships/hyperlink" Target="https://www.nea.com/portfolio/groupon" TargetMode="External"/><Relationship Id="rId419" Type="http://schemas.openxmlformats.org/officeDocument/2006/relationships/hyperlink" Target="https://www.nea.com/portfolio/gynecare" TargetMode="External"/><Relationship Id="rId418" Type="http://schemas.openxmlformats.org/officeDocument/2006/relationships/hyperlink" Target="https://www.nea.com/portfolio/gumgum" TargetMode="External"/><Relationship Id="rId417" Type="http://schemas.openxmlformats.org/officeDocument/2006/relationships/hyperlink" Target="https://www.nea.com/portfolio/guideline" TargetMode="External"/><Relationship Id="rId416" Type="http://schemas.openxmlformats.org/officeDocument/2006/relationships/hyperlink" Target="https://www.nea.com/portfolio/guardent" TargetMode="External"/><Relationship Id="rId411" Type="http://schemas.openxmlformats.org/officeDocument/2006/relationships/hyperlink" Target="https://www.gridpoint.com/" TargetMode="External"/><Relationship Id="rId410" Type="http://schemas.openxmlformats.org/officeDocument/2006/relationships/hyperlink" Target="https://www.nea.com/portfolio/gridpoint" TargetMode="External"/><Relationship Id="rId448" Type="http://schemas.openxmlformats.org/officeDocument/2006/relationships/hyperlink" Target="https://www.nea.com/portfolio/inversago" TargetMode="External"/><Relationship Id="rId447" Type="http://schemas.openxmlformats.org/officeDocument/2006/relationships/hyperlink" Target="https://www.nea.com/portfolio/intrinsic-therapeutics" TargetMode="External"/><Relationship Id="rId446" Type="http://schemas.openxmlformats.org/officeDocument/2006/relationships/hyperlink" Target="https://www.nea.com/portfolio/intrinsic" TargetMode="External"/><Relationship Id="rId445" Type="http://schemas.openxmlformats.org/officeDocument/2006/relationships/hyperlink" Target="https://www.nea.com/portfolio/intellisys" TargetMode="External"/><Relationship Id="rId449" Type="http://schemas.openxmlformats.org/officeDocument/2006/relationships/hyperlink" Target="https://www.nea.com/portfolio/iobeam" TargetMode="External"/><Relationship Id="rId440" Type="http://schemas.openxmlformats.org/officeDocument/2006/relationships/hyperlink" Target="https://www.nea.com/portfolio/inozyme-pharma" TargetMode="External"/><Relationship Id="rId444" Type="http://schemas.openxmlformats.org/officeDocument/2006/relationships/hyperlink" Target="https://www.nea.com/portfolio/intelligencenode" TargetMode="External"/><Relationship Id="rId443" Type="http://schemas.openxmlformats.org/officeDocument/2006/relationships/hyperlink" Target="https://www.nea.com/portfolio/intact-vascular" TargetMode="External"/><Relationship Id="rId442" Type="http://schemas.openxmlformats.org/officeDocument/2006/relationships/hyperlink" Target="https://www.nea.com/portfolio/instabase" TargetMode="External"/><Relationship Id="rId441" Type="http://schemas.openxmlformats.org/officeDocument/2006/relationships/hyperlink" Target="https://www.nea.com/portfolio/insoft" TargetMode="External"/><Relationship Id="rId437" Type="http://schemas.openxmlformats.org/officeDocument/2006/relationships/hyperlink" Target="https://www.nea.com/portfolio/infogear-technology" TargetMode="External"/><Relationship Id="rId436" Type="http://schemas.openxmlformats.org/officeDocument/2006/relationships/hyperlink" Target="https://www.nea.com/portfolio/incarey" TargetMode="External"/><Relationship Id="rId435" Type="http://schemas.openxmlformats.org/officeDocument/2006/relationships/hyperlink" Target="https://www.nea.com/portfolio/imara" TargetMode="External"/><Relationship Id="rId434" Type="http://schemas.openxmlformats.org/officeDocument/2006/relationships/hyperlink" Target="https://www.nea.com/portfolio/imanage" TargetMode="External"/><Relationship Id="rId439" Type="http://schemas.openxmlformats.org/officeDocument/2006/relationships/hyperlink" Target="https://www.nea.com/portfolio/inkitt" TargetMode="External"/><Relationship Id="rId438" Type="http://schemas.openxmlformats.org/officeDocument/2006/relationships/hyperlink" Target="https://www.nea.com/portfolio/infoworks" TargetMode="External"/><Relationship Id="rId433" Type="http://schemas.openxmlformats.org/officeDocument/2006/relationships/hyperlink" Target="https://www.nea.com/portfolio/illusive-networks" TargetMode="External"/><Relationship Id="rId432" Type="http://schemas.openxmlformats.org/officeDocument/2006/relationships/hyperlink" Target="https://www.nea.com/portfolio/ifonly" TargetMode="External"/><Relationship Id="rId431" Type="http://schemas.openxmlformats.org/officeDocument/2006/relationships/hyperlink" Target="https://www.nea.com/portfolio/idfy" TargetMode="External"/><Relationship Id="rId430" Type="http://schemas.openxmlformats.org/officeDocument/2006/relationships/hyperlink" Target="https://www.nea.com/portfolio/hyperion-therapeutics" TargetMode="External"/><Relationship Id="rId1" Type="http://schemas.openxmlformats.org/officeDocument/2006/relationships/hyperlink" Target="https://www.nea.com/portfolio/1bog" TargetMode="External"/><Relationship Id="rId2" Type="http://schemas.openxmlformats.org/officeDocument/2006/relationships/hyperlink" Target="https://www.nea.com/portfolio/23andme" TargetMode="External"/><Relationship Id="rId3" Type="http://schemas.openxmlformats.org/officeDocument/2006/relationships/hyperlink" Target="https://www.23andme.com/" TargetMode="External"/><Relationship Id="rId4" Type="http://schemas.openxmlformats.org/officeDocument/2006/relationships/hyperlink" Target="https://www.nea.com/portfolio/3com-corporation" TargetMode="External"/><Relationship Id="rId9" Type="http://schemas.openxmlformats.org/officeDocument/2006/relationships/hyperlink" Target="https://m.51offer.com/" TargetMode="External"/><Relationship Id="rId5" Type="http://schemas.openxmlformats.org/officeDocument/2006/relationships/hyperlink" Target="https://www.nea.com/portfolio/3ware" TargetMode="External"/><Relationship Id="rId6" Type="http://schemas.openxmlformats.org/officeDocument/2006/relationships/hyperlink" Target="https://www.nea.com/portfolio/42floors" TargetMode="External"/><Relationship Id="rId7" Type="http://schemas.openxmlformats.org/officeDocument/2006/relationships/hyperlink" Target="https://42floors.com/" TargetMode="External"/><Relationship Id="rId8" Type="http://schemas.openxmlformats.org/officeDocument/2006/relationships/hyperlink" Target="https://www.nea.com/portfolio/51offer" TargetMode="External"/><Relationship Id="rId808" Type="http://schemas.openxmlformats.org/officeDocument/2006/relationships/hyperlink" Target="https://www.nea.com/portfolio/webmd-healtheon" TargetMode="External"/><Relationship Id="rId807" Type="http://schemas.openxmlformats.org/officeDocument/2006/relationships/hyperlink" Target="https://www.nea.com/portfolio/webex-communications" TargetMode="External"/><Relationship Id="rId806" Type="http://schemas.openxmlformats.org/officeDocument/2006/relationships/hyperlink" Target="https://www.nea.com/portfolio/weaviate" TargetMode="External"/><Relationship Id="rId805" Type="http://schemas.openxmlformats.org/officeDocument/2006/relationships/hyperlink" Target="https://www.nea.com/portfolio/wayport" TargetMode="External"/><Relationship Id="rId809" Type="http://schemas.openxmlformats.org/officeDocument/2006/relationships/hyperlink" Target="https://www.nea.com/portfolio/welltok" TargetMode="External"/><Relationship Id="rId800" Type="http://schemas.openxmlformats.org/officeDocument/2006/relationships/hyperlink" Target="https://www.nea.com/portfolio/vtesse" TargetMode="External"/><Relationship Id="rId804" Type="http://schemas.openxmlformats.org/officeDocument/2006/relationships/hyperlink" Target="https://www.nea.com/portfolio/waymark" TargetMode="External"/><Relationship Id="rId803" Type="http://schemas.openxmlformats.org/officeDocument/2006/relationships/hyperlink" Target="https://www.nea.com/portfolio/wallapop" TargetMode="External"/><Relationship Id="rId802" Type="http://schemas.openxmlformats.org/officeDocument/2006/relationships/hyperlink" Target="https://www.nea.com/portfolio/vytronus" TargetMode="External"/><Relationship Id="rId801" Type="http://schemas.openxmlformats.org/officeDocument/2006/relationships/hyperlink" Target="https://www.nea.com/portfolio/vuclip" TargetMode="External"/><Relationship Id="rId745" Type="http://schemas.openxmlformats.org/officeDocument/2006/relationships/hyperlink" Target="https://traconpharma.com/" TargetMode="External"/><Relationship Id="rId744" Type="http://schemas.openxmlformats.org/officeDocument/2006/relationships/hyperlink" Target="https://www.nea.com/portfolio/tracon-pharmaceuticals" TargetMode="External"/><Relationship Id="rId743" Type="http://schemas.openxmlformats.org/officeDocument/2006/relationships/hyperlink" Target="https://www.nea.com/portfolio/trackmaven" TargetMode="External"/><Relationship Id="rId742" Type="http://schemas.openxmlformats.org/officeDocument/2006/relationships/hyperlink" Target="https://www.topia.com/" TargetMode="External"/><Relationship Id="rId749" Type="http://schemas.openxmlformats.org/officeDocument/2006/relationships/hyperlink" Target="https://www.nea.com/portfolio/transvascular" TargetMode="External"/><Relationship Id="rId748" Type="http://schemas.openxmlformats.org/officeDocument/2006/relationships/hyperlink" Target="https://transfix.io/" TargetMode="External"/><Relationship Id="rId747" Type="http://schemas.openxmlformats.org/officeDocument/2006/relationships/hyperlink" Target="https://www.nea.com/portfolio/transfix" TargetMode="External"/><Relationship Id="rId746" Type="http://schemas.openxmlformats.org/officeDocument/2006/relationships/hyperlink" Target="https://www.nea.com/portfolio/trading-dynamics" TargetMode="External"/><Relationship Id="rId741" Type="http://schemas.openxmlformats.org/officeDocument/2006/relationships/hyperlink" Target="https://www.nea.com/portfolio/topia" TargetMode="External"/><Relationship Id="rId740" Type="http://schemas.openxmlformats.org/officeDocument/2006/relationships/hyperlink" Target="https://www.abbott.com/" TargetMode="External"/><Relationship Id="rId739" Type="http://schemas.openxmlformats.org/officeDocument/2006/relationships/hyperlink" Target="https://www.nea.com/portfolio/topera" TargetMode="External"/><Relationship Id="rId734" Type="http://schemas.openxmlformats.org/officeDocument/2006/relationships/hyperlink" Target="https://www.tigera.io/" TargetMode="External"/><Relationship Id="rId733" Type="http://schemas.openxmlformats.org/officeDocument/2006/relationships/hyperlink" Target="https://www.nea.com/portfolio/tigera" TargetMode="External"/><Relationship Id="rId732" Type="http://schemas.openxmlformats.org/officeDocument/2006/relationships/hyperlink" Target="https://www.sanofi.com/en" TargetMode="External"/><Relationship Id="rId731" Type="http://schemas.openxmlformats.org/officeDocument/2006/relationships/hyperlink" Target="https://www.nea.com/portfolio/tidal-therapeutics" TargetMode="External"/><Relationship Id="rId738" Type="http://schemas.openxmlformats.org/officeDocument/2006/relationships/hyperlink" Target="https://www.together.ai/" TargetMode="External"/><Relationship Id="rId737" Type="http://schemas.openxmlformats.org/officeDocument/2006/relationships/hyperlink" Target="https://www.nea.com/portfolio/together-ai" TargetMode="External"/><Relationship Id="rId736" Type="http://schemas.openxmlformats.org/officeDocument/2006/relationships/hyperlink" Target="https://www.timescale.com/" TargetMode="External"/><Relationship Id="rId735" Type="http://schemas.openxmlformats.org/officeDocument/2006/relationships/hyperlink" Target="https://www.nea.com/portfolio/timescale" TargetMode="External"/><Relationship Id="rId730" Type="http://schemas.openxmlformats.org/officeDocument/2006/relationships/hyperlink" Target="https://www.threatq.com/" TargetMode="External"/><Relationship Id="rId767" Type="http://schemas.openxmlformats.org/officeDocument/2006/relationships/hyperlink" Target="https://www.twelvelabs.io/" TargetMode="External"/><Relationship Id="rId766" Type="http://schemas.openxmlformats.org/officeDocument/2006/relationships/hyperlink" Target="https://www.nea.com/portfolio/twelve-labs" TargetMode="External"/><Relationship Id="rId765" Type="http://schemas.openxmlformats.org/officeDocument/2006/relationships/hyperlink" Target="https://www.tuya.com/" TargetMode="External"/><Relationship Id="rId764" Type="http://schemas.openxmlformats.org/officeDocument/2006/relationships/hyperlink" Target="https://www.nea.com/portfolio/tuya" TargetMode="External"/><Relationship Id="rId769" Type="http://schemas.openxmlformats.org/officeDocument/2006/relationships/hyperlink" Target="https://www.nea.com/portfolio/ulink" TargetMode="External"/><Relationship Id="rId768" Type="http://schemas.openxmlformats.org/officeDocument/2006/relationships/hyperlink" Target="https://www.nea.com/portfolio/uhana" TargetMode="External"/><Relationship Id="rId763" Type="http://schemas.openxmlformats.org/officeDocument/2006/relationships/hyperlink" Target="https://www.nea.com/portfolio/turi" TargetMode="External"/><Relationship Id="rId762" Type="http://schemas.openxmlformats.org/officeDocument/2006/relationships/hyperlink" Target="https://tunetx.com/" TargetMode="External"/><Relationship Id="rId761" Type="http://schemas.openxmlformats.org/officeDocument/2006/relationships/hyperlink" Target="https://www.nea.com/portfolio/tune-therapeutics" TargetMode="External"/><Relationship Id="rId760" Type="http://schemas.openxmlformats.org/officeDocument/2006/relationships/hyperlink" Target="https://tulip.co/" TargetMode="External"/><Relationship Id="rId756" Type="http://schemas.openxmlformats.org/officeDocument/2006/relationships/hyperlink" Target="https://www.trivalence.com/" TargetMode="External"/><Relationship Id="rId755" Type="http://schemas.openxmlformats.org/officeDocument/2006/relationships/hyperlink" Target="https://www.nea.com/portfolio/trivalence" TargetMode="External"/><Relationship Id="rId754" Type="http://schemas.openxmlformats.org/officeDocument/2006/relationships/hyperlink" Target="https://www.nea.com/portfolio/tripod" TargetMode="External"/><Relationship Id="rId753" Type="http://schemas.openxmlformats.org/officeDocument/2006/relationships/hyperlink" Target="https://www.trevena.com/" TargetMode="External"/><Relationship Id="rId759" Type="http://schemas.openxmlformats.org/officeDocument/2006/relationships/hyperlink" Target="https://www.nea.com/portfolio/tulip" TargetMode="External"/><Relationship Id="rId758" Type="http://schemas.openxmlformats.org/officeDocument/2006/relationships/hyperlink" Target="https://endologix.com/" TargetMode="External"/><Relationship Id="rId757" Type="http://schemas.openxmlformats.org/officeDocument/2006/relationships/hyperlink" Target="https://www.nea.com/portfolio/trivascular" TargetMode="External"/><Relationship Id="rId752" Type="http://schemas.openxmlformats.org/officeDocument/2006/relationships/hyperlink" Target="https://www.nea.com/portfolio/trevena" TargetMode="External"/><Relationship Id="rId751" Type="http://schemas.openxmlformats.org/officeDocument/2006/relationships/hyperlink" Target="https://travelbank.com/" TargetMode="External"/><Relationship Id="rId750" Type="http://schemas.openxmlformats.org/officeDocument/2006/relationships/hyperlink" Target="https://www.nea.com/portfolio/travelbank" TargetMode="External"/><Relationship Id="rId709" Type="http://schemas.openxmlformats.org/officeDocument/2006/relationships/hyperlink" Target="https://www.nea.com/portfolio/tempest-therapeutics" TargetMode="External"/><Relationship Id="rId708" Type="http://schemas.openxmlformats.org/officeDocument/2006/relationships/hyperlink" Target="https://telegentsystems.com/" TargetMode="External"/><Relationship Id="rId707" Type="http://schemas.openxmlformats.org/officeDocument/2006/relationships/hyperlink" Target="https://www.nea.com/portfolio/telegent-systems" TargetMode="External"/><Relationship Id="rId706" Type="http://schemas.openxmlformats.org/officeDocument/2006/relationships/hyperlink" Target="https://www.technicalcommunities.com/" TargetMode="External"/><Relationship Id="rId701" Type="http://schemas.openxmlformats.org/officeDocument/2006/relationships/hyperlink" Target="https://www.nea.com/portfolio/tagworks" TargetMode="External"/><Relationship Id="rId700" Type="http://schemas.openxmlformats.org/officeDocument/2006/relationships/hyperlink" Target="https://www.tagkast.com/" TargetMode="External"/><Relationship Id="rId705" Type="http://schemas.openxmlformats.org/officeDocument/2006/relationships/hyperlink" Target="https://www.nea.com/portfolio/technical-communities" TargetMode="External"/><Relationship Id="rId704" Type="http://schemas.openxmlformats.org/officeDocument/2006/relationships/hyperlink" Target="https://www.tamaramellon.com/" TargetMode="External"/><Relationship Id="rId703" Type="http://schemas.openxmlformats.org/officeDocument/2006/relationships/hyperlink" Target="https://www.nea.com/portfolio/tamara-mellon" TargetMode="External"/><Relationship Id="rId702" Type="http://schemas.openxmlformats.org/officeDocument/2006/relationships/hyperlink" Target="https://www.tagworkspharma.com/" TargetMode="External"/><Relationship Id="rId729" Type="http://schemas.openxmlformats.org/officeDocument/2006/relationships/hyperlink" Target="https://www.nea.com/portfolio/threatquotient" TargetMode="External"/><Relationship Id="rId728" Type="http://schemas.openxmlformats.org/officeDocument/2006/relationships/hyperlink" Target="https://www.thirdlove.com/" TargetMode="External"/><Relationship Id="rId723" Type="http://schemas.openxmlformats.org/officeDocument/2006/relationships/hyperlink" Target="https://www.theyes.com/" TargetMode="External"/><Relationship Id="rId722" Type="http://schemas.openxmlformats.org/officeDocument/2006/relationships/hyperlink" Target="https://www.nea.com/portfolio/the-yes" TargetMode="External"/><Relationship Id="rId721" Type="http://schemas.openxmlformats.org/officeDocument/2006/relationships/hyperlink" Target="https://www.the-well.com/" TargetMode="External"/><Relationship Id="rId720" Type="http://schemas.openxmlformats.org/officeDocument/2006/relationships/hyperlink" Target="https://www.nea.com/portfolio/the-well" TargetMode="External"/><Relationship Id="rId727" Type="http://schemas.openxmlformats.org/officeDocument/2006/relationships/hyperlink" Target="https://www.nea.com/portfolio/thirdlove" TargetMode="External"/><Relationship Id="rId726" Type="http://schemas.openxmlformats.org/officeDocument/2006/relationships/hyperlink" Target="https://www.nea.com/portfolio/therachon" TargetMode="External"/><Relationship Id="rId725" Type="http://schemas.openxmlformats.org/officeDocument/2006/relationships/hyperlink" Target="https://www.theorycraftgames.com/" TargetMode="External"/><Relationship Id="rId724" Type="http://schemas.openxmlformats.org/officeDocument/2006/relationships/hyperlink" Target="https://www.nea.com/portfolio/theorycraft-games" TargetMode="External"/><Relationship Id="rId719" Type="http://schemas.openxmlformats.org/officeDocument/2006/relationships/hyperlink" Target="https://www.theplayerstribune.com/" TargetMode="External"/><Relationship Id="rId718" Type="http://schemas.openxmlformats.org/officeDocument/2006/relationships/hyperlink" Target="https://www.nea.com/portfolio/the-players-tribune" TargetMode="External"/><Relationship Id="rId717" Type="http://schemas.openxmlformats.org/officeDocument/2006/relationships/hyperlink" Target="https://www.nea.com/portfolio/the-climate-corporation" TargetMode="External"/><Relationship Id="rId712" Type="http://schemas.openxmlformats.org/officeDocument/2006/relationships/hyperlink" Target="https://www.nea.com/portfolio/teracent" TargetMode="External"/><Relationship Id="rId711" Type="http://schemas.openxmlformats.org/officeDocument/2006/relationships/hyperlink" Target="https://www.nea.com/portfolio/teneros" TargetMode="External"/><Relationship Id="rId710" Type="http://schemas.openxmlformats.org/officeDocument/2006/relationships/hyperlink" Target="https://ir.tempesttx.com/" TargetMode="External"/><Relationship Id="rId716" Type="http://schemas.openxmlformats.org/officeDocument/2006/relationships/hyperlink" Target="https://www.testmart.com/" TargetMode="External"/><Relationship Id="rId715" Type="http://schemas.openxmlformats.org/officeDocument/2006/relationships/hyperlink" Target="https://www.nea.com/portfolio/testmart" TargetMode="External"/><Relationship Id="rId714" Type="http://schemas.openxmlformats.org/officeDocument/2006/relationships/hyperlink" Target="https://www.gsk.com/en-gb/investors/corporate-actions/agreement-to-acquire-tesaro/" TargetMode="External"/><Relationship Id="rId713" Type="http://schemas.openxmlformats.org/officeDocument/2006/relationships/hyperlink" Target="https://www.nea.com/portfolio/tesaro" TargetMode="External"/><Relationship Id="rId789" Type="http://schemas.openxmlformats.org/officeDocument/2006/relationships/hyperlink" Target="https://www.bostonscientific.com/en-US/products/indirect-decompression-system/superion-indirect-decompression-system.html" TargetMode="External"/><Relationship Id="rId788" Type="http://schemas.openxmlformats.org/officeDocument/2006/relationships/hyperlink" Target="https://www.nea.com/portfolio/vertiflex" TargetMode="External"/><Relationship Id="rId787" Type="http://schemas.openxmlformats.org/officeDocument/2006/relationships/hyperlink" Target="https://www.vertica.com/" TargetMode="External"/><Relationship Id="rId786" Type="http://schemas.openxmlformats.org/officeDocument/2006/relationships/hyperlink" Target="https://www.nea.com/portfolio/vertica" TargetMode="External"/><Relationship Id="rId781" Type="http://schemas.openxmlformats.org/officeDocument/2006/relationships/hyperlink" Target="https://www.vfirst.com/" TargetMode="External"/><Relationship Id="rId780" Type="http://schemas.openxmlformats.org/officeDocument/2006/relationships/hyperlink" Target="https://www.nea.com/portfolio/valuefirst" TargetMode="External"/><Relationship Id="rId785" Type="http://schemas.openxmlformats.org/officeDocument/2006/relationships/hyperlink" Target="https://www.nea.com/portfolio/vertex-pharmaceuticals" TargetMode="External"/><Relationship Id="rId784" Type="http://schemas.openxmlformats.org/officeDocument/2006/relationships/hyperlink" Target="https://sase.vmware.com/" TargetMode="External"/><Relationship Id="rId783" Type="http://schemas.openxmlformats.org/officeDocument/2006/relationships/hyperlink" Target="https://www.nea.com/portfolio/velocloud" TargetMode="External"/><Relationship Id="rId782" Type="http://schemas.openxmlformats.org/officeDocument/2006/relationships/hyperlink" Target="https://www.nea.com/portfolio/vantage-oncology" TargetMode="External"/><Relationship Id="rId778" Type="http://schemas.openxmlformats.org/officeDocument/2006/relationships/hyperlink" Target="https://www.upwork.com/" TargetMode="External"/><Relationship Id="rId777" Type="http://schemas.openxmlformats.org/officeDocument/2006/relationships/hyperlink" Target="https://www.nea.com/portfolio/upwork-formerly-odesk" TargetMode="External"/><Relationship Id="rId776" Type="http://schemas.openxmlformats.org/officeDocument/2006/relationships/hyperlink" Target="https://www.teamviewer.com/en/upskill/" TargetMode="External"/><Relationship Id="rId775" Type="http://schemas.openxmlformats.org/officeDocument/2006/relationships/hyperlink" Target="https://www.nea.com/portfolio/upskill" TargetMode="External"/><Relationship Id="rId779" Type="http://schemas.openxmlformats.org/officeDocument/2006/relationships/hyperlink" Target="https://www.nea.com/portfolio/uunet" TargetMode="External"/><Relationship Id="rId770" Type="http://schemas.openxmlformats.org/officeDocument/2006/relationships/hyperlink" Target="https://www.nea.com/portfolio/ulthera" TargetMode="External"/><Relationship Id="rId774" Type="http://schemas.openxmlformats.org/officeDocument/2006/relationships/hyperlink" Target="https://www.nea.com/portfolio/union" TargetMode="External"/><Relationship Id="rId773" Type="http://schemas.openxmlformats.org/officeDocument/2006/relationships/hyperlink" Target="https://www.nea.com/portfolio/unifyid" TargetMode="External"/><Relationship Id="rId772" Type="http://schemas.openxmlformats.org/officeDocument/2006/relationships/hyperlink" Target="https://www.nea.com/portfolio/ultradns" TargetMode="External"/><Relationship Id="rId771" Type="http://schemas.openxmlformats.org/officeDocument/2006/relationships/hyperlink" Target="https://ultherapy.com/?redirect=global.ultherapy.com" TargetMode="External"/><Relationship Id="rId799" Type="http://schemas.openxmlformats.org/officeDocument/2006/relationships/hyperlink" Target="https://www.nea.com/portfolio/vori-health" TargetMode="External"/><Relationship Id="rId798" Type="http://schemas.openxmlformats.org/officeDocument/2006/relationships/hyperlink" Target="https://www.nea.com/portfolio/vixs-systems" TargetMode="External"/><Relationship Id="rId797" Type="http://schemas.openxmlformats.org/officeDocument/2006/relationships/hyperlink" Target="https://www.nea.com/portfolio/vividcortex" TargetMode="External"/><Relationship Id="rId792" Type="http://schemas.openxmlformats.org/officeDocument/2006/relationships/hyperlink" Target="https://www.nea.com/portfolio/vimaan-robotics" TargetMode="External"/><Relationship Id="rId791" Type="http://schemas.openxmlformats.org/officeDocument/2006/relationships/hyperlink" Target="https://www.nea.com/portfolio/viddy" TargetMode="External"/><Relationship Id="rId790" Type="http://schemas.openxmlformats.org/officeDocument/2006/relationships/hyperlink" Target="https://www.nea.com/portfolio/vesper-medical" TargetMode="External"/><Relationship Id="rId796" Type="http://schemas.openxmlformats.org/officeDocument/2006/relationships/hyperlink" Target="https://www.nea.com/portfolio/vitae-pharmaceuticals" TargetMode="External"/><Relationship Id="rId795" Type="http://schemas.openxmlformats.org/officeDocument/2006/relationships/hyperlink" Target="https://www.nea.com/portfolio/virtru" TargetMode="External"/><Relationship Id="rId794" Type="http://schemas.openxmlformats.org/officeDocument/2006/relationships/hyperlink" Target="https://www.nea.com/portfolio/virtela" TargetMode="External"/><Relationship Id="rId793" Type="http://schemas.openxmlformats.org/officeDocument/2006/relationships/hyperlink" Target="https://www.nea.com/portfolio/virata" TargetMode="External"/><Relationship Id="rId629" Type="http://schemas.openxmlformats.org/officeDocument/2006/relationships/hyperlink" Target="https://www.nea.com/portfolio/sci-solutions" TargetMode="External"/><Relationship Id="rId624" Type="http://schemas.openxmlformats.org/officeDocument/2006/relationships/hyperlink" Target="https://www.nea.com/portfolio/safebase" TargetMode="External"/><Relationship Id="rId623" Type="http://schemas.openxmlformats.org/officeDocument/2006/relationships/hyperlink" Target="https://www.nea.com/portfolio/rotation-medical" TargetMode="External"/><Relationship Id="rId622" Type="http://schemas.openxmlformats.org/officeDocument/2006/relationships/hyperlink" Target="https://www.nea.com/portfolio/rocket-chat" TargetMode="External"/><Relationship Id="rId621" Type="http://schemas.openxmlformats.org/officeDocument/2006/relationships/hyperlink" Target="https://www.nea.com/portfolio/rocket" TargetMode="External"/><Relationship Id="rId628" Type="http://schemas.openxmlformats.org/officeDocument/2006/relationships/hyperlink" Target="https://www.nea.com/portfolio/sana" TargetMode="External"/><Relationship Id="rId627" Type="http://schemas.openxmlformats.org/officeDocument/2006/relationships/hyperlink" Target="https://www.nea.com/portfolio/salix" TargetMode="External"/><Relationship Id="rId626" Type="http://schemas.openxmlformats.org/officeDocument/2006/relationships/hyperlink" Target="https://www.nea.com/portfolio/sakana-ai" TargetMode="External"/><Relationship Id="rId625" Type="http://schemas.openxmlformats.org/officeDocument/2006/relationships/hyperlink" Target="https://www.nea.com/portfolio/sagimet-biosciences" TargetMode="External"/><Relationship Id="rId620" Type="http://schemas.openxmlformats.org/officeDocument/2006/relationships/hyperlink" Target="https://www.nea.com/portfolio/robinhood" TargetMode="External"/><Relationship Id="rId619" Type="http://schemas.openxmlformats.org/officeDocument/2006/relationships/hyperlink" Target="https://www.nea.com/portfolio/ringcube" TargetMode="External"/><Relationship Id="rId618" Type="http://schemas.openxmlformats.org/officeDocument/2006/relationships/hyperlink" Target="https://www.nea.com/portfolio/rhythm-pharmaceuticals" TargetMode="External"/><Relationship Id="rId613" Type="http://schemas.openxmlformats.org/officeDocument/2006/relationships/hyperlink" Target="https://www.nea.com/portfolio/resilience" TargetMode="External"/><Relationship Id="rId612" Type="http://schemas.openxmlformats.org/officeDocument/2006/relationships/hyperlink" Target="https://www.nea.com/portfolio/reneo-pharmaceuticals" TargetMode="External"/><Relationship Id="rId611" Type="http://schemas.openxmlformats.org/officeDocument/2006/relationships/hyperlink" Target="https://www.nea.com/portfolio/reltio" TargetMode="External"/><Relationship Id="rId610" Type="http://schemas.openxmlformats.org/officeDocument/2006/relationships/hyperlink" Target="https://www.nea.com/portfolio/relievant-medsystems" TargetMode="External"/><Relationship Id="rId617" Type="http://schemas.openxmlformats.org/officeDocument/2006/relationships/hyperlink" Target="https://www.nea.com/portfolio/rewind" TargetMode="External"/><Relationship Id="rId616" Type="http://schemas.openxmlformats.org/officeDocument/2006/relationships/hyperlink" Target="https://www.nea.com/portfolio/revspring" TargetMode="External"/><Relationship Id="rId615" Type="http://schemas.openxmlformats.org/officeDocument/2006/relationships/hyperlink" Target="https://www.nea.com/portfolio/revelle-aesthetics" TargetMode="External"/><Relationship Id="rId614" Type="http://schemas.openxmlformats.org/officeDocument/2006/relationships/hyperlink" Target="https://www.nea.com/portfolio/retrieve" TargetMode="External"/><Relationship Id="rId646" Type="http://schemas.openxmlformats.org/officeDocument/2006/relationships/hyperlink" Target="https://www.nea.com/portfolio/smartcar" TargetMode="External"/><Relationship Id="rId645" Type="http://schemas.openxmlformats.org/officeDocument/2006/relationships/hyperlink" Target="https://www.nea.com/portfolio/slope" TargetMode="External"/><Relationship Id="rId644" Type="http://schemas.openxmlformats.org/officeDocument/2006/relationships/hyperlink" Target="https://www.nea.com/portfolio/sitime" TargetMode="External"/><Relationship Id="rId643" Type="http://schemas.openxmlformats.org/officeDocument/2006/relationships/hyperlink" Target="https://www.nea.com/portfolio/sitetracker" TargetMode="External"/><Relationship Id="rId649" Type="http://schemas.openxmlformats.org/officeDocument/2006/relationships/hyperlink" Target="https://www.nea.com/portfolio/snowplow" TargetMode="External"/><Relationship Id="rId648" Type="http://schemas.openxmlformats.org/officeDocument/2006/relationships/hyperlink" Target="https://www.nea.com/portfolio/snagfilms" TargetMode="External"/><Relationship Id="rId647" Type="http://schemas.openxmlformats.org/officeDocument/2006/relationships/hyperlink" Target="https://www.nea.com/portfolio/smartdrive-systems" TargetMode="External"/><Relationship Id="rId642" Type="http://schemas.openxmlformats.org/officeDocument/2006/relationships/hyperlink" Target="https://www.nea.com/portfolio/sisu" TargetMode="External"/><Relationship Id="rId641" Type="http://schemas.openxmlformats.org/officeDocument/2006/relationships/hyperlink" Target="https://www.nea.com/portfolio/simple-psychology" TargetMode="External"/><Relationship Id="rId640" Type="http://schemas.openxmlformats.org/officeDocument/2006/relationships/hyperlink" Target="https://www.nea.com/portfolio/siliconblue-technologies" TargetMode="External"/><Relationship Id="rId635" Type="http://schemas.openxmlformats.org/officeDocument/2006/relationships/hyperlink" Target="https://www.nea.com/portfolio/sepracor" TargetMode="External"/><Relationship Id="rId634" Type="http://schemas.openxmlformats.org/officeDocument/2006/relationships/hyperlink" Target="https://www.nea.com/portfolio/sentry" TargetMode="External"/><Relationship Id="rId633" Type="http://schemas.openxmlformats.org/officeDocument/2006/relationships/hyperlink" Target="https://www.nea.com/portfolio/sentons" TargetMode="External"/><Relationship Id="rId632" Type="http://schemas.openxmlformats.org/officeDocument/2006/relationships/hyperlink" Target="https://www.nea.com/portfolio/senti-biosciences" TargetMode="External"/><Relationship Id="rId639" Type="http://schemas.openxmlformats.org/officeDocument/2006/relationships/hyperlink" Target="https://www.nea.com/portfolio/silicon-spice" TargetMode="External"/><Relationship Id="rId638" Type="http://schemas.openxmlformats.org/officeDocument/2006/relationships/hyperlink" Target="https://www.nea.com/portfolio/sierra-atlantic" TargetMode="External"/><Relationship Id="rId637" Type="http://schemas.openxmlformats.org/officeDocument/2006/relationships/hyperlink" Target="https://www.nea.com/portfolio/shape-therapeutics" TargetMode="External"/><Relationship Id="rId636" Type="http://schemas.openxmlformats.org/officeDocument/2006/relationships/hyperlink" Target="https://www.nea.com/portfolio/setpoint-medical" TargetMode="External"/><Relationship Id="rId631" Type="http://schemas.openxmlformats.org/officeDocument/2006/relationships/hyperlink" Target="https://www.nea.com/portfolio/senseonics" TargetMode="External"/><Relationship Id="rId630" Type="http://schemas.openxmlformats.org/officeDocument/2006/relationships/hyperlink" Target="https://www.nea.com/portfolio/sciencelogic" TargetMode="External"/><Relationship Id="rId609" Type="http://schemas.openxmlformats.org/officeDocument/2006/relationships/hyperlink" Target="https://www.nea.com/portfolio/redbaby" TargetMode="External"/><Relationship Id="rId608" Type="http://schemas.openxmlformats.org/officeDocument/2006/relationships/hyperlink" Target="https://www.nea.com/portfolio/recludix-pharma" TargetMode="External"/><Relationship Id="rId607" Type="http://schemas.openxmlformats.org/officeDocument/2006/relationships/hyperlink" Target="https://www.nea.com/portfolio/ravel" TargetMode="External"/><Relationship Id="rId602" Type="http://schemas.openxmlformats.org/officeDocument/2006/relationships/hyperlink" Target="https://www.nea.com/portfolio/quantum-bridge-communications" TargetMode="External"/><Relationship Id="rId601" Type="http://schemas.openxmlformats.org/officeDocument/2006/relationships/hyperlink" Target="https://www.nea.com/portfolio/qpex-biopharma" TargetMode="External"/><Relationship Id="rId600" Type="http://schemas.openxmlformats.org/officeDocument/2006/relationships/hyperlink" Target="https://www.nea.com/portfolio/pyxis" TargetMode="External"/><Relationship Id="rId606" Type="http://schemas.openxmlformats.org/officeDocument/2006/relationships/hyperlink" Target="https://www.nea.com/portfolio/rapid-robotics" TargetMode="External"/><Relationship Id="rId605" Type="http://schemas.openxmlformats.org/officeDocument/2006/relationships/hyperlink" Target="https://www.nea.com/portfolio/raise" TargetMode="External"/><Relationship Id="rId604" Type="http://schemas.openxmlformats.org/officeDocument/2006/relationships/hyperlink" Target="https://www.nea.com/portfolio/radiology-partners" TargetMode="External"/><Relationship Id="rId603" Type="http://schemas.openxmlformats.org/officeDocument/2006/relationships/hyperlink" Target="https://www.nea.com/portfolio/ra-pharmaceuticals" TargetMode="External"/><Relationship Id="rId699" Type="http://schemas.openxmlformats.org/officeDocument/2006/relationships/hyperlink" Target="https://www.nea.com/portfolio/tagkast" TargetMode="External"/><Relationship Id="rId698" Type="http://schemas.openxmlformats.org/officeDocument/2006/relationships/hyperlink" Target="https://www.tableau.com/" TargetMode="External"/><Relationship Id="rId693" Type="http://schemas.openxmlformats.org/officeDocument/2006/relationships/hyperlink" Target="https://swiftype.com/" TargetMode="External"/><Relationship Id="rId692" Type="http://schemas.openxmlformats.org/officeDocument/2006/relationships/hyperlink" Target="https://www.nea.com/portfolio/swiftype" TargetMode="External"/><Relationship Id="rId691" Type="http://schemas.openxmlformats.org/officeDocument/2006/relationships/hyperlink" Target="https://www.swiftnav.com/" TargetMode="External"/><Relationship Id="rId690" Type="http://schemas.openxmlformats.org/officeDocument/2006/relationships/hyperlink" Target="https://www.nea.com/portfolio/swift-navigation" TargetMode="External"/><Relationship Id="rId697" Type="http://schemas.openxmlformats.org/officeDocument/2006/relationships/hyperlink" Target="https://www.nea.com/portfolio/tableau-software" TargetMode="External"/><Relationship Id="rId696" Type="http://schemas.openxmlformats.org/officeDocument/2006/relationships/hyperlink" Target="https://www.synopsys.com/" TargetMode="External"/><Relationship Id="rId695" Type="http://schemas.openxmlformats.org/officeDocument/2006/relationships/hyperlink" Target="https://www.nea.com/portfolio/synopsys" TargetMode="External"/><Relationship Id="rId694" Type="http://schemas.openxmlformats.org/officeDocument/2006/relationships/hyperlink" Target="https://www.nea.com/portfolio/switchon-networks" TargetMode="External"/><Relationship Id="rId668" Type="http://schemas.openxmlformats.org/officeDocument/2006/relationships/hyperlink" Target="https://www.nea.com/portfolio/splicebio" TargetMode="External"/><Relationship Id="rId667" Type="http://schemas.openxmlformats.org/officeDocument/2006/relationships/hyperlink" Target="https://www.splashtop.com/" TargetMode="External"/><Relationship Id="rId666" Type="http://schemas.openxmlformats.org/officeDocument/2006/relationships/hyperlink" Target="https://www.nea.com/portfolio/splashtop" TargetMode="External"/><Relationship Id="rId665" Type="http://schemas.openxmlformats.org/officeDocument/2006/relationships/hyperlink" Target="https://www.nea.com/portfolio/spiration" TargetMode="External"/><Relationship Id="rId669" Type="http://schemas.openxmlformats.org/officeDocument/2006/relationships/hyperlink" Target="https://splice.bio/" TargetMode="External"/><Relationship Id="rId660" Type="http://schemas.openxmlformats.org/officeDocument/2006/relationships/hyperlink" Target="https://www.nea.com/portfolio/spectrian" TargetMode="External"/><Relationship Id="rId664" Type="http://schemas.openxmlformats.org/officeDocument/2006/relationships/hyperlink" Target="https://spirashealth.com/about-us/" TargetMode="External"/><Relationship Id="rId663" Type="http://schemas.openxmlformats.org/officeDocument/2006/relationships/hyperlink" Target="https://www.nea.com/portfolio/spiras-health" TargetMode="External"/><Relationship Id="rId662" Type="http://schemas.openxmlformats.org/officeDocument/2006/relationships/hyperlink" Target="https://www.spinewave.com/" TargetMode="External"/><Relationship Id="rId661" Type="http://schemas.openxmlformats.org/officeDocument/2006/relationships/hyperlink" Target="https://www.nea.com/portfolio/spine-wave" TargetMode="External"/><Relationship Id="rId657" Type="http://schemas.openxmlformats.org/officeDocument/2006/relationships/hyperlink" Target="https://www.nea.com/portfolio/sorriso-pharmaceuticals" TargetMode="External"/><Relationship Id="rId656" Type="http://schemas.openxmlformats.org/officeDocument/2006/relationships/hyperlink" Target="https://www.nea.com/portfolio/soraa" TargetMode="External"/><Relationship Id="rId655" Type="http://schemas.openxmlformats.org/officeDocument/2006/relationships/hyperlink" Target="https://www.nea.com/portfolio/sonic-innovations" TargetMode="External"/><Relationship Id="rId654" Type="http://schemas.openxmlformats.org/officeDocument/2006/relationships/hyperlink" Target="https://www.nea.com/portfolio/sonatype" TargetMode="External"/><Relationship Id="rId659" Type="http://schemas.openxmlformats.org/officeDocument/2006/relationships/hyperlink" Target="http://www.sourcefire.com/" TargetMode="External"/><Relationship Id="rId658" Type="http://schemas.openxmlformats.org/officeDocument/2006/relationships/hyperlink" Target="https://www.nea.com/portfolio/sourcefire" TargetMode="External"/><Relationship Id="rId653" Type="http://schemas.openxmlformats.org/officeDocument/2006/relationships/hyperlink" Target="https://www.nea.com/portfolio/some-spider-studios" TargetMode="External"/><Relationship Id="rId652" Type="http://schemas.openxmlformats.org/officeDocument/2006/relationships/hyperlink" Target="https://www.nea.com/portfolio/solidfire" TargetMode="External"/><Relationship Id="rId651" Type="http://schemas.openxmlformats.org/officeDocument/2006/relationships/hyperlink" Target="https://www.nea.com/portfolio/solar-junction" TargetMode="External"/><Relationship Id="rId650" Type="http://schemas.openxmlformats.org/officeDocument/2006/relationships/hyperlink" Target="https://www.nea.com/portfolio/socialradar" TargetMode="External"/><Relationship Id="rId689" Type="http://schemas.openxmlformats.org/officeDocument/2006/relationships/hyperlink" Target="https://www.nea.com/portfolio/surgrx" TargetMode="External"/><Relationship Id="rId688" Type="http://schemas.openxmlformats.org/officeDocument/2006/relationships/hyperlink" Target="https://www.nea.com/portfolio/surgical-health" TargetMode="External"/><Relationship Id="rId687" Type="http://schemas.openxmlformats.org/officeDocument/2006/relationships/hyperlink" Target="https://www.nea.com/portfolio/surface-oncology" TargetMode="External"/><Relationship Id="rId682" Type="http://schemas.openxmlformats.org/officeDocument/2006/relationships/hyperlink" Target="https://www.nea.com/portfolio/sugarcrm" TargetMode="External"/><Relationship Id="rId681" Type="http://schemas.openxmlformats.org/officeDocument/2006/relationships/hyperlink" Target="https://strivehealth.com/" TargetMode="External"/><Relationship Id="rId680" Type="http://schemas.openxmlformats.org/officeDocument/2006/relationships/hyperlink" Target="https://www.nea.com/portfolio/strive-health" TargetMode="External"/><Relationship Id="rId686" Type="http://schemas.openxmlformats.org/officeDocument/2006/relationships/hyperlink" Target="https://www.nea.com/portfolio/supplybase" TargetMode="External"/><Relationship Id="rId685" Type="http://schemas.openxmlformats.org/officeDocument/2006/relationships/hyperlink" Target="https://superapp.id/" TargetMode="External"/><Relationship Id="rId684" Type="http://schemas.openxmlformats.org/officeDocument/2006/relationships/hyperlink" Target="https://www.nea.com/portfolio/super" TargetMode="External"/><Relationship Id="rId683" Type="http://schemas.openxmlformats.org/officeDocument/2006/relationships/hyperlink" Target="https://www.sugarcrm.com/" TargetMode="External"/><Relationship Id="rId679" Type="http://schemas.openxmlformats.org/officeDocument/2006/relationships/hyperlink" Target="https://streamsets.com/" TargetMode="External"/><Relationship Id="rId678" Type="http://schemas.openxmlformats.org/officeDocument/2006/relationships/hyperlink" Target="https://www.nea.com/portfolio/streamsets" TargetMode="External"/><Relationship Id="rId677" Type="http://schemas.openxmlformats.org/officeDocument/2006/relationships/hyperlink" Target="https://www.nea.com/portfolio/stormpath" TargetMode="External"/><Relationship Id="rId676" Type="http://schemas.openxmlformats.org/officeDocument/2006/relationships/hyperlink" Target="https://www.stablix.com/" TargetMode="External"/><Relationship Id="rId671" Type="http://schemas.openxmlformats.org/officeDocument/2006/relationships/hyperlink" Target="https://www.nea.com/portfolio/springpath" TargetMode="External"/><Relationship Id="rId670" Type="http://schemas.openxmlformats.org/officeDocument/2006/relationships/hyperlink" Target="https://www.nea.com/portfolio/spreadtrum-communications" TargetMode="External"/><Relationship Id="rId675" Type="http://schemas.openxmlformats.org/officeDocument/2006/relationships/hyperlink" Target="https://www.nea.com/portfolio/stablix" TargetMode="External"/><Relationship Id="rId674" Type="http://schemas.openxmlformats.org/officeDocument/2006/relationships/hyperlink" Target="https://www.nea.com/portfolio/spyglass-pharma" TargetMode="External"/><Relationship Id="rId673" Type="http://schemas.openxmlformats.org/officeDocument/2006/relationships/hyperlink" Target="https://sproutsocial.com/" TargetMode="External"/><Relationship Id="rId672" Type="http://schemas.openxmlformats.org/officeDocument/2006/relationships/hyperlink" Target="https://www.nea.com/portfolio/sprout-social" TargetMode="External"/><Relationship Id="rId190" Type="http://schemas.openxmlformats.org/officeDocument/2006/relationships/hyperlink" Target="https://www.nea.com/portfolio/china-gtel-limited" TargetMode="External"/><Relationship Id="rId194" Type="http://schemas.openxmlformats.org/officeDocument/2006/relationships/hyperlink" Target="https://www.nea.com/portfolio/cirrus-logic" TargetMode="External"/><Relationship Id="rId193" Type="http://schemas.openxmlformats.org/officeDocument/2006/relationships/hyperlink" Target="https://www.chromacode.com/" TargetMode="External"/><Relationship Id="rId192" Type="http://schemas.openxmlformats.org/officeDocument/2006/relationships/hyperlink" Target="https://www.nea.com/portfolio/chromacode" TargetMode="External"/><Relationship Id="rId191" Type="http://schemas.openxmlformats.org/officeDocument/2006/relationships/hyperlink" Target="https://www.nea.com/portfolio/china-health-citic" TargetMode="External"/><Relationship Id="rId187" Type="http://schemas.openxmlformats.org/officeDocument/2006/relationships/hyperlink" Target="http://www.chelsio.com/" TargetMode="External"/><Relationship Id="rId186" Type="http://schemas.openxmlformats.org/officeDocument/2006/relationships/hyperlink" Target="https://www.nea.com/portfolio/chelsio-communications" TargetMode="External"/><Relationship Id="rId185" Type="http://schemas.openxmlformats.org/officeDocument/2006/relationships/hyperlink" Target="https://www.channeladvisor.com/" TargetMode="External"/><Relationship Id="rId184" Type="http://schemas.openxmlformats.org/officeDocument/2006/relationships/hyperlink" Target="https://www.nea.com/portfolio/channeladvisor" TargetMode="External"/><Relationship Id="rId189" Type="http://schemas.openxmlformats.org/officeDocument/2006/relationships/hyperlink" Target="https://chghealthcare.com/" TargetMode="External"/><Relationship Id="rId188" Type="http://schemas.openxmlformats.org/officeDocument/2006/relationships/hyperlink" Target="https://www.nea.com/portfolio/chg-healthcare" TargetMode="External"/><Relationship Id="rId183" Type="http://schemas.openxmlformats.org/officeDocument/2006/relationships/hyperlink" Target="https://www.avalotx.com/" TargetMode="External"/><Relationship Id="rId182" Type="http://schemas.openxmlformats.org/officeDocument/2006/relationships/hyperlink" Target="https://www.nea.com/portfolio/cerecor" TargetMode="External"/><Relationship Id="rId181" Type="http://schemas.openxmlformats.org/officeDocument/2006/relationships/hyperlink" Target="https://centrexion.com/" TargetMode="External"/><Relationship Id="rId180" Type="http://schemas.openxmlformats.org/officeDocument/2006/relationships/hyperlink" Target="https://www.nea.com/portfolio/centrexion-therapeutics" TargetMode="External"/><Relationship Id="rId176" Type="http://schemas.openxmlformats.org/officeDocument/2006/relationships/hyperlink" Target="https://www.nea.com/portfolio/causes" TargetMode="External"/><Relationship Id="rId175" Type="http://schemas.openxmlformats.org/officeDocument/2006/relationships/hyperlink" Target="https://www.pagerduty.com/catalytic/" TargetMode="External"/><Relationship Id="rId174" Type="http://schemas.openxmlformats.org/officeDocument/2006/relationships/hyperlink" Target="https://www.nea.com/portfolio/catalytic" TargetMode="External"/><Relationship Id="rId173" Type="http://schemas.openxmlformats.org/officeDocument/2006/relationships/hyperlink" Target="https://catalogdna.com/" TargetMode="External"/><Relationship Id="rId179" Type="http://schemas.openxmlformats.org/officeDocument/2006/relationships/hyperlink" Target="https://www.ccpgames.com/" TargetMode="External"/><Relationship Id="rId178" Type="http://schemas.openxmlformats.org/officeDocument/2006/relationships/hyperlink" Target="https://www.nea.com/portfolio/ccp-games" TargetMode="External"/><Relationship Id="rId177" Type="http://schemas.openxmlformats.org/officeDocument/2006/relationships/hyperlink" Target="https://www.causes.com/" TargetMode="External"/><Relationship Id="rId198" Type="http://schemas.openxmlformats.org/officeDocument/2006/relationships/hyperlink" Target="https://www.nea.com/portfolio/clarify" TargetMode="External"/><Relationship Id="rId197" Type="http://schemas.openxmlformats.org/officeDocument/2006/relationships/hyperlink" Target="http://www.cistadesign.com/" TargetMode="External"/><Relationship Id="rId196" Type="http://schemas.openxmlformats.org/officeDocument/2006/relationships/hyperlink" Target="https://www.nea.com/portfolio/cista" TargetMode="External"/><Relationship Id="rId195" Type="http://schemas.openxmlformats.org/officeDocument/2006/relationships/hyperlink" Target="https://www.cirrus.com/" TargetMode="External"/><Relationship Id="rId199" Type="http://schemas.openxmlformats.org/officeDocument/2006/relationships/hyperlink" Target="https://www.nea.com/portfolio/clarvista-medical" TargetMode="External"/><Relationship Id="rId150" Type="http://schemas.openxmlformats.org/officeDocument/2006/relationships/hyperlink" Target="https://www.bytedance.com/" TargetMode="External"/><Relationship Id="rId149" Type="http://schemas.openxmlformats.org/officeDocument/2006/relationships/hyperlink" Target="https://www.nea.com/portfolio/bytedance-toutiao" TargetMode="External"/><Relationship Id="rId148" Type="http://schemas.openxmlformats.org/officeDocument/2006/relationships/hyperlink" Target="https://www.buzzfeed.com/" TargetMode="External"/><Relationship Id="rId143" Type="http://schemas.openxmlformats.org/officeDocument/2006/relationships/hyperlink" Target="https://www.nea.com/portfolio/built-robotics" TargetMode="External"/><Relationship Id="rId142" Type="http://schemas.openxmlformats.org/officeDocument/2006/relationships/hyperlink" Target="https://www.nea.com/portfolio/broadview-network-holdings" TargetMode="External"/><Relationship Id="rId141" Type="http://schemas.openxmlformats.org/officeDocument/2006/relationships/hyperlink" Target="https://broadly.com/" TargetMode="External"/><Relationship Id="rId140" Type="http://schemas.openxmlformats.org/officeDocument/2006/relationships/hyperlink" Target="https://www.nea.com/portfolio/broadly" TargetMode="External"/><Relationship Id="rId147" Type="http://schemas.openxmlformats.org/officeDocument/2006/relationships/hyperlink" Target="https://www.nea.com/portfolio/buzzfeed" TargetMode="External"/><Relationship Id="rId146" Type="http://schemas.openxmlformats.org/officeDocument/2006/relationships/hyperlink" Target="https://burrow.com/" TargetMode="External"/><Relationship Id="rId145" Type="http://schemas.openxmlformats.org/officeDocument/2006/relationships/hyperlink" Target="https://www.nea.com/portfolio/burrow" TargetMode="External"/><Relationship Id="rId144" Type="http://schemas.openxmlformats.org/officeDocument/2006/relationships/hyperlink" Target="https://www.builtrobotics.com/" TargetMode="External"/><Relationship Id="rId139" Type="http://schemas.openxmlformats.org/officeDocument/2006/relationships/hyperlink" Target="https://www.brighthealthgroup.com/" TargetMode="External"/><Relationship Id="rId138" Type="http://schemas.openxmlformats.org/officeDocument/2006/relationships/hyperlink" Target="https://www.nea.com/portfolio/bright-health-group" TargetMode="External"/><Relationship Id="rId137" Type="http://schemas.openxmlformats.org/officeDocument/2006/relationships/hyperlink" Target="https://www.bostonscientific.com/en-US/products/cto-systems.html" TargetMode="External"/><Relationship Id="rId132" Type="http://schemas.openxmlformats.org/officeDocument/2006/relationships/hyperlink" Target="https://www.nea.com/portfolio/branch" TargetMode="External"/><Relationship Id="rId131" Type="http://schemas.openxmlformats.org/officeDocument/2006/relationships/hyperlink" Target="http://www.box.com/" TargetMode="External"/><Relationship Id="rId130" Type="http://schemas.openxmlformats.org/officeDocument/2006/relationships/hyperlink" Target="https://www.nea.com/portfolio/box" TargetMode="External"/><Relationship Id="rId136" Type="http://schemas.openxmlformats.org/officeDocument/2006/relationships/hyperlink" Target="https://www.nea.com/portfolio/bridgepoint-medical" TargetMode="External"/><Relationship Id="rId135" Type="http://schemas.openxmlformats.org/officeDocument/2006/relationships/hyperlink" Target="https://www.nea.com/portfolio/brenig" TargetMode="External"/><Relationship Id="rId134" Type="http://schemas.openxmlformats.org/officeDocument/2006/relationships/hyperlink" Target="https://www.nea.com/portfolio/bravo-health" TargetMode="External"/><Relationship Id="rId133" Type="http://schemas.openxmlformats.org/officeDocument/2006/relationships/hyperlink" Target="https://www.branch.io/" TargetMode="External"/><Relationship Id="rId172" Type="http://schemas.openxmlformats.org/officeDocument/2006/relationships/hyperlink" Target="https://www.nea.com/portfolio/catalog" TargetMode="External"/><Relationship Id="rId171" Type="http://schemas.openxmlformats.org/officeDocument/2006/relationships/hyperlink" Target="https://casper.com/" TargetMode="External"/><Relationship Id="rId170" Type="http://schemas.openxmlformats.org/officeDocument/2006/relationships/hyperlink" Target="https://www.nea.com/portfolio/casper" TargetMode="External"/><Relationship Id="rId165" Type="http://schemas.openxmlformats.org/officeDocument/2006/relationships/hyperlink" Target="https://www.nea.com/portfolio/carezone" TargetMode="External"/><Relationship Id="rId164" Type="http://schemas.openxmlformats.org/officeDocument/2006/relationships/hyperlink" Target="https://www.careerbuilder.com/" TargetMode="External"/><Relationship Id="rId163" Type="http://schemas.openxmlformats.org/officeDocument/2006/relationships/hyperlink" Target="https://www.nea.com/portfolio/careerbuilder" TargetMode="External"/><Relationship Id="rId162" Type="http://schemas.openxmlformats.org/officeDocument/2006/relationships/hyperlink" Target="https://www.care.com/" TargetMode="External"/><Relationship Id="rId169" Type="http://schemas.openxmlformats.org/officeDocument/2006/relationships/hyperlink" Target="https://www.nea.com/portfolio/cartiva" TargetMode="External"/><Relationship Id="rId168" Type="http://schemas.openxmlformats.org/officeDocument/2006/relationships/hyperlink" Target="https://www.nea.com/portfolio/carticept-medical" TargetMode="External"/><Relationship Id="rId167" Type="http://schemas.openxmlformats.org/officeDocument/2006/relationships/hyperlink" Target="https://www.nea.com/portfolio/carrier-access-corporation" TargetMode="External"/><Relationship Id="rId166" Type="http://schemas.openxmlformats.org/officeDocument/2006/relationships/hyperlink" Target="https://carezone.com/" TargetMode="External"/><Relationship Id="rId161" Type="http://schemas.openxmlformats.org/officeDocument/2006/relationships/hyperlink" Target="https://www.nea.com/portfolio/care-com" TargetMode="External"/><Relationship Id="rId160" Type="http://schemas.openxmlformats.org/officeDocument/2006/relationships/hyperlink" Target="https://cardurion.com/" TargetMode="External"/><Relationship Id="rId159" Type="http://schemas.openxmlformats.org/officeDocument/2006/relationships/hyperlink" Target="https://www.nea.com/portfolio/cardurion" TargetMode="External"/><Relationship Id="rId154" Type="http://schemas.openxmlformats.org/officeDocument/2006/relationships/hyperlink" Target="https://www.getcanopy.com/" TargetMode="External"/><Relationship Id="rId153" Type="http://schemas.openxmlformats.org/officeDocument/2006/relationships/hyperlink" Target="https://www.nea.com/portfolio/canopy" TargetMode="External"/><Relationship Id="rId152" Type="http://schemas.openxmlformats.org/officeDocument/2006/relationships/hyperlink" Target="https://www.candy.com/" TargetMode="External"/><Relationship Id="rId151" Type="http://schemas.openxmlformats.org/officeDocument/2006/relationships/hyperlink" Target="https://www.nea.com/portfolio/candy" TargetMode="External"/><Relationship Id="rId158" Type="http://schemas.openxmlformats.org/officeDocument/2006/relationships/hyperlink" Target="https://www.nea.com/portfolio/cardiovascular-imaging-systems" TargetMode="External"/><Relationship Id="rId157" Type="http://schemas.openxmlformats.org/officeDocument/2006/relationships/hyperlink" Target="https://www.nea.com/portfolio/cardiothoracic-systems" TargetMode="External"/><Relationship Id="rId156" Type="http://schemas.openxmlformats.org/officeDocument/2006/relationships/hyperlink" Target="https://www.cardionomicinc.com/" TargetMode="External"/><Relationship Id="rId155" Type="http://schemas.openxmlformats.org/officeDocument/2006/relationships/hyperlink" Target="https://www.nea.com/portfolio/cardionomic" TargetMode="External"/><Relationship Id="rId107" Type="http://schemas.openxmlformats.org/officeDocument/2006/relationships/hyperlink" Target="https://www.nea.com/portfolio/berkshire-grey" TargetMode="External"/><Relationship Id="rId106" Type="http://schemas.openxmlformats.org/officeDocument/2006/relationships/hyperlink" Target="https://www.nea.com/portfolio/berkeley-networks" TargetMode="External"/><Relationship Id="rId105" Type="http://schemas.openxmlformats.org/officeDocument/2006/relationships/hyperlink" Target="https://www.benchprep.com/" TargetMode="External"/><Relationship Id="rId104" Type="http://schemas.openxmlformats.org/officeDocument/2006/relationships/hyperlink" Target="https://www.nea.com/portfolio/benchprep" TargetMode="External"/><Relationship Id="rId109" Type="http://schemas.openxmlformats.org/officeDocument/2006/relationships/hyperlink" Target="https://www.nea.com/portfolio/bethesda-research-labs" TargetMode="External"/><Relationship Id="rId108" Type="http://schemas.openxmlformats.org/officeDocument/2006/relationships/hyperlink" Target="https://www.berkshiregrey.com/" TargetMode="External"/><Relationship Id="rId103" Type="http://schemas.openxmlformats.org/officeDocument/2006/relationships/hyperlink" Target="https://belong-health.com/" TargetMode="External"/><Relationship Id="rId102" Type="http://schemas.openxmlformats.org/officeDocument/2006/relationships/hyperlink" Target="https://www.nea.com/portfolio/belong-health" TargetMode="External"/><Relationship Id="rId101" Type="http://schemas.openxmlformats.org/officeDocument/2006/relationships/hyperlink" Target="https://www.bellycard.com/" TargetMode="External"/><Relationship Id="rId100" Type="http://schemas.openxmlformats.org/officeDocument/2006/relationships/hyperlink" Target="https://www.nea.com/portfolio/belly" TargetMode="External"/><Relationship Id="rId129" Type="http://schemas.openxmlformats.org/officeDocument/2006/relationships/hyperlink" Target="https://www.nea.com/portfolio/bonsai" TargetMode="External"/><Relationship Id="rId128" Type="http://schemas.openxmlformats.org/officeDocument/2006/relationships/hyperlink" Target="https://www.boingo.com/" TargetMode="External"/><Relationship Id="rId127" Type="http://schemas.openxmlformats.org/officeDocument/2006/relationships/hyperlink" Target="https://www.nea.com/portfolio/boingo-wireless" TargetMode="External"/><Relationship Id="rId126" Type="http://schemas.openxmlformats.org/officeDocument/2006/relationships/hyperlink" Target="https://www.nea.com/portfolio/blue-ocean" TargetMode="External"/><Relationship Id="rId121" Type="http://schemas.openxmlformats.org/officeDocument/2006/relationships/hyperlink" Target="https://www.bloomreach.com/en" TargetMode="External"/><Relationship Id="rId120" Type="http://schemas.openxmlformats.org/officeDocument/2006/relationships/hyperlink" Target="https://www.nea.com/portfolio/bloomreach" TargetMode="External"/><Relationship Id="rId125" Type="http://schemas.openxmlformats.org/officeDocument/2006/relationships/hyperlink" Target="https://www.bluejeans.com/" TargetMode="External"/><Relationship Id="rId124" Type="http://schemas.openxmlformats.org/officeDocument/2006/relationships/hyperlink" Target="https://www.nea.com/portfolio/blue-jeans-network" TargetMode="External"/><Relationship Id="rId123" Type="http://schemas.openxmlformats.org/officeDocument/2006/relationships/hyperlink" Target="https://www.bcanalog.com/" TargetMode="External"/><Relationship Id="rId122" Type="http://schemas.openxmlformats.org/officeDocument/2006/relationships/hyperlink" Target="https://www.nea.com/portfolio/blue-cheetah" TargetMode="External"/><Relationship Id="rId118" Type="http://schemas.openxmlformats.org/officeDocument/2006/relationships/hyperlink" Target="https://www.nea.com/portfolio/bloom-energy" TargetMode="External"/><Relationship Id="rId117" Type="http://schemas.openxmlformats.org/officeDocument/2006/relationships/hyperlink" Target="https://www.bliq.app/" TargetMode="External"/><Relationship Id="rId116" Type="http://schemas.openxmlformats.org/officeDocument/2006/relationships/hyperlink" Target="https://www.nea.com/portfolio/bliq" TargetMode="External"/><Relationship Id="rId115" Type="http://schemas.openxmlformats.org/officeDocument/2006/relationships/hyperlink" Target="https://www.blackdiamondtherapeutics.com/" TargetMode="External"/><Relationship Id="rId119" Type="http://schemas.openxmlformats.org/officeDocument/2006/relationships/hyperlink" Target="http://www.bloomenergy.com/" TargetMode="External"/><Relationship Id="rId110" Type="http://schemas.openxmlformats.org/officeDocument/2006/relationships/hyperlink" Target="https://www.nea.com/portfolio/beyond-identity" TargetMode="External"/><Relationship Id="rId114" Type="http://schemas.openxmlformats.org/officeDocument/2006/relationships/hyperlink" Target="https://www.nea.com/portfolio/black-diamond-therapeutics" TargetMode="External"/><Relationship Id="rId113" Type="http://schemas.openxmlformats.org/officeDocument/2006/relationships/hyperlink" Target="https://www.forcepoint.com/product/forcepoint-one" TargetMode="External"/><Relationship Id="rId112" Type="http://schemas.openxmlformats.org/officeDocument/2006/relationships/hyperlink" Target="https://www.nea.com/portfolio/bitglass" TargetMode="External"/><Relationship Id="rId111" Type="http://schemas.openxmlformats.org/officeDocument/2006/relationships/hyperlink" Target="https://www.beyondidentity.com/" TargetMode="External"/><Relationship Id="rId829" Type="http://schemas.openxmlformats.org/officeDocument/2006/relationships/hyperlink" Target="https://www.nea.com/portfolio/ziarco" TargetMode="External"/><Relationship Id="rId828" Type="http://schemas.openxmlformats.org/officeDocument/2006/relationships/hyperlink" Target="https://www.nea.com/portfolio/zhone-technologies" TargetMode="External"/><Relationship Id="rId827" Type="http://schemas.openxmlformats.org/officeDocument/2006/relationships/hyperlink" Target="https://www.nea.com/portfolio/zerofox" TargetMode="External"/><Relationship Id="rId822" Type="http://schemas.openxmlformats.org/officeDocument/2006/relationships/hyperlink" Target="https://www.nea.com/portfolio/xoc-pharmaceuticals" TargetMode="External"/><Relationship Id="rId821" Type="http://schemas.openxmlformats.org/officeDocument/2006/relationships/hyperlink" Target="https://www.nea.com/portfolio/xfire" TargetMode="External"/><Relationship Id="rId820" Type="http://schemas.openxmlformats.org/officeDocument/2006/relationships/hyperlink" Target="https://www.nea.com/portfolio/xensource" TargetMode="External"/><Relationship Id="rId826" Type="http://schemas.openxmlformats.org/officeDocument/2006/relationships/hyperlink" Target="https://www.nea.com/portfolio/yubico" TargetMode="External"/><Relationship Id="rId825" Type="http://schemas.openxmlformats.org/officeDocument/2006/relationships/hyperlink" Target="https://www.nea.com/portfolio/xtuit" TargetMode="External"/><Relationship Id="rId824" Type="http://schemas.openxmlformats.org/officeDocument/2006/relationships/hyperlink" Target="https://www.nea.com/portfolio/xros" TargetMode="External"/><Relationship Id="rId823" Type="http://schemas.openxmlformats.org/officeDocument/2006/relationships/hyperlink" Target="https://www.nea.com/portfolio/xoom-corporation" TargetMode="External"/><Relationship Id="rId819" Type="http://schemas.openxmlformats.org/officeDocument/2006/relationships/hyperlink" Target="https://www.nea.com/portfolio/world-labs" TargetMode="External"/><Relationship Id="rId818" Type="http://schemas.openxmlformats.org/officeDocument/2006/relationships/hyperlink" Target="https://www.nea.com/portfolio/workera" TargetMode="External"/><Relationship Id="rId817" Type="http://schemas.openxmlformats.org/officeDocument/2006/relationships/hyperlink" Target="https://www.nea.com/portfolio/workday" TargetMode="External"/><Relationship Id="rId816" Type="http://schemas.openxmlformats.org/officeDocument/2006/relationships/hyperlink" Target="https://www.nea.com/portfolio/wonder" TargetMode="External"/><Relationship Id="rId811" Type="http://schemas.openxmlformats.org/officeDocument/2006/relationships/hyperlink" Target="https://www.nea.com/portfolio/wheels-up" TargetMode="External"/><Relationship Id="rId810" Type="http://schemas.openxmlformats.org/officeDocument/2006/relationships/hyperlink" Target="https://www.nea.com/portfolio/wheelhouse" TargetMode="External"/><Relationship Id="rId815" Type="http://schemas.openxmlformats.org/officeDocument/2006/relationships/hyperlink" Target="https://www.nea.com/portfolio/woebot" TargetMode="External"/><Relationship Id="rId814" Type="http://schemas.openxmlformats.org/officeDocument/2006/relationships/hyperlink" Target="https://www.nea.com/portfolio/wnp-communications" TargetMode="External"/><Relationship Id="rId813" Type="http://schemas.openxmlformats.org/officeDocument/2006/relationships/hyperlink" Target="https://www.nea.com/portfolio/wizard" TargetMode="External"/><Relationship Id="rId812" Type="http://schemas.openxmlformats.org/officeDocument/2006/relationships/hyperlink" Target="https://www.nea.com/portfolio/willow" TargetMode="External"/><Relationship Id="rId832" Type="http://schemas.openxmlformats.org/officeDocument/2006/relationships/drawing" Target="../drawings/drawing10.xml"/><Relationship Id="rId831" Type="http://schemas.openxmlformats.org/officeDocument/2006/relationships/hyperlink" Target="https://www.nea.com/portfolio/zuoyebang" TargetMode="External"/><Relationship Id="rId830" Type="http://schemas.openxmlformats.org/officeDocument/2006/relationships/hyperlink" Target="https://www.nea.com/portfolio/zoomdata"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s>
  <sheetData>
    <row r="1">
      <c r="A1" s="1" t="s">
        <v>0</v>
      </c>
      <c r="B1" s="2" t="s">
        <v>1</v>
      </c>
      <c r="C1" s="2" t="s">
        <v>2</v>
      </c>
    </row>
    <row r="2">
      <c r="A2" s="3" t="s">
        <v>3</v>
      </c>
      <c r="B2" s="2" t="b">
        <v>1</v>
      </c>
      <c r="C2" s="2" t="b">
        <v>0</v>
      </c>
    </row>
    <row r="3">
      <c r="A3" s="3" t="s">
        <v>4</v>
      </c>
      <c r="B3" s="2" t="b">
        <v>1</v>
      </c>
      <c r="C3" s="2" t="b">
        <v>0</v>
      </c>
    </row>
    <row r="4">
      <c r="A4" s="3" t="s">
        <v>5</v>
      </c>
      <c r="B4" s="2" t="b">
        <v>1</v>
      </c>
      <c r="C4" s="2" t="b">
        <v>0</v>
      </c>
    </row>
    <row r="5">
      <c r="A5" s="3" t="s">
        <v>6</v>
      </c>
      <c r="B5" s="2" t="b">
        <v>1</v>
      </c>
      <c r="C5" s="2" t="b">
        <v>0</v>
      </c>
    </row>
    <row r="6">
      <c r="A6" s="3" t="s">
        <v>7</v>
      </c>
      <c r="B6" s="2" t="b">
        <v>1</v>
      </c>
      <c r="C6" s="2" t="b">
        <v>0</v>
      </c>
    </row>
    <row r="7">
      <c r="A7" s="3" t="s">
        <v>8</v>
      </c>
      <c r="B7" s="2" t="b">
        <v>1</v>
      </c>
      <c r="C7" s="2" t="b">
        <v>0</v>
      </c>
    </row>
    <row r="8">
      <c r="A8" s="3" t="s">
        <v>9</v>
      </c>
      <c r="B8" s="2" t="b">
        <v>1</v>
      </c>
      <c r="C8" s="2" t="b">
        <v>0</v>
      </c>
    </row>
    <row r="9">
      <c r="A9" s="3" t="s">
        <v>10</v>
      </c>
      <c r="B9" s="2" t="b">
        <v>1</v>
      </c>
      <c r="C9" s="2" t="b">
        <v>0</v>
      </c>
    </row>
    <row r="10">
      <c r="A10" s="3" t="s">
        <v>11</v>
      </c>
      <c r="B10" s="2" t="b">
        <v>1</v>
      </c>
      <c r="C10" s="2" t="b">
        <v>0</v>
      </c>
    </row>
    <row r="11">
      <c r="A11" s="3" t="s">
        <v>12</v>
      </c>
      <c r="B11" s="2" t="b">
        <v>1</v>
      </c>
      <c r="C11" s="2" t="b">
        <v>0</v>
      </c>
    </row>
    <row r="12">
      <c r="A12" s="3" t="s">
        <v>13</v>
      </c>
      <c r="B12" s="2" t="b">
        <v>1</v>
      </c>
      <c r="C12" s="2" t="b">
        <v>0</v>
      </c>
    </row>
    <row r="13">
      <c r="A13" s="3" t="s">
        <v>14</v>
      </c>
      <c r="B13" s="2" t="b">
        <v>1</v>
      </c>
      <c r="C13" s="2" t="b">
        <v>0</v>
      </c>
    </row>
    <row r="14">
      <c r="A14" s="3" t="s">
        <v>15</v>
      </c>
      <c r="B14" s="2" t="b">
        <v>1</v>
      </c>
      <c r="C14" s="2" t="b">
        <v>0</v>
      </c>
    </row>
    <row r="15">
      <c r="A15" s="3" t="s">
        <v>16</v>
      </c>
      <c r="B15" s="2" t="b">
        <v>1</v>
      </c>
      <c r="C15" s="2" t="b">
        <v>0</v>
      </c>
    </row>
    <row r="16">
      <c r="A16" s="3" t="s">
        <v>17</v>
      </c>
      <c r="B16" s="2" t="b">
        <v>1</v>
      </c>
      <c r="C16" s="2" t="b">
        <v>0</v>
      </c>
    </row>
    <row r="17">
      <c r="A17" s="3" t="s">
        <v>18</v>
      </c>
      <c r="B17" s="2" t="b">
        <v>1</v>
      </c>
      <c r="C17" s="2" t="b">
        <v>0</v>
      </c>
    </row>
    <row r="18">
      <c r="A18" s="3" t="s">
        <v>19</v>
      </c>
      <c r="B18" s="2" t="b">
        <v>1</v>
      </c>
      <c r="C18" s="2" t="b">
        <v>0</v>
      </c>
    </row>
    <row r="19">
      <c r="A19" s="3" t="s">
        <v>20</v>
      </c>
      <c r="B19" s="2" t="b">
        <v>1</v>
      </c>
      <c r="C19" s="2" t="b">
        <v>0</v>
      </c>
    </row>
    <row r="20">
      <c r="A20" s="3" t="s">
        <v>21</v>
      </c>
      <c r="B20" s="2" t="b">
        <v>1</v>
      </c>
      <c r="C20" s="2" t="b">
        <v>0</v>
      </c>
    </row>
    <row r="21">
      <c r="A21" s="3" t="s">
        <v>22</v>
      </c>
      <c r="B21" s="2" t="b">
        <v>1</v>
      </c>
      <c r="C21" s="2" t="b">
        <v>0</v>
      </c>
    </row>
    <row r="22">
      <c r="A22" s="3" t="s">
        <v>23</v>
      </c>
      <c r="B22" s="2" t="b">
        <v>1</v>
      </c>
      <c r="C22" s="2" t="b">
        <v>0</v>
      </c>
    </row>
    <row r="23">
      <c r="A23" s="3" t="s">
        <v>24</v>
      </c>
      <c r="B23" s="2" t="b">
        <v>1</v>
      </c>
      <c r="C23" s="2" t="b">
        <v>0</v>
      </c>
    </row>
    <row r="24">
      <c r="A24" s="3" t="s">
        <v>25</v>
      </c>
      <c r="B24" s="2" t="b">
        <v>1</v>
      </c>
      <c r="C24" s="2" t="b">
        <v>0</v>
      </c>
    </row>
    <row r="25">
      <c r="A25" s="3" t="s">
        <v>26</v>
      </c>
      <c r="B25" s="2" t="b">
        <v>1</v>
      </c>
      <c r="C25" s="2" t="b">
        <v>0</v>
      </c>
    </row>
    <row r="26">
      <c r="A26" s="4" t="s">
        <v>27</v>
      </c>
      <c r="D26" s="1" t="s">
        <v>28</v>
      </c>
    </row>
    <row r="27">
      <c r="A27" s="4" t="s">
        <v>29</v>
      </c>
      <c r="D27" s="1" t="s">
        <v>30</v>
      </c>
    </row>
    <row r="28">
      <c r="A28" s="4" t="s">
        <v>31</v>
      </c>
      <c r="D28" s="1" t="s">
        <v>32</v>
      </c>
    </row>
    <row r="29">
      <c r="A29" s="3" t="s">
        <v>33</v>
      </c>
      <c r="B29" s="2" t="b">
        <v>1</v>
      </c>
      <c r="C29" s="2" t="b">
        <v>0</v>
      </c>
    </row>
    <row r="30">
      <c r="A30" s="3" t="s">
        <v>34</v>
      </c>
      <c r="D30" s="2" t="s">
        <v>35</v>
      </c>
    </row>
    <row r="31">
      <c r="A31" s="3" t="s">
        <v>36</v>
      </c>
      <c r="B31" s="2" t="b">
        <v>1</v>
      </c>
      <c r="C31" s="2" t="b">
        <v>0</v>
      </c>
    </row>
    <row r="32">
      <c r="A32" s="3" t="s">
        <v>37</v>
      </c>
      <c r="B32" s="2" t="s">
        <v>38</v>
      </c>
    </row>
    <row r="33">
      <c r="A33" s="3" t="s">
        <v>39</v>
      </c>
      <c r="B33" s="2" t="b">
        <v>1</v>
      </c>
      <c r="C33" s="2" t="s">
        <v>40</v>
      </c>
    </row>
    <row r="34">
      <c r="A34" s="3" t="s">
        <v>41</v>
      </c>
      <c r="B34" s="2" t="s">
        <v>38</v>
      </c>
    </row>
    <row r="35">
      <c r="A35" s="3" t="s">
        <v>42</v>
      </c>
      <c r="D35" s="2" t="s">
        <v>43</v>
      </c>
    </row>
    <row r="36">
      <c r="A36" s="3" t="s">
        <v>44</v>
      </c>
      <c r="B36" s="2" t="b">
        <v>1</v>
      </c>
      <c r="C36" s="2" t="b">
        <v>0</v>
      </c>
    </row>
    <row r="37">
      <c r="A37" s="3" t="s">
        <v>45</v>
      </c>
      <c r="D37" s="2" t="s">
        <v>46</v>
      </c>
    </row>
    <row r="38">
      <c r="A38" s="3" t="s">
        <v>47</v>
      </c>
      <c r="B38" s="2" t="b">
        <v>1</v>
      </c>
      <c r="C38" s="2" t="s">
        <v>48</v>
      </c>
    </row>
    <row r="39">
      <c r="A39" s="2" t="s">
        <v>49</v>
      </c>
    </row>
  </sheetData>
  <hyperlinks>
    <hyperlink r:id="rId1" ref="A2"/>
    <hyperlink r:id="rId2" ref="A3"/>
    <hyperlink r:id="rId3" ref="A4"/>
    <hyperlink r:id="rId4" ref="A5"/>
    <hyperlink r:id="rId5" ref="A6"/>
    <hyperlink r:id="rId6" ref="A7"/>
    <hyperlink r:id="rId7" ref="A8"/>
    <hyperlink r:id="rId8" ref="A9"/>
    <hyperlink r:id="rId9" ref="A10"/>
    <hyperlink r:id="rId10" ref="A11"/>
    <hyperlink r:id="rId11" ref="A12"/>
    <hyperlink r:id="rId12" ref="A13"/>
    <hyperlink r:id="rId13" ref="A14"/>
    <hyperlink r:id="rId14" ref="A15"/>
    <hyperlink r:id="rId15" ref="A16"/>
    <hyperlink r:id="rId16" ref="A17"/>
    <hyperlink r:id="rId17" ref="A18"/>
    <hyperlink r:id="rId18" ref="A19"/>
    <hyperlink r:id="rId19" ref="A20"/>
    <hyperlink r:id="rId20" ref="A21"/>
    <hyperlink r:id="rId21" ref="A22"/>
    <hyperlink r:id="rId22" ref="A23"/>
    <hyperlink r:id="rId23" ref="A24"/>
    <hyperlink r:id="rId24" ref="A25"/>
    <hyperlink r:id="rId25" ref="A26"/>
    <hyperlink r:id="rId26" ref="A27"/>
    <hyperlink r:id="rId27" ref="A28"/>
    <hyperlink r:id="rId28" ref="A29"/>
    <hyperlink r:id="rId29" ref="A30"/>
    <hyperlink r:id="rId30" ref="A31"/>
    <hyperlink r:id="rId31" ref="A32"/>
    <hyperlink r:id="rId32" ref="A33"/>
    <hyperlink r:id="rId33" ref="A34"/>
    <hyperlink r:id="rId34" ref="A35"/>
    <hyperlink r:id="rId35" ref="A36"/>
    <hyperlink r:id="rId36" ref="A37"/>
    <hyperlink r:id="rId37" ref="A38"/>
  </hyperlinks>
  <drawing r:id="rId3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8.63"/>
    <col customWidth="1" min="2" max="2" width="20.25"/>
  </cols>
  <sheetData>
    <row r="1">
      <c r="A1" s="2" t="s">
        <v>50</v>
      </c>
      <c r="B1" s="2" t="s">
        <v>51</v>
      </c>
    </row>
    <row r="2">
      <c r="A2" s="2">
        <f t="shared" ref="A2:B2" si="1">COUNTA(A3:A4663)</f>
        <v>1773</v>
      </c>
      <c r="B2" s="2">
        <f t="shared" si="1"/>
        <v>3009</v>
      </c>
    </row>
    <row r="3">
      <c r="A3" s="5" t="str">
        <f>IFERROR(__xludf.DUMMYFUNCTION("ARRAYFORMULA(
  IFERROR(
    {
      IFERROR(FILTER(yc!A2:A1000, yc!A2:A1000&lt;&gt;""""),"""");
      IFERROR(FILTER(sequioa_preseed_and_early!A2:A993, sequioa_preseed_and_early!A2:A993&lt;&gt;""""),"""");IFERROR(FILTER(index_ventures!A2:A1000, index_ventures!A2:A10"&amp;"00&lt;&gt;""""),"""");
      IFERROR(FILTER(a16z!A2:A921, a16z!A2:A921&lt;&gt;""""),"""");
      IFERROR(FILTER(kholsa!A2:A975, kholsa!A2:A975&lt;&gt;""""),"""")
    },
    """"
  )
)"),"infisical.com")</f>
        <v>infisical.com</v>
      </c>
      <c r="B3" s="5" t="str">
        <f>IFERROR(__xludf.DUMMYFUNCTION("UNIQUE(A3:A4663)"),"infisical.com")</f>
        <v>infisical.com</v>
      </c>
    </row>
    <row r="4">
      <c r="A4" s="5" t="str">
        <f>IFERROR(__xludf.DUMMYFUNCTION("""COMPUTED_VALUE"""),"vapi.ai")</f>
        <v>vapi.ai</v>
      </c>
      <c r="B4" s="5" t="str">
        <f>IFERROR(__xludf.DUMMYFUNCTION("""COMPUTED_VALUE"""),"vapi.ai")</f>
        <v>vapi.ai</v>
      </c>
    </row>
    <row r="5">
      <c r="A5" s="5" t="str">
        <f>IFERROR(__xludf.DUMMYFUNCTION("""COMPUTED_VALUE"""),"fieldproxy.com")</f>
        <v>fieldproxy.com</v>
      </c>
      <c r="B5" s="5" t="str">
        <f>IFERROR(__xludf.DUMMYFUNCTION("""COMPUTED_VALUE"""),"fieldproxy.com")</f>
        <v>fieldproxy.com</v>
      </c>
    </row>
    <row r="6">
      <c r="A6" s="5" t="str">
        <f>IFERROR(__xludf.DUMMYFUNCTION("""COMPUTED_VALUE"""),"mozartdata.com")</f>
        <v>mozartdata.com</v>
      </c>
      <c r="B6" s="5" t="str">
        <f>IFERROR(__xludf.DUMMYFUNCTION("""COMPUTED_VALUE"""),"mozartdata.com")</f>
        <v>mozartdata.com</v>
      </c>
      <c r="E6" s="2" t="s">
        <v>52</v>
      </c>
    </row>
    <row r="7">
      <c r="A7" s="5" t="str">
        <f>IFERROR(__xludf.DUMMYFUNCTION("""COMPUTED_VALUE"""),"dailybot.com")</f>
        <v>dailybot.com</v>
      </c>
      <c r="B7" s="5" t="str">
        <f>IFERROR(__xludf.DUMMYFUNCTION("""COMPUTED_VALUE"""),"dailybot.com")</f>
        <v>dailybot.com</v>
      </c>
      <c r="E7" s="2" t="s">
        <v>53</v>
      </c>
    </row>
    <row r="8">
      <c r="A8" s="5" t="str">
        <f>IFERROR(__xludf.DUMMYFUNCTION("""COMPUTED_VALUE"""),"writesonic.com")</f>
        <v>writesonic.com</v>
      </c>
      <c r="B8" s="5" t="str">
        <f>IFERROR(__xludf.DUMMYFUNCTION("""COMPUTED_VALUE"""),"writesonic.com")</f>
        <v>writesonic.com</v>
      </c>
    </row>
    <row r="9">
      <c r="A9" s="5" t="str">
        <f>IFERROR(__xludf.DUMMYFUNCTION("""COMPUTED_VALUE"""),"inbuild.ai")</f>
        <v>inbuild.ai</v>
      </c>
      <c r="B9" s="5" t="str">
        <f>IFERROR(__xludf.DUMMYFUNCTION("""COMPUTED_VALUE"""),"inbuild.ai")</f>
        <v>inbuild.ai</v>
      </c>
    </row>
    <row r="10">
      <c r="A10" s="5" t="str">
        <f>IFERROR(__xludf.DUMMYFUNCTION("""COMPUTED_VALUE"""),"every.io")</f>
        <v>every.io</v>
      </c>
      <c r="B10" s="5" t="str">
        <f>IFERROR(__xludf.DUMMYFUNCTION("""COMPUTED_VALUE"""),"every.io")</f>
        <v>every.io</v>
      </c>
    </row>
    <row r="11">
      <c r="A11" s="5" t="str">
        <f>IFERROR(__xludf.DUMMYFUNCTION("""COMPUTED_VALUE"""),"requestly.com")</f>
        <v>requestly.com</v>
      </c>
      <c r="B11" s="5" t="str">
        <f>IFERROR(__xludf.DUMMYFUNCTION("""COMPUTED_VALUE"""),"requestly.com")</f>
        <v>requestly.com</v>
      </c>
    </row>
    <row r="12">
      <c r="A12" s="5" t="str">
        <f>IFERROR(__xludf.DUMMYFUNCTION("""COMPUTED_VALUE"""),"inaccord.com")</f>
        <v>inaccord.com</v>
      </c>
      <c r="B12" s="5" t="str">
        <f>IFERROR(__xludf.DUMMYFUNCTION("""COMPUTED_VALUE"""),"inaccord.com")</f>
        <v>inaccord.com</v>
      </c>
    </row>
    <row r="13">
      <c r="A13" s="5" t="str">
        <f>IFERROR(__xludf.DUMMYFUNCTION("""COMPUTED_VALUE"""),"joinpasito.com")</f>
        <v>joinpasito.com</v>
      </c>
      <c r="B13" s="5" t="str">
        <f>IFERROR(__xludf.DUMMYFUNCTION("""COMPUTED_VALUE"""),"joinpasito.com")</f>
        <v>joinpasito.com</v>
      </c>
    </row>
    <row r="14">
      <c r="A14" s="5" t="str">
        <f>IFERROR(__xludf.DUMMYFUNCTION("""COMPUTED_VALUE"""),"joinpasito.com")</f>
        <v>joinpasito.com</v>
      </c>
      <c r="B14" s="5" t="str">
        <f>IFERROR(__xludf.DUMMYFUNCTION("""COMPUTED_VALUE"""),"joincarma.com")</f>
        <v>joincarma.com</v>
      </c>
    </row>
    <row r="15">
      <c r="A15" s="5" t="str">
        <f>IFERROR(__xludf.DUMMYFUNCTION("""COMPUTED_VALUE"""),"vapi.ai")</f>
        <v>vapi.ai</v>
      </c>
      <c r="B15" s="6" t="str">
        <f>IFERROR(__xludf.DUMMYFUNCTION("""COMPUTED_VALUE"""),"anakin.company")</f>
        <v>anakin.company</v>
      </c>
    </row>
    <row r="16">
      <c r="A16" s="5" t="str">
        <f>IFERROR(__xludf.DUMMYFUNCTION("""COMPUTED_VALUE"""),"joincarma.com")</f>
        <v>joincarma.com</v>
      </c>
      <c r="B16" s="5" t="str">
        <f>IFERROR(__xludf.DUMMYFUNCTION("""COMPUTED_VALUE"""),"socap.ai")</f>
        <v>socap.ai</v>
      </c>
    </row>
    <row r="17">
      <c r="A17" s="5" t="str">
        <f>IFERROR(__xludf.DUMMYFUNCTION("""COMPUTED_VALUE"""),"joincarma.com")</f>
        <v>joincarma.com</v>
      </c>
      <c r="B17" s="5" t="str">
        <f>IFERROR(__xludf.DUMMYFUNCTION("""COMPUTED_VALUE"""),"dover.com")</f>
        <v>dover.com</v>
      </c>
    </row>
    <row r="18">
      <c r="A18" s="6" t="str">
        <f>IFERROR(__xludf.DUMMYFUNCTION("""COMPUTED_VALUE"""),"anakin.company")</f>
        <v>anakin.company</v>
      </c>
      <c r="B18" s="5" t="str">
        <f>IFERROR(__xludf.DUMMYFUNCTION("""COMPUTED_VALUE"""),"surebright.com")</f>
        <v>surebright.com</v>
      </c>
    </row>
    <row r="19">
      <c r="A19" s="5" t="str">
        <f>IFERROR(__xludf.DUMMYFUNCTION("""COMPUTED_VALUE"""),"socap.ai")</f>
        <v>socap.ai</v>
      </c>
      <c r="B19" s="5" t="str">
        <f>IFERROR(__xludf.DUMMYFUNCTION("""COMPUTED_VALUE"""),"vahan.ai")</f>
        <v>vahan.ai</v>
      </c>
    </row>
    <row r="20">
      <c r="A20" s="5" t="str">
        <f>IFERROR(__xludf.DUMMYFUNCTION("""COMPUTED_VALUE"""),"dover.com")</f>
        <v>dover.com</v>
      </c>
      <c r="B20" s="5" t="str">
        <f>IFERROR(__xludf.DUMMYFUNCTION("""COMPUTED_VALUE"""),"langdock.com")</f>
        <v>langdock.com</v>
      </c>
    </row>
    <row r="21">
      <c r="A21" s="5" t="str">
        <f>IFERROR(__xludf.DUMMYFUNCTION("""COMPUTED_VALUE"""),"surebright.com")</f>
        <v>surebright.com</v>
      </c>
      <c r="B21" s="5" t="str">
        <f>IFERROR(__xludf.DUMMYFUNCTION("""COMPUTED_VALUE"""),"truewind.ai")</f>
        <v>truewind.ai</v>
      </c>
    </row>
    <row r="22">
      <c r="A22" s="5" t="str">
        <f>IFERROR(__xludf.DUMMYFUNCTION("""COMPUTED_VALUE"""),"vahan.ai")</f>
        <v>vahan.ai</v>
      </c>
      <c r="B22" s="5" t="str">
        <f>IFERROR(__xludf.DUMMYFUNCTION("""COMPUTED_VALUE"""),"artisan.co")</f>
        <v>artisan.co</v>
      </c>
    </row>
    <row r="23">
      <c r="A23" s="5" t="str">
        <f>IFERROR(__xludf.DUMMYFUNCTION("""COMPUTED_VALUE"""),"langdock.com")</f>
        <v>langdock.com</v>
      </c>
      <c r="B23" s="5" t="str">
        <f>IFERROR(__xludf.DUMMYFUNCTION("""COMPUTED_VALUE"""),"sytex.io")</f>
        <v>sytex.io</v>
      </c>
    </row>
    <row r="24">
      <c r="A24" s="5" t="str">
        <f>IFERROR(__xludf.DUMMYFUNCTION("""COMPUTED_VALUE"""),"truewind.ai")</f>
        <v>truewind.ai</v>
      </c>
      <c r="B24" s="5" t="str">
        <f>IFERROR(__xludf.DUMMYFUNCTION("""COMPUTED_VALUE"""),"materee.id")</f>
        <v>materee.id</v>
      </c>
    </row>
    <row r="25">
      <c r="A25" s="5" t="str">
        <f>IFERROR(__xludf.DUMMYFUNCTION("""COMPUTED_VALUE"""),"artisan.co")</f>
        <v>artisan.co</v>
      </c>
      <c r="B25" s="6" t="str">
        <f>IFERROR(__xludf.DUMMYFUNCTION("""COMPUTED_VALUE"""),"tiptap.dev")</f>
        <v>tiptap.dev</v>
      </c>
    </row>
    <row r="26">
      <c r="A26" s="5" t="str">
        <f>IFERROR(__xludf.DUMMYFUNCTION("""COMPUTED_VALUE"""),"sytex.io")</f>
        <v>sytex.io</v>
      </c>
      <c r="B26" s="5" t="str">
        <f>IFERROR(__xludf.DUMMYFUNCTION("""COMPUTED_VALUE"""),"mailmodo.com")</f>
        <v>mailmodo.com</v>
      </c>
    </row>
    <row r="27">
      <c r="A27" s="5" t="str">
        <f>IFERROR(__xludf.DUMMYFUNCTION("""COMPUTED_VALUE"""),"materee.id")</f>
        <v>materee.id</v>
      </c>
      <c r="B27" s="5" t="str">
        <f>IFERROR(__xludf.DUMMYFUNCTION("""COMPUTED_VALUE"""),"yuma.ai")</f>
        <v>yuma.ai</v>
      </c>
    </row>
    <row r="28">
      <c r="A28" s="6" t="str">
        <f>IFERROR(__xludf.DUMMYFUNCTION("""COMPUTED_VALUE"""),"tiptap.dev")</f>
        <v>tiptap.dev</v>
      </c>
      <c r="B28" s="5" t="str">
        <f>IFERROR(__xludf.DUMMYFUNCTION("""COMPUTED_VALUE"""),"useStable.com")</f>
        <v>useStable.com</v>
      </c>
    </row>
    <row r="29">
      <c r="A29" s="5" t="str">
        <f>IFERROR(__xludf.DUMMYFUNCTION("""COMPUTED_VALUE"""),"mailmodo.com")</f>
        <v>mailmodo.com</v>
      </c>
      <c r="B29" s="5" t="str">
        <f>IFERROR(__xludf.DUMMYFUNCTION("""COMPUTED_VALUE"""),"theneo.io")</f>
        <v>theneo.io</v>
      </c>
    </row>
    <row r="30">
      <c r="A30" s="5" t="str">
        <f>IFERROR(__xludf.DUMMYFUNCTION("""COMPUTED_VALUE"""),"yuma.ai")</f>
        <v>yuma.ai</v>
      </c>
      <c r="B30" s="5" t="str">
        <f>IFERROR(__xludf.DUMMYFUNCTION("""COMPUTED_VALUE"""),"rysemarket.com")</f>
        <v>rysemarket.com</v>
      </c>
    </row>
    <row r="31">
      <c r="A31" s="5" t="str">
        <f>IFERROR(__xludf.DUMMYFUNCTION("""COMPUTED_VALUE"""),"useStable.com")</f>
        <v>useStable.com</v>
      </c>
      <c r="B31" s="5" t="str">
        <f>IFERROR(__xludf.DUMMYFUNCTION("""COMPUTED_VALUE"""),"wareiq.com")</f>
        <v>wareiq.com</v>
      </c>
    </row>
    <row r="32">
      <c r="A32" s="5" t="str">
        <f>IFERROR(__xludf.DUMMYFUNCTION("""COMPUTED_VALUE"""),"theneo.io")</f>
        <v>theneo.io</v>
      </c>
      <c r="B32" s="5" t="str">
        <f>IFERROR(__xludf.DUMMYFUNCTION("""COMPUTED_VALUE"""),"zoko.io")</f>
        <v>zoko.io</v>
      </c>
    </row>
    <row r="33">
      <c r="A33" s="5" t="str">
        <f>IFERROR(__xludf.DUMMYFUNCTION("""COMPUTED_VALUE"""),"rysemarket.com")</f>
        <v>rysemarket.com</v>
      </c>
      <c r="B33" s="5" t="str">
        <f>IFERROR(__xludf.DUMMYFUNCTION("""COMPUTED_VALUE"""),"ubicloud.com")</f>
        <v>ubicloud.com</v>
      </c>
    </row>
    <row r="34">
      <c r="A34" s="5" t="str">
        <f>IFERROR(__xludf.DUMMYFUNCTION("""COMPUTED_VALUE"""),"wareiq.com")</f>
        <v>wareiq.com</v>
      </c>
      <c r="B34" s="5" t="str">
        <f>IFERROR(__xludf.DUMMYFUNCTION("""COMPUTED_VALUE"""),"sendblue.com")</f>
        <v>sendblue.com</v>
      </c>
    </row>
    <row r="35">
      <c r="A35" s="5" t="str">
        <f>IFERROR(__xludf.DUMMYFUNCTION("""COMPUTED_VALUE"""),"zoko.io")</f>
        <v>zoko.io</v>
      </c>
      <c r="B35" s="5" t="str">
        <f>IFERROR(__xludf.DUMMYFUNCTION("""COMPUTED_VALUE"""),"business.triply.co")</f>
        <v>business.triply.co</v>
      </c>
    </row>
    <row r="36">
      <c r="A36" s="5" t="str">
        <f>IFERROR(__xludf.DUMMYFUNCTION("""COMPUTED_VALUE"""),"zoko.io")</f>
        <v>zoko.io</v>
      </c>
      <c r="B36" s="5" t="str">
        <f>IFERROR(__xludf.DUMMYFUNCTION("""COMPUTED_VALUE"""),"tarsal.co")</f>
        <v>tarsal.co</v>
      </c>
    </row>
    <row r="37">
      <c r="A37" s="5" t="str">
        <f>IFERROR(__xludf.DUMMYFUNCTION("""COMPUTED_VALUE"""),"ubicloud.com")</f>
        <v>ubicloud.com</v>
      </c>
      <c r="B37" s="5" t="str">
        <f>IFERROR(__xludf.DUMMYFUNCTION("""COMPUTED_VALUE"""),"spadeworks.co")</f>
        <v>spadeworks.co</v>
      </c>
    </row>
    <row r="38">
      <c r="A38" s="5" t="str">
        <f>IFERROR(__xludf.DUMMYFUNCTION("""COMPUTED_VALUE"""),"sendblue.com")</f>
        <v>sendblue.com</v>
      </c>
      <c r="B38" s="5" t="str">
        <f>IFERROR(__xludf.DUMMYFUNCTION("""COMPUTED_VALUE"""),"sigmamind.ai")</f>
        <v>sigmamind.ai</v>
      </c>
    </row>
    <row r="39">
      <c r="A39" s="5" t="str">
        <f>IFERROR(__xludf.DUMMYFUNCTION("""COMPUTED_VALUE"""),"business.triply.co")</f>
        <v>business.triply.co</v>
      </c>
      <c r="B39" s="5" t="str">
        <f>IFERROR(__xludf.DUMMYFUNCTION("""COMPUTED_VALUE"""),"revi.ai")</f>
        <v>revi.ai</v>
      </c>
    </row>
    <row r="40">
      <c r="A40" s="5" t="str">
        <f>IFERROR(__xludf.DUMMYFUNCTION("""COMPUTED_VALUE"""),"tarsal.co")</f>
        <v>tarsal.co</v>
      </c>
      <c r="B40" s="6" t="str">
        <f>IFERROR(__xludf.DUMMYFUNCTION("""COMPUTED_VALUE"""),"quindar.space")</f>
        <v>quindar.space</v>
      </c>
    </row>
    <row r="41">
      <c r="A41" s="5" t="str">
        <f>IFERROR(__xludf.DUMMYFUNCTION("""COMPUTED_VALUE"""),"spadeworks.co")</f>
        <v>spadeworks.co</v>
      </c>
      <c r="B41" s="5" t="str">
        <f>IFERROR(__xludf.DUMMYFUNCTION("""COMPUTED_VALUE"""),"pipeshift.com")</f>
        <v>pipeshift.com</v>
      </c>
    </row>
    <row r="42">
      <c r="A42" s="5" t="str">
        <f>IFERROR(__xludf.DUMMYFUNCTION("""COMPUTED_VALUE"""),"sigmamind.ai")</f>
        <v>sigmamind.ai</v>
      </c>
      <c r="B42" s="5" t="str">
        <f>IFERROR(__xludf.DUMMYFUNCTION("""COMPUTED_VALUE"""),"peeba.com")</f>
        <v>peeba.com</v>
      </c>
    </row>
    <row r="43">
      <c r="A43" s="5" t="str">
        <f>IFERROR(__xludf.DUMMYFUNCTION("""COMPUTED_VALUE"""),"revi.ai")</f>
        <v>revi.ai</v>
      </c>
      <c r="B43" s="5" t="str">
        <f>IFERROR(__xludf.DUMMYFUNCTION("""COMPUTED_VALUE"""),"oneschema.co")</f>
        <v>oneschema.co</v>
      </c>
    </row>
    <row r="44">
      <c r="A44" s="6" t="str">
        <f>IFERROR(__xludf.DUMMYFUNCTION("""COMPUTED_VALUE"""),"quindar.space")</f>
        <v>quindar.space</v>
      </c>
      <c r="B44" s="5" t="str">
        <f>IFERROR(__xludf.DUMMYFUNCTION("""COMPUTED_VALUE"""),"oneleet.com")</f>
        <v>oneleet.com</v>
      </c>
    </row>
    <row r="45">
      <c r="A45" s="6" t="str">
        <f>IFERROR(__xludf.DUMMYFUNCTION("""COMPUTED_VALUE"""),"quindar.space")</f>
        <v>quindar.space</v>
      </c>
      <c r="B45" s="5" t="str">
        <f>IFERROR(__xludf.DUMMYFUNCTION("""COMPUTED_VALUE"""),"omnistrate.com")</f>
        <v>omnistrate.com</v>
      </c>
    </row>
    <row r="46">
      <c r="A46" s="5" t="str">
        <f>IFERROR(__xludf.DUMMYFUNCTION("""COMPUTED_VALUE"""),"pipeshift.com")</f>
        <v>pipeshift.com</v>
      </c>
      <c r="B46" s="5" t="str">
        <f>IFERROR(__xludf.DUMMYFUNCTION("""COMPUTED_VALUE"""),"odigos.io")</f>
        <v>odigos.io</v>
      </c>
    </row>
    <row r="47">
      <c r="A47" s="5" t="str">
        <f>IFERROR(__xludf.DUMMYFUNCTION("""COMPUTED_VALUE"""),"peeba.com")</f>
        <v>peeba.com</v>
      </c>
      <c r="B47" s="5" t="str">
        <f>IFERROR(__xludf.DUMMYFUNCTION("""COMPUTED_VALUE"""),"jiga.io")</f>
        <v>jiga.io</v>
      </c>
    </row>
    <row r="48">
      <c r="A48" s="5" t="str">
        <f>IFERROR(__xludf.DUMMYFUNCTION("""COMPUTED_VALUE"""),"oneschema.co")</f>
        <v>oneschema.co</v>
      </c>
      <c r="B48" s="5" t="str">
        <f>IFERROR(__xludf.DUMMYFUNCTION("""COMPUTED_VALUE"""),"invofox.com")</f>
        <v>invofox.com</v>
      </c>
    </row>
    <row r="49">
      <c r="A49" s="5" t="str">
        <f>IFERROR(__xludf.DUMMYFUNCTION("""COMPUTED_VALUE"""),"oneleet.com")</f>
        <v>oneleet.com</v>
      </c>
      <c r="B49" s="5" t="str">
        <f>IFERROR(__xludf.DUMMYFUNCTION("""COMPUTED_VALUE"""),"hyperbound.ai")</f>
        <v>hyperbound.ai</v>
      </c>
    </row>
    <row r="50">
      <c r="A50" s="5" t="str">
        <f>IFERROR(__xludf.DUMMYFUNCTION("""COMPUTED_VALUE"""),"omnistrate.com")</f>
        <v>omnistrate.com</v>
      </c>
      <c r="B50" s="5" t="str">
        <f>IFERROR(__xludf.DUMMYFUNCTION("""COMPUTED_VALUE"""),"formance.com")</f>
        <v>formance.com</v>
      </c>
    </row>
    <row r="51">
      <c r="A51" s="5" t="str">
        <f>IFERROR(__xludf.DUMMYFUNCTION("""COMPUTED_VALUE"""),"odigos.io")</f>
        <v>odigos.io</v>
      </c>
      <c r="B51" s="5" t="str">
        <f>IFERROR(__xludf.DUMMYFUNCTION("""COMPUTED_VALUE"""),"explo.co")</f>
        <v>explo.co</v>
      </c>
    </row>
    <row r="52">
      <c r="A52" s="5" t="str">
        <f>IFERROR(__xludf.DUMMYFUNCTION("""COMPUTED_VALUE"""),"jiga.io")</f>
        <v>jiga.io</v>
      </c>
      <c r="B52" s="5" t="str">
        <f>IFERROR(__xludf.DUMMYFUNCTION("""COMPUTED_VALUE"""),"ekhodealer.com")</f>
        <v>ekhodealer.com</v>
      </c>
    </row>
    <row r="53">
      <c r="A53" s="5" t="str">
        <f>IFERROR(__xludf.DUMMYFUNCTION("""COMPUTED_VALUE"""),"invofox.com")</f>
        <v>invofox.com</v>
      </c>
      <c r="B53" s="5" t="str">
        <f>IFERROR(__xludf.DUMMYFUNCTION("""COMPUTED_VALUE"""),"disclo.com")</f>
        <v>disclo.com</v>
      </c>
    </row>
    <row r="54">
      <c r="A54" s="5" t="str">
        <f>IFERROR(__xludf.DUMMYFUNCTION("""COMPUTED_VALUE"""),"inbuild.ai")</f>
        <v>inbuild.ai</v>
      </c>
      <c r="B54" s="5" t="str">
        <f>IFERROR(__xludf.DUMMYFUNCTION("""COMPUTED_VALUE"""),"devyce.com")</f>
        <v>devyce.com</v>
      </c>
    </row>
    <row r="55">
      <c r="A55" s="5" t="str">
        <f>IFERROR(__xludf.DUMMYFUNCTION("""COMPUTED_VALUE"""),"hyperbound.ai")</f>
        <v>hyperbound.ai</v>
      </c>
      <c r="B55" s="5" t="str">
        <f>IFERROR(__xludf.DUMMYFUNCTION("""COMPUTED_VALUE"""),"deskimo.com")</f>
        <v>deskimo.com</v>
      </c>
    </row>
    <row r="56">
      <c r="A56" s="5" t="str">
        <f>IFERROR(__xludf.DUMMYFUNCTION("""COMPUTED_VALUE"""),"formance.com")</f>
        <v>formance.com</v>
      </c>
      <c r="B56" s="5" t="str">
        <f>IFERROR(__xludf.DUMMYFUNCTION("""COMPUTED_VALUE"""),"demodesk.com")</f>
        <v>demodesk.com</v>
      </c>
    </row>
    <row r="57">
      <c r="A57" s="5" t="str">
        <f>IFERROR(__xludf.DUMMYFUNCTION("""COMPUTED_VALUE"""),"explo.co")</f>
        <v>explo.co</v>
      </c>
      <c r="B57" s="5" t="str">
        <f>IFERROR(__xludf.DUMMYFUNCTION("""COMPUTED_VALUE"""),"datrics.ai")</f>
        <v>datrics.ai</v>
      </c>
    </row>
    <row r="58">
      <c r="A58" s="5" t="str">
        <f>IFERROR(__xludf.DUMMYFUNCTION("""COMPUTED_VALUE"""),"ekhodealer.com")</f>
        <v>ekhodealer.com</v>
      </c>
      <c r="B58" s="5" t="str">
        <f>IFERROR(__xludf.DUMMYFUNCTION("""COMPUTED_VALUE"""),"capitol.ai")</f>
        <v>capitol.ai</v>
      </c>
    </row>
    <row r="59">
      <c r="A59" s="5" t="str">
        <f>IFERROR(__xludf.DUMMYFUNCTION("""COMPUTED_VALUE"""),"disclo.com")</f>
        <v>disclo.com</v>
      </c>
      <c r="B59" s="5" t="str">
        <f>IFERROR(__xludf.DUMMYFUNCTION("""COMPUTED_VALUE"""),"autone.io")</f>
        <v>autone.io</v>
      </c>
    </row>
    <row r="60">
      <c r="A60" s="5" t="str">
        <f>IFERROR(__xludf.DUMMYFUNCTION("""COMPUTED_VALUE"""),"devyce.com")</f>
        <v>devyce.com</v>
      </c>
      <c r="B60" s="5" t="str">
        <f>IFERROR(__xludf.DUMMYFUNCTION("""COMPUTED_VALUE"""),"agentnoon.com")</f>
        <v>agentnoon.com</v>
      </c>
    </row>
    <row r="61">
      <c r="A61" s="5" t="str">
        <f>IFERROR(__xludf.DUMMYFUNCTION("""COMPUTED_VALUE"""),"deskimo.com")</f>
        <v>deskimo.com</v>
      </c>
      <c r="B61" s="5" t="str">
        <f>IFERROR(__xludf.DUMMYFUNCTION("""COMPUTED_VALUE"""),"activepieces.com")</f>
        <v>activepieces.com</v>
      </c>
    </row>
    <row r="62">
      <c r="A62" s="5" t="str">
        <f>IFERROR(__xludf.DUMMYFUNCTION("""COMPUTED_VALUE"""),"demodesk.com")</f>
        <v>demodesk.com</v>
      </c>
      <c r="B62" s="5" t="str">
        <f>IFERROR(__xludf.DUMMYFUNCTION("""COMPUTED_VALUE"""),"lancedb.com")</f>
        <v>lancedb.com</v>
      </c>
    </row>
    <row r="63">
      <c r="A63" s="5" t="str">
        <f>IFERROR(__xludf.DUMMYFUNCTION("""COMPUTED_VALUE"""),"datrics.ai")</f>
        <v>datrics.ai</v>
      </c>
      <c r="B63" s="5" t="str">
        <f>IFERROR(__xludf.DUMMYFUNCTION("""COMPUTED_VALUE"""),"hockeystack.com")</f>
        <v>hockeystack.com</v>
      </c>
    </row>
    <row r="64">
      <c r="A64" s="5" t="str">
        <f>IFERROR(__xludf.DUMMYFUNCTION("""COMPUTED_VALUE"""),"capitol.ai")</f>
        <v>capitol.ai</v>
      </c>
      <c r="B64" s="5" t="str">
        <f>IFERROR(__xludf.DUMMYFUNCTION("""COMPUTED_VALUE"""),"happl.com")</f>
        <v>happl.com</v>
      </c>
    </row>
    <row r="65">
      <c r="A65" s="5" t="str">
        <f>IFERROR(__xludf.DUMMYFUNCTION("""COMPUTED_VALUE"""),"autone.io")</f>
        <v>autone.io</v>
      </c>
      <c r="B65" s="5" t="str">
        <f>IFERROR(__xludf.DUMMYFUNCTION("""COMPUTED_VALUE"""),"salvy.com.br")</f>
        <v>salvy.com.br</v>
      </c>
    </row>
    <row r="66">
      <c r="A66" s="5" t="str">
        <f>IFERROR(__xludf.DUMMYFUNCTION("""COMPUTED_VALUE"""),"agentnoon.com")</f>
        <v>agentnoon.com</v>
      </c>
      <c r="B66" s="5" t="str">
        <f>IFERROR(__xludf.DUMMYFUNCTION("""COMPUTED_VALUE"""),"compup.io")</f>
        <v>compup.io</v>
      </c>
    </row>
    <row r="67">
      <c r="A67" s="5" t="str">
        <f>IFERROR(__xludf.DUMMYFUNCTION("""COMPUTED_VALUE"""),"activepieces.com")</f>
        <v>activepieces.com</v>
      </c>
      <c r="B67" s="5" t="str">
        <f>IFERROR(__xludf.DUMMYFUNCTION("""COMPUTED_VALUE"""),"cercli.com")</f>
        <v>cercli.com</v>
      </c>
    </row>
    <row r="68">
      <c r="A68" s="5" t="str">
        <f>IFERROR(__xludf.DUMMYFUNCTION("""COMPUTED_VALUE"""),"lancedb.com")</f>
        <v>lancedb.com</v>
      </c>
      <c r="B68" s="5" t="str">
        <f>IFERROR(__xludf.DUMMYFUNCTION("""COMPUTED_VALUE"""),"driverai.com")</f>
        <v>driverai.com</v>
      </c>
    </row>
    <row r="69">
      <c r="A69" s="5" t="str">
        <f>IFERROR(__xludf.DUMMYFUNCTION("""COMPUTED_VALUE"""),"hockeystack.com")</f>
        <v>hockeystack.com</v>
      </c>
      <c r="B69" s="5" t="str">
        <f>IFERROR(__xludf.DUMMYFUNCTION("""COMPUTED_VALUE"""),"280north.com")</f>
        <v>280north.com</v>
      </c>
    </row>
    <row r="70">
      <c r="A70" s="5" t="str">
        <f>IFERROR(__xludf.DUMMYFUNCTION("""COMPUTED_VALUE"""),"happl.com")</f>
        <v>happl.com</v>
      </c>
      <c r="B70" s="5" t="str">
        <f>IFERROR(__xludf.DUMMYFUNCTION("""COMPUTED_VALUE"""),"500friends.com")</f>
        <v>500friends.com</v>
      </c>
    </row>
    <row r="71">
      <c r="A71" s="5" t="str">
        <f>IFERROR(__xludf.DUMMYFUNCTION("""COMPUTED_VALUE"""),"salvy.com.br")</f>
        <v>salvy.com.br</v>
      </c>
      <c r="B71" s="6" t="str">
        <f>IFERROR(__xludf.DUMMYFUNCTION("""COMPUTED_VALUE"""),"ai.fashion")</f>
        <v>ai.fashion</v>
      </c>
    </row>
    <row r="72">
      <c r="A72" s="5" t="str">
        <f>IFERROR(__xludf.DUMMYFUNCTION("""COMPUTED_VALUE"""),"compup.io")</f>
        <v>compup.io</v>
      </c>
      <c r="B72" s="5" t="str">
        <f>IFERROR(__xludf.DUMMYFUNCTION("""COMPUTED_VALUE"""),"axdraft.com")</f>
        <v>axdraft.com</v>
      </c>
    </row>
    <row r="73">
      <c r="A73" s="5" t="str">
        <f>IFERROR(__xludf.DUMMYFUNCTION("""COMPUTED_VALUE"""),"compup.io")</f>
        <v>compup.io</v>
      </c>
      <c r="B73" s="5" t="str">
        <f>IFERROR(__xludf.DUMMYFUNCTION("""COMPUTED_VALUE"""),"athinkingape.com")</f>
        <v>athinkingape.com</v>
      </c>
    </row>
    <row r="74">
      <c r="A74" s="5" t="str">
        <f>IFERROR(__xludf.DUMMYFUNCTION("""COMPUTED_VALUE"""),"cercli.com")</f>
        <v>cercli.com</v>
      </c>
      <c r="B74" s="5" t="str">
        <f>IFERROR(__xludf.DUMMYFUNCTION("""COMPUTED_VALUE"""),"abacus.com")</f>
        <v>abacus.com</v>
      </c>
    </row>
    <row r="75">
      <c r="A75" s="5" t="str">
        <f>IFERROR(__xludf.DUMMYFUNCTION("""COMPUTED_VALUE"""),"driverai.com")</f>
        <v>driverai.com</v>
      </c>
      <c r="B75" s="5" t="str">
        <f>IFERROR(__xludf.DUMMYFUNCTION("""COMPUTED_VALUE"""),"abstra.io")</f>
        <v>abstra.io</v>
      </c>
    </row>
    <row r="76">
      <c r="A76" s="5" t="str">
        <f>IFERROR(__xludf.DUMMYFUNCTION("""COMPUTED_VALUE"""),"280north.com")</f>
        <v>280north.com</v>
      </c>
      <c r="B76" s="5" t="str">
        <f>IFERROR(__xludf.DUMMYFUNCTION("""COMPUTED_VALUE"""),"activeloop.ai")</f>
        <v>activeloop.ai</v>
      </c>
    </row>
    <row r="77">
      <c r="A77" s="5" t="str">
        <f>IFERROR(__xludf.DUMMYFUNCTION("""COMPUTED_VALUE"""),"500friends.com")</f>
        <v>500friends.com</v>
      </c>
      <c r="B77" s="5" t="str">
        <f>IFERROR(__xludf.DUMMYFUNCTION("""COMPUTED_VALUE"""),"adenhq.com")</f>
        <v>adenhq.com</v>
      </c>
    </row>
    <row r="78">
      <c r="A78" s="6" t="str">
        <f>IFERROR(__xludf.DUMMYFUNCTION("""COMPUTED_VALUE"""),"ai.fashion")</f>
        <v>ai.fashion</v>
      </c>
      <c r="B78" s="5" t="str">
        <f>IFERROR(__xludf.DUMMYFUNCTION("""COMPUTED_VALUE"""),"aerofs.com")</f>
        <v>aerofs.com</v>
      </c>
    </row>
    <row r="79">
      <c r="A79" s="5" t="str">
        <f>IFERROR(__xludf.DUMMYFUNCTION("""COMPUTED_VALUE"""),"axdraft.com")</f>
        <v>axdraft.com</v>
      </c>
      <c r="B79" s="5" t="str">
        <f>IFERROR(__xludf.DUMMYFUNCTION("""COMPUTED_VALUE"""),"agaveapi.com")</f>
        <v>agaveapi.com</v>
      </c>
    </row>
    <row r="80">
      <c r="A80" s="5" t="str">
        <f>IFERROR(__xludf.DUMMYFUNCTION("""COMPUTED_VALUE"""),"athinkingape.com")</f>
        <v>athinkingape.com</v>
      </c>
      <c r="B80" s="5" t="str">
        <f>IFERROR(__xludf.DUMMYFUNCTION("""COMPUTED_VALUE"""),"agendapro.com")</f>
        <v>agendapro.com</v>
      </c>
    </row>
    <row r="81">
      <c r="A81" s="5" t="str">
        <f>IFERROR(__xludf.DUMMYFUNCTION("""COMPUTED_VALUE"""),"abacus.com")</f>
        <v>abacus.com</v>
      </c>
      <c r="B81" s="5" t="str">
        <f>IFERROR(__xludf.DUMMYFUNCTION("""COMPUTED_VALUE"""),"ahazou.com")</f>
        <v>ahazou.com</v>
      </c>
    </row>
    <row r="82">
      <c r="A82" s="5" t="str">
        <f>IFERROR(__xludf.DUMMYFUNCTION("""COMPUTED_VALUE"""),"abstra.io")</f>
        <v>abstra.io</v>
      </c>
      <c r="B82" s="5" t="str">
        <f>IFERROR(__xludf.DUMMYFUNCTION("""COMPUTED_VALUE"""),"airbyte.com")</f>
        <v>airbyte.com</v>
      </c>
    </row>
    <row r="83">
      <c r="A83" s="5" t="str">
        <f>IFERROR(__xludf.DUMMYFUNCTION("""COMPUTED_VALUE"""),"activeloop.ai")</f>
        <v>activeloop.ai</v>
      </c>
      <c r="B83" s="5" t="str">
        <f>IFERROR(__xludf.DUMMYFUNCTION("""COMPUTED_VALUE"""),"akiflow.com")</f>
        <v>akiflow.com</v>
      </c>
    </row>
    <row r="84">
      <c r="A84" s="5" t="str">
        <f>IFERROR(__xludf.DUMMYFUNCTION("""COMPUTED_VALUE"""),"adenhq.com")</f>
        <v>adenhq.com</v>
      </c>
      <c r="B84" s="5" t="str">
        <f>IFERROR(__xludf.DUMMYFUNCTION("""COMPUTED_VALUE"""),"alana.jobs")</f>
        <v>alana.jobs</v>
      </c>
    </row>
    <row r="85">
      <c r="A85" s="5" t="str">
        <f>IFERROR(__xludf.DUMMYFUNCTION("""COMPUTED_VALUE"""),"aerofs.com")</f>
        <v>aerofs.com</v>
      </c>
      <c r="B85" s="5" t="str">
        <f>IFERROR(__xludf.DUMMYFUNCTION("""COMPUTED_VALUE"""),"getaleph.com")</f>
        <v>getaleph.com</v>
      </c>
    </row>
    <row r="86">
      <c r="A86" s="5" t="str">
        <f>IFERROR(__xludf.DUMMYFUNCTION("""COMPUTED_VALUE"""),"agaveapi.com")</f>
        <v>agaveapi.com</v>
      </c>
      <c r="B86" s="5" t="str">
        <f>IFERROR(__xludf.DUMMYFUNCTION("""COMPUTED_VALUE"""),"alephee.com")</f>
        <v>alephee.com</v>
      </c>
    </row>
    <row r="87">
      <c r="A87" s="5" t="str">
        <f>IFERROR(__xludf.DUMMYFUNCTION("""COMPUTED_VALUE"""),"agendapro.com")</f>
        <v>agendapro.com</v>
      </c>
      <c r="B87" s="5" t="str">
        <f>IFERROR(__xludf.DUMMYFUNCTION("""COMPUTED_VALUE"""),"alima.la")</f>
        <v>alima.la</v>
      </c>
    </row>
    <row r="88">
      <c r="A88" s="5" t="str">
        <f>IFERROR(__xludf.DUMMYFUNCTION("""COMPUTED_VALUE"""),"ahazou.com")</f>
        <v>ahazou.com</v>
      </c>
      <c r="B88" s="5" t="str">
        <f>IFERROR(__xludf.DUMMYFUNCTION("""COMPUTED_VALUE"""),"allsome.com")</f>
        <v>allsome.com</v>
      </c>
    </row>
    <row r="89">
      <c r="A89" s="5" t="str">
        <f>IFERROR(__xludf.DUMMYFUNCTION("""COMPUTED_VALUE"""),"airbyte.com")</f>
        <v>airbyte.com</v>
      </c>
      <c r="B89" s="5" t="str">
        <f>IFERROR(__xludf.DUMMYFUNCTION("""COMPUTED_VALUE"""),"140fire.com")</f>
        <v>140fire.com</v>
      </c>
    </row>
    <row r="90">
      <c r="A90" s="5" t="str">
        <f>IFERROR(__xludf.DUMMYFUNCTION("""COMPUTED_VALUE"""),"akiflow.com")</f>
        <v>akiflow.com</v>
      </c>
      <c r="B90" s="5" t="str">
        <f>IFERROR(__xludf.DUMMYFUNCTION("""COMPUTED_VALUE"""),"runalloy.com")</f>
        <v>runalloy.com</v>
      </c>
    </row>
    <row r="91">
      <c r="A91" s="5" t="str">
        <f>IFERROR(__xludf.DUMMYFUNCTION("""COMPUTED_VALUE"""),"alana.jobs")</f>
        <v>alana.jobs</v>
      </c>
      <c r="B91" s="5" t="str">
        <f>IFERROR(__xludf.DUMMYFUNCTION("""COMPUTED_VALUE"""),"alluresystems.com")</f>
        <v>alluresystems.com</v>
      </c>
    </row>
    <row r="92">
      <c r="A92" s="5" t="str">
        <f>IFERROR(__xludf.DUMMYFUNCTION("""COMPUTED_VALUE"""),"getaleph.com")</f>
        <v>getaleph.com</v>
      </c>
      <c r="B92" s="5" t="str">
        <f>IFERROR(__xludf.DUMMYFUNCTION("""COMPUTED_VALUE"""),"alokai.com")</f>
        <v>alokai.com</v>
      </c>
    </row>
    <row r="93">
      <c r="A93" s="5" t="str">
        <f>IFERROR(__xludf.DUMMYFUNCTION("""COMPUTED_VALUE"""),"alephee.com")</f>
        <v>alephee.com</v>
      </c>
      <c r="B93" s="5" t="str">
        <f>IFERROR(__xludf.DUMMYFUNCTION("""COMPUTED_VALUE"""),"ambient.ai")</f>
        <v>ambient.ai</v>
      </c>
    </row>
    <row r="94">
      <c r="A94" s="5" t="str">
        <f>IFERROR(__xludf.DUMMYFUNCTION("""COMPUTED_VALUE"""),"alima.la")</f>
        <v>alima.la</v>
      </c>
      <c r="B94" s="5" t="str">
        <f>IFERROR(__xludf.DUMMYFUNCTION("""COMPUTED_VALUE"""),"ambition.com")</f>
        <v>ambition.com</v>
      </c>
    </row>
    <row r="95">
      <c r="A95" s="5" t="str">
        <f>IFERROR(__xludf.DUMMYFUNCTION("""COMPUTED_VALUE"""),"allsome.com")</f>
        <v>allsome.com</v>
      </c>
      <c r="B95" s="5" t="str">
        <f>IFERROR(__xludf.DUMMYFUNCTION("""COMPUTED_VALUE"""),"anasen.com")</f>
        <v>anasen.com</v>
      </c>
    </row>
    <row r="96">
      <c r="A96" s="5" t="str">
        <f>IFERROR(__xludf.DUMMYFUNCTION("""COMPUTED_VALUE"""),"140fire.com")</f>
        <v>140fire.com</v>
      </c>
      <c r="B96" s="5" t="str">
        <f>IFERROR(__xludf.DUMMYFUNCTION("""COMPUTED_VALUE"""),"animaapp.com")</f>
        <v>animaapp.com</v>
      </c>
    </row>
    <row r="97">
      <c r="A97" s="5" t="str">
        <f>IFERROR(__xludf.DUMMYFUNCTION("""COMPUTED_VALUE"""),"runalloy.com")</f>
        <v>runalloy.com</v>
      </c>
      <c r="B97" s="5" t="str">
        <f>IFERROR(__xludf.DUMMYFUNCTION("""COMPUTED_VALUE"""),"anjuna.io")</f>
        <v>anjuna.io</v>
      </c>
    </row>
    <row r="98">
      <c r="A98" s="5" t="str">
        <f>IFERROR(__xludf.DUMMYFUNCTION("""COMPUTED_VALUE"""),"alluresystems.com")</f>
        <v>alluresystems.com</v>
      </c>
      <c r="B98" s="5" t="str">
        <f>IFERROR(__xludf.DUMMYFUNCTION("""COMPUTED_VALUE"""),"apollo.io")</f>
        <v>apollo.io</v>
      </c>
    </row>
    <row r="99">
      <c r="A99" s="5" t="str">
        <f>IFERROR(__xludf.DUMMYFUNCTION("""COMPUTED_VALUE"""),"alokai.com")</f>
        <v>alokai.com</v>
      </c>
      <c r="B99" s="5" t="str">
        <f>IFERROR(__xludf.DUMMYFUNCTION("""COMPUTED_VALUE"""),"apportable.com")</f>
        <v>apportable.com</v>
      </c>
    </row>
    <row r="100">
      <c r="A100" s="5" t="str">
        <f>IFERROR(__xludf.DUMMYFUNCTION("""COMPUTED_VALUE"""),"ambient.ai")</f>
        <v>ambient.ai</v>
      </c>
      <c r="B100" s="5" t="str">
        <f>IFERROR(__xludf.DUMMYFUNCTION("""COMPUTED_VALUE"""),"apptimize.com")</f>
        <v>apptimize.com</v>
      </c>
    </row>
    <row r="101">
      <c r="A101" s="5" t="str">
        <f>IFERROR(__xludf.DUMMYFUNCTION("""COMPUTED_VALUE"""),"ambition.com")</f>
        <v>ambition.com</v>
      </c>
      <c r="B101" s="5" t="str">
        <f>IFERROR(__xludf.DUMMYFUNCTION("""COMPUTED_VALUE"""),"aptible.com")</f>
        <v>aptible.com</v>
      </c>
    </row>
    <row r="102">
      <c r="A102" s="5" t="str">
        <f>IFERROR(__xludf.DUMMYFUNCTION("""COMPUTED_VALUE"""),"anasen.com")</f>
        <v>anasen.com</v>
      </c>
      <c r="B102" s="5" t="str">
        <f>IFERROR(__xludf.DUMMYFUNCTION("""COMPUTED_VALUE"""),"aquariumlearning.com")</f>
        <v>aquariumlearning.com</v>
      </c>
    </row>
    <row r="103">
      <c r="A103" s="5" t="str">
        <f>IFERROR(__xludf.DUMMYFUNCTION("""COMPUTED_VALUE"""),"animaapp.com")</f>
        <v>animaapp.com</v>
      </c>
      <c r="B103" s="5" t="str">
        <f>IFERROR(__xludf.DUMMYFUNCTION("""COMPUTED_VALUE"""),"archbee.com")</f>
        <v>archbee.com</v>
      </c>
    </row>
    <row r="104">
      <c r="A104" s="5" t="str">
        <f>IFERROR(__xludf.DUMMYFUNCTION("""COMPUTED_VALUE"""),"anjuna.io")</f>
        <v>anjuna.io</v>
      </c>
      <c r="B104" s="5" t="str">
        <f>IFERROR(__xludf.DUMMYFUNCTION("""COMPUTED_VALUE"""),"arengu.com")</f>
        <v>arengu.com</v>
      </c>
    </row>
    <row r="105">
      <c r="A105" s="5" t="str">
        <f>IFERROR(__xludf.DUMMYFUNCTION("""COMPUTED_VALUE"""),"apollo.io")</f>
        <v>apollo.io</v>
      </c>
      <c r="B105" s="5" t="str">
        <f>IFERROR(__xludf.DUMMYFUNCTION("""COMPUTED_VALUE"""),"arist.co")</f>
        <v>arist.co</v>
      </c>
    </row>
    <row r="106">
      <c r="A106" s="5" t="str">
        <f>IFERROR(__xludf.DUMMYFUNCTION("""COMPUTED_VALUE"""),"apportable.com")</f>
        <v>apportable.com</v>
      </c>
      <c r="B106" s="5" t="str">
        <f>IFERROR(__xludf.DUMMYFUNCTION("""COMPUTED_VALUE"""),"arketa.com")</f>
        <v>arketa.com</v>
      </c>
    </row>
    <row r="107">
      <c r="A107" s="5" t="str">
        <f>IFERROR(__xludf.DUMMYFUNCTION("""COMPUTED_VALUE"""),"apptimize.com")</f>
        <v>apptimize.com</v>
      </c>
      <c r="B107" s="5" t="str">
        <f>IFERROR(__xludf.DUMMYFUNCTION("""COMPUTED_VALUE"""),"armilla.ai")</f>
        <v>armilla.ai</v>
      </c>
    </row>
    <row r="108">
      <c r="A108" s="5" t="str">
        <f>IFERROR(__xludf.DUMMYFUNCTION("""COMPUTED_VALUE"""),"aptible.com")</f>
        <v>aptible.com</v>
      </c>
      <c r="B108" s="5" t="str">
        <f>IFERROR(__xludf.DUMMYFUNCTION("""COMPUTED_VALUE"""),"armory.io")</f>
        <v>armory.io</v>
      </c>
    </row>
    <row r="109">
      <c r="A109" s="5" t="str">
        <f>IFERROR(__xludf.DUMMYFUNCTION("""COMPUTED_VALUE"""),"aquariumlearning.com")</f>
        <v>aquariumlearning.com</v>
      </c>
      <c r="B109" s="5" t="str">
        <f>IFERROR(__xludf.DUMMYFUNCTION("""COMPUTED_VALUE"""),"ascen.com")</f>
        <v>ascen.com</v>
      </c>
    </row>
    <row r="110">
      <c r="A110" s="5" t="str">
        <f>IFERROR(__xludf.DUMMYFUNCTION("""COMPUTED_VALUE"""),"archbee.com")</f>
        <v>archbee.com</v>
      </c>
      <c r="B110" s="5" t="str">
        <f>IFERROR(__xludf.DUMMYFUNCTION("""COMPUTED_VALUE"""),"askdata.com")</f>
        <v>askdata.com</v>
      </c>
    </row>
    <row r="111">
      <c r="A111" s="5" t="str">
        <f>IFERROR(__xludf.DUMMYFUNCTION("""COMPUTED_VALUE"""),"arengu.com")</f>
        <v>arengu.com</v>
      </c>
      <c r="B111" s="5" t="str">
        <f>IFERROR(__xludf.DUMMYFUNCTION("""COMPUTED_VALUE"""),"asm.co")</f>
        <v>asm.co</v>
      </c>
    </row>
    <row r="112">
      <c r="A112" s="5" t="str">
        <f>IFERROR(__xludf.DUMMYFUNCTION("""COMPUTED_VALUE"""),"arist.co")</f>
        <v>arist.co</v>
      </c>
      <c r="B112" s="5" t="str">
        <f>IFERROR(__xludf.DUMMYFUNCTION("""COMPUTED_VALUE"""),"assemblyai.com")</f>
        <v>assemblyai.com</v>
      </c>
    </row>
    <row r="113">
      <c r="A113" s="5" t="str">
        <f>IFERROR(__xludf.DUMMYFUNCTION("""COMPUTED_VALUE"""),"arketa.com")</f>
        <v>arketa.com</v>
      </c>
      <c r="B113" s="5" t="str">
        <f>IFERROR(__xludf.DUMMYFUNCTION("""COMPUTED_VALUE"""),"atla-ai.com")</f>
        <v>atla-ai.com</v>
      </c>
    </row>
    <row r="114">
      <c r="A114" s="5" t="str">
        <f>IFERROR(__xludf.DUMMYFUNCTION("""COMPUTED_VALUE"""),"armilla.ai")</f>
        <v>armilla.ai</v>
      </c>
      <c r="B114" s="5" t="str">
        <f>IFERROR(__xludf.DUMMYFUNCTION("""COMPUTED_VALUE"""),"atlas.so")</f>
        <v>atlas.so</v>
      </c>
    </row>
    <row r="115">
      <c r="A115" s="5" t="str">
        <f>IFERROR(__xludf.DUMMYFUNCTION("""COMPUTED_VALUE"""),"armory.io")</f>
        <v>armory.io</v>
      </c>
      <c r="B115" s="5" t="str">
        <f>IFERROR(__xludf.DUMMYFUNCTION("""COMPUTED_VALUE"""),"atomicvest.com")</f>
        <v>atomicvest.com</v>
      </c>
    </row>
    <row r="116">
      <c r="A116" s="5" t="str">
        <f>IFERROR(__xludf.DUMMYFUNCTION("""COMPUTED_VALUE"""),"ascen.com")</f>
        <v>ascen.com</v>
      </c>
      <c r="B116" s="5" t="str">
        <f>IFERROR(__xludf.DUMMYFUNCTION("""COMPUTED_VALUE"""),"auravision.ai")</f>
        <v>auravision.ai</v>
      </c>
    </row>
    <row r="117">
      <c r="A117" s="5" t="str">
        <f>IFERROR(__xludf.DUMMYFUNCTION("""COMPUTED_VALUE"""),"askdata.com")</f>
        <v>askdata.com</v>
      </c>
      <c r="B117" s="5" t="str">
        <f>IFERROR(__xludf.DUMMYFUNCTION("""COMPUTED_VALUE"""),"authologic.com")</f>
        <v>authologic.com</v>
      </c>
    </row>
    <row r="118">
      <c r="A118" s="5" t="str">
        <f>IFERROR(__xludf.DUMMYFUNCTION("""COMPUTED_VALUE"""),"asm.co")</f>
        <v>asm.co</v>
      </c>
      <c r="B118" s="5" t="str">
        <f>IFERROR(__xludf.DUMMYFUNCTION("""COMPUTED_VALUE"""),"Avametric.com")</f>
        <v>Avametric.com</v>
      </c>
    </row>
    <row r="119">
      <c r="A119" s="5" t="str">
        <f>IFERROR(__xludf.DUMMYFUNCTION("""COMPUTED_VALUE"""),"assemblyai.com")</f>
        <v>assemblyai.com</v>
      </c>
      <c r="B119" s="6" t="str">
        <f>IFERROR(__xludf.DUMMYFUNCTION("""COMPUTED_VALUE"""),"avo.app")</f>
        <v>avo.app</v>
      </c>
    </row>
    <row r="120">
      <c r="A120" s="5" t="str">
        <f>IFERROR(__xludf.DUMMYFUNCTION("""COMPUTED_VALUE"""),"atla-ai.com")</f>
        <v>atla-ai.com</v>
      </c>
      <c r="B120" s="5" t="str">
        <f>IFERROR(__xludf.DUMMYFUNCTION("""COMPUTED_VALUE"""),"awtomic.com")</f>
        <v>awtomic.com</v>
      </c>
    </row>
    <row r="121">
      <c r="A121" s="5" t="str">
        <f>IFERROR(__xludf.DUMMYFUNCTION("""COMPUTED_VALUE"""),"atlas.so")</f>
        <v>atlas.so</v>
      </c>
      <c r="B121" s="5" t="str">
        <f>IFERROR(__xludf.DUMMYFUNCTION("""COMPUTED_VALUE"""),"axis.xyz")</f>
        <v>axis.xyz</v>
      </c>
    </row>
    <row r="122">
      <c r="A122" s="5" t="str">
        <f>IFERROR(__xludf.DUMMYFUNCTION("""COMPUTED_VALUE"""),"atomicvest.com")</f>
        <v>atomicvest.com</v>
      </c>
      <c r="B122" s="5" t="str">
        <f>IFERROR(__xludf.DUMMYFUNCTION("""COMPUTED_VALUE"""),"axross.co")</f>
        <v>axross.co</v>
      </c>
    </row>
    <row r="123">
      <c r="A123" s="5" t="str">
        <f>IFERROR(__xludf.DUMMYFUNCTION("""COMPUTED_VALUE"""),"auravision.ai")</f>
        <v>auravision.ai</v>
      </c>
      <c r="B123" s="5" t="str">
        <f>IFERROR(__xludf.DUMMYFUNCTION("""COMPUTED_VALUE"""),"bik.ai")</f>
        <v>bik.ai</v>
      </c>
    </row>
    <row r="124">
      <c r="A124" s="5" t="str">
        <f>IFERROR(__xludf.DUMMYFUNCTION("""COMPUTED_VALUE"""),"authologic.com")</f>
        <v>authologic.com</v>
      </c>
      <c r="B124" s="5" t="str">
        <f>IFERROR(__xludf.DUMMYFUNCTION("""COMPUTED_VALUE"""),"backerkit.com")</f>
        <v>backerkit.com</v>
      </c>
    </row>
    <row r="125">
      <c r="A125" s="5" t="str">
        <f>IFERROR(__xludf.DUMMYFUNCTION("""COMPUTED_VALUE"""),"Avametric.com")</f>
        <v>Avametric.com</v>
      </c>
      <c r="B125" s="5" t="str">
        <f>IFERROR(__xludf.DUMMYFUNCTION("""COMPUTED_VALUE"""),"bego.ai")</f>
        <v>bego.ai</v>
      </c>
    </row>
    <row r="126">
      <c r="A126" s="6" t="str">
        <f>IFERROR(__xludf.DUMMYFUNCTION("""COMPUTED_VALUE"""),"avo.app")</f>
        <v>avo.app</v>
      </c>
      <c r="B126" s="5" t="str">
        <f>IFERROR(__xludf.DUMMYFUNCTION("""COMPUTED_VALUE"""),"getbenepass.com")</f>
        <v>getbenepass.com</v>
      </c>
    </row>
    <row r="127">
      <c r="A127" s="5" t="str">
        <f>IFERROR(__xludf.DUMMYFUNCTION("""COMPUTED_VALUE"""),"awtomic.com")</f>
        <v>awtomic.com</v>
      </c>
      <c r="B127" s="5" t="str">
        <f>IFERROR(__xludf.DUMMYFUNCTION("""COMPUTED_VALUE"""),"berbix.com")</f>
        <v>berbix.com</v>
      </c>
    </row>
    <row r="128">
      <c r="A128" s="5" t="str">
        <f>IFERROR(__xludf.DUMMYFUNCTION("""COMPUTED_VALUE"""),"axis.xyz")</f>
        <v>axis.xyz</v>
      </c>
      <c r="B128" s="5" t="str">
        <f>IFERROR(__xludf.DUMMYFUNCTION("""COMPUTED_VALUE"""),"bicycleai.com")</f>
        <v>bicycleai.com</v>
      </c>
    </row>
    <row r="129">
      <c r="A129" s="5" t="str">
        <f>IFERROR(__xludf.DUMMYFUNCTION("""COMPUTED_VALUE"""),"axross.co")</f>
        <v>axross.co</v>
      </c>
      <c r="B129" s="5" t="str">
        <f>IFERROR(__xludf.DUMMYFUNCTION("""COMPUTED_VALUE"""),"bikry.com")</f>
        <v>bikry.com</v>
      </c>
    </row>
    <row r="130">
      <c r="A130" s="5" t="str">
        <f>IFERROR(__xludf.DUMMYFUNCTION("""COMPUTED_VALUE"""),"bik.ai")</f>
        <v>bik.ai</v>
      </c>
      <c r="B130" s="5" t="str">
        <f>IFERROR(__xludf.DUMMYFUNCTION("""COMPUTED_VALUE"""),"biteninja.com")</f>
        <v>biteninja.com</v>
      </c>
    </row>
    <row r="131">
      <c r="A131" s="5" t="str">
        <f>IFERROR(__xludf.DUMMYFUNCTION("""COMPUTED_VALUE"""),"backerkit.com")</f>
        <v>backerkit.com</v>
      </c>
      <c r="B131" s="5" t="str">
        <f>IFERROR(__xludf.DUMMYFUNCTION("""COMPUTED_VALUE"""),"bitnami.com")</f>
        <v>bitnami.com</v>
      </c>
    </row>
    <row r="132">
      <c r="A132" s="5" t="str">
        <f>IFERROR(__xludf.DUMMYFUNCTION("""COMPUTED_VALUE"""),"bego.ai")</f>
        <v>bego.ai</v>
      </c>
      <c r="B132" s="5" t="str">
        <f>IFERROR(__xludf.DUMMYFUNCTION("""COMPUTED_VALUE"""),"bland.com")</f>
        <v>bland.com</v>
      </c>
    </row>
    <row r="133">
      <c r="A133" s="5" t="str">
        <f>IFERROR(__xludf.DUMMYFUNCTION("""COMPUTED_VALUE"""),"getbenepass.com")</f>
        <v>getbenepass.com</v>
      </c>
      <c r="B133" s="6" t="str">
        <f>IFERROR(__xludf.DUMMYFUNCTION("""COMPUTED_VALUE"""),"withblaze.app")</f>
        <v>withblaze.app</v>
      </c>
    </row>
    <row r="134">
      <c r="A134" s="5" t="str">
        <f>IFERROR(__xludf.DUMMYFUNCTION("""COMPUTED_VALUE"""),"berbix.com")</f>
        <v>berbix.com</v>
      </c>
      <c r="B134" s="5" t="str">
        <f>IFERROR(__xludf.DUMMYFUNCTION("""COMPUTED_VALUE"""),"bluecargo.io")</f>
        <v>bluecargo.io</v>
      </c>
    </row>
    <row r="135">
      <c r="A135" s="5" t="str">
        <f>IFERROR(__xludf.DUMMYFUNCTION("""COMPUTED_VALUE"""),"bicycleai.com")</f>
        <v>bicycleai.com</v>
      </c>
      <c r="B135" s="5" t="str">
        <f>IFERROR(__xludf.DUMMYFUNCTION("""COMPUTED_VALUE"""),"blueonionlabs.com")</f>
        <v>blueonionlabs.com</v>
      </c>
    </row>
    <row r="136">
      <c r="A136" s="5" t="str">
        <f>IFERROR(__xludf.DUMMYFUNCTION("""COMPUTED_VALUE"""),"bikry.com")</f>
        <v>bikry.com</v>
      </c>
      <c r="B136" s="5" t="str">
        <f>IFERROR(__xludf.DUMMYFUNCTION("""COMPUTED_VALUE"""),"bluecrewjobs.com")</f>
        <v>bluecrewjobs.com</v>
      </c>
    </row>
    <row r="137">
      <c r="A137" s="5" t="str">
        <f>IFERROR(__xludf.DUMMYFUNCTION("""COMPUTED_VALUE"""),"biteninja.com")</f>
        <v>biteninja.com</v>
      </c>
      <c r="B137" s="5" t="str">
        <f>IFERROR(__xludf.DUMMYFUNCTION("""COMPUTED_VALUE"""),"GoBonfire.com")</f>
        <v>GoBonfire.com</v>
      </c>
    </row>
    <row r="138">
      <c r="A138" s="5" t="str">
        <f>IFERROR(__xludf.DUMMYFUNCTION("""COMPUTED_VALUE"""),"bitnami.com")</f>
        <v>bitnami.com</v>
      </c>
      <c r="B138" s="5" t="str">
        <f>IFERROR(__xludf.DUMMYFUNCTION("""COMPUTED_VALUE"""),"hellobonsai.com")</f>
        <v>hellobonsai.com</v>
      </c>
    </row>
    <row r="139">
      <c r="A139" s="5" t="str">
        <f>IFERROR(__xludf.DUMMYFUNCTION("""COMPUTED_VALUE"""),"bland.com")</f>
        <v>bland.com</v>
      </c>
      <c r="B139" s="5" t="str">
        <f>IFERROR(__xludf.DUMMYFUNCTION("""COMPUTED_VALUE"""),"booktrope.com")</f>
        <v>booktrope.com</v>
      </c>
    </row>
    <row r="140">
      <c r="A140" s="6" t="str">
        <f>IFERROR(__xludf.DUMMYFUNCTION("""COMPUTED_VALUE"""),"withblaze.app")</f>
        <v>withblaze.app</v>
      </c>
      <c r="B140" s="5" t="str">
        <f>IFERROR(__xludf.DUMMYFUNCTION("""COMPUTED_VALUE"""),"boostable.com")</f>
        <v>boostable.com</v>
      </c>
    </row>
    <row r="141">
      <c r="A141" s="5" t="str">
        <f>IFERROR(__xludf.DUMMYFUNCTION("""COMPUTED_VALUE"""),"bluecargo.io")</f>
        <v>bluecargo.io</v>
      </c>
      <c r="B141" s="5" t="str">
        <f>IFERROR(__xludf.DUMMYFUNCTION("""COMPUTED_VALUE"""),"boostly.com")</f>
        <v>boostly.com</v>
      </c>
    </row>
    <row r="142">
      <c r="A142" s="5" t="str">
        <f>IFERROR(__xludf.DUMMYFUNCTION("""COMPUTED_VALUE"""),"blueonionlabs.com")</f>
        <v>blueonionlabs.com</v>
      </c>
      <c r="B142" s="6" t="str">
        <f>IFERROR(__xludf.DUMMYFUNCTION("""COMPUTED_VALUE"""),"botcity.dev")</f>
        <v>botcity.dev</v>
      </c>
    </row>
    <row r="143">
      <c r="A143" s="5" t="str">
        <f>IFERROR(__xludf.DUMMYFUNCTION("""COMPUTED_VALUE"""),"bluecrewjobs.com")</f>
        <v>bluecrewjobs.com</v>
      </c>
      <c r="B143" s="5" t="str">
        <f>IFERROR(__xludf.DUMMYFUNCTION("""COMPUTED_VALUE"""),"brainboard.co")</f>
        <v>brainboard.co</v>
      </c>
    </row>
    <row r="144">
      <c r="A144" s="5" t="str">
        <f>IFERROR(__xludf.DUMMYFUNCTION("""COMPUTED_VALUE"""),"GoBonfire.com")</f>
        <v>GoBonfire.com</v>
      </c>
      <c r="B144" s="5" t="str">
        <f>IFERROR(__xludf.DUMMYFUNCTION("""COMPUTED_VALUE"""),"branch8.com")</f>
        <v>branch8.com</v>
      </c>
    </row>
    <row r="145">
      <c r="A145" s="5" t="str">
        <f>IFERROR(__xludf.DUMMYFUNCTION("""COMPUTED_VALUE"""),"hellobonsai.com")</f>
        <v>hellobonsai.com</v>
      </c>
      <c r="B145" s="5" t="str">
        <f>IFERROR(__xludf.DUMMYFUNCTION("""COMPUTED_VALUE"""),"breadcrumbs.io")</f>
        <v>breadcrumbs.io</v>
      </c>
    </row>
    <row r="146">
      <c r="A146" s="5" t="str">
        <f>IFERROR(__xludf.DUMMYFUNCTION("""COMPUTED_VALUE"""),"booktrope.com")</f>
        <v>booktrope.com</v>
      </c>
      <c r="B146" s="5" t="str">
        <f>IFERROR(__xludf.DUMMYFUNCTION("""COMPUTED_VALUE"""),"briohr.com")</f>
        <v>briohr.com</v>
      </c>
    </row>
    <row r="147">
      <c r="A147" s="5" t="str">
        <f>IFERROR(__xludf.DUMMYFUNCTION("""COMPUTED_VALUE"""),"boostable.com")</f>
        <v>boostable.com</v>
      </c>
      <c r="B147" s="5" t="str">
        <f>IFERROR(__xludf.DUMMYFUNCTION("""COMPUTED_VALUE"""),"britebenefits.com")</f>
        <v>britebenefits.com</v>
      </c>
    </row>
    <row r="148">
      <c r="A148" s="5" t="str">
        <f>IFERROR(__xludf.DUMMYFUNCTION("""COMPUTED_VALUE"""),"boostly.com")</f>
        <v>boostly.com</v>
      </c>
      <c r="B148" s="5" t="str">
        <f>IFERROR(__xludf.DUMMYFUNCTION("""COMPUTED_VALUE"""),"buildbuddy.io")</f>
        <v>buildbuddy.io</v>
      </c>
    </row>
    <row r="149">
      <c r="A149" s="6" t="str">
        <f>IFERROR(__xludf.DUMMYFUNCTION("""COMPUTED_VALUE"""),"botcity.dev")</f>
        <v>botcity.dev</v>
      </c>
      <c r="B149" s="5" t="str">
        <f>IFERROR(__xludf.DUMMYFUNCTION("""COMPUTED_VALUE"""),"bujeti.com")</f>
        <v>bujeti.com</v>
      </c>
    </row>
    <row r="150">
      <c r="A150" s="5" t="str">
        <f>IFERROR(__xludf.DUMMYFUNCTION("""COMPUTED_VALUE"""),"brainboard.co")</f>
        <v>brainboard.co</v>
      </c>
      <c r="B150" s="5" t="str">
        <f>IFERROR(__xludf.DUMMYFUNCTION("""COMPUTED_VALUE"""),"bulletin.co")</f>
        <v>bulletin.co</v>
      </c>
    </row>
    <row r="151">
      <c r="A151" s="5" t="str">
        <f>IFERROR(__xludf.DUMMYFUNCTION("""COMPUTED_VALUE"""),"branch8.com")</f>
        <v>branch8.com</v>
      </c>
      <c r="B151" s="5" t="str">
        <f>IFERROR(__xludf.DUMMYFUNCTION("""COMPUTED_VALUE"""),"bus.com")</f>
        <v>bus.com</v>
      </c>
    </row>
    <row r="152">
      <c r="A152" s="5" t="str">
        <f>IFERROR(__xludf.DUMMYFUNCTION("""COMPUTED_VALUE"""),"breadcrumbs.io")</f>
        <v>breadcrumbs.io</v>
      </c>
      <c r="B152" s="5" t="str">
        <f>IFERROR(__xludf.DUMMYFUNCTION("""COMPUTED_VALUE"""),"businessonbot.com")</f>
        <v>businessonbot.com</v>
      </c>
    </row>
    <row r="153">
      <c r="A153" s="5" t="str">
        <f>IFERROR(__xludf.DUMMYFUNCTION("""COMPUTED_VALUE"""),"briohr.com")</f>
        <v>briohr.com</v>
      </c>
      <c r="B153" s="5" t="str">
        <f>IFERROR(__xludf.DUMMYFUNCTION("""COMPUTED_VALUE"""),"cutr.ai")</f>
        <v>cutr.ai</v>
      </c>
    </row>
    <row r="154">
      <c r="A154" s="5" t="str">
        <f>IFERROR(__xludf.DUMMYFUNCTION("""COMPUTED_VALUE"""),"britebenefits.com")</f>
        <v>britebenefits.com</v>
      </c>
      <c r="B154" s="5" t="str">
        <f>IFERROR(__xludf.DUMMYFUNCTION("""COMPUTED_VALUE"""),"canix.com")</f>
        <v>canix.com</v>
      </c>
    </row>
    <row r="155">
      <c r="A155" s="5" t="str">
        <f>IFERROR(__xludf.DUMMYFUNCTION("""COMPUTED_VALUE"""),"buildbuddy.io")</f>
        <v>buildbuddy.io</v>
      </c>
      <c r="B155" s="5" t="str">
        <f>IFERROR(__xludf.DUMMYFUNCTION("""COMPUTED_VALUE"""),"canopylabs.com")</f>
        <v>canopylabs.com</v>
      </c>
    </row>
    <row r="156">
      <c r="A156" s="5" t="str">
        <f>IFERROR(__xludf.DUMMYFUNCTION("""COMPUTED_VALUE"""),"bujeti.com")</f>
        <v>bujeti.com</v>
      </c>
      <c r="B156" s="5" t="str">
        <f>IFERROR(__xludf.DUMMYFUNCTION("""COMPUTED_VALUE"""),"caper.ai")</f>
        <v>caper.ai</v>
      </c>
    </row>
    <row r="157">
      <c r="A157" s="5" t="str">
        <f>IFERROR(__xludf.DUMMYFUNCTION("""COMPUTED_VALUE"""),"bulletin.co")</f>
        <v>bulletin.co</v>
      </c>
      <c r="B157" s="5" t="str">
        <f>IFERROR(__xludf.DUMMYFUNCTION("""COMPUTED_VALUE"""),"cartpanda.com")</f>
        <v>cartpanda.com</v>
      </c>
    </row>
    <row r="158">
      <c r="A158" s="5" t="str">
        <f>IFERROR(__xludf.DUMMYFUNCTION("""COMPUTED_VALUE"""),"bus.com")</f>
        <v>bus.com</v>
      </c>
      <c r="B158" s="5" t="str">
        <f>IFERROR(__xludf.DUMMYFUNCTION("""COMPUTED_VALUE"""),"casetext.com")</f>
        <v>casetext.com</v>
      </c>
    </row>
    <row r="159">
      <c r="A159" s="5" t="str">
        <f>IFERROR(__xludf.DUMMYFUNCTION("""COMPUTED_VALUE"""),"businessonbot.com")</f>
        <v>businessonbot.com</v>
      </c>
      <c r="B159" s="5" t="str">
        <f>IFERROR(__xludf.DUMMYFUNCTION("""COMPUTED_VALUE"""),"castle.io")</f>
        <v>castle.io</v>
      </c>
    </row>
    <row r="160">
      <c r="A160" s="5" t="str">
        <f>IFERROR(__xludf.DUMMYFUNCTION("""COMPUTED_VALUE"""),"cutr.ai")</f>
        <v>cutr.ai</v>
      </c>
      <c r="B160" s="5" t="str">
        <f>IFERROR(__xludf.DUMMYFUNCTION("""COMPUTED_VALUE"""),"trycelery.com")</f>
        <v>trycelery.com</v>
      </c>
    </row>
    <row r="161">
      <c r="A161" s="5" t="str">
        <f>IFERROR(__xludf.DUMMYFUNCTION("""COMPUTED_VALUE"""),"canix.com")</f>
        <v>canix.com</v>
      </c>
      <c r="B161" s="5" t="str">
        <f>IFERROR(__xludf.DUMMYFUNCTION("""COMPUTED_VALUE"""),"centralhq.com")</f>
        <v>centralhq.com</v>
      </c>
    </row>
    <row r="162">
      <c r="A162" s="5" t="str">
        <f>IFERROR(__xludf.DUMMYFUNCTION("""COMPUTED_VALUE"""),"canopylabs.com")</f>
        <v>canopylabs.com</v>
      </c>
      <c r="B162" s="5" t="str">
        <f>IFERROR(__xludf.DUMMYFUNCTION("""COMPUTED_VALUE"""),"cero.ai")</f>
        <v>cero.ai</v>
      </c>
    </row>
    <row r="163">
      <c r="A163" s="5" t="str">
        <f>IFERROR(__xludf.DUMMYFUNCTION("""COMPUTED_VALUE"""),"caper.ai")</f>
        <v>caper.ai</v>
      </c>
      <c r="B163" s="5" t="str">
        <f>IFERROR(__xludf.DUMMYFUNCTION("""COMPUTED_VALUE"""),"trychamp.co")</f>
        <v>trychamp.co</v>
      </c>
    </row>
    <row r="164">
      <c r="A164" s="5" t="str">
        <f>IFERROR(__xludf.DUMMYFUNCTION("""COMPUTED_VALUE"""),"cartpanda.com")</f>
        <v>cartpanda.com</v>
      </c>
      <c r="B164" s="5" t="str">
        <f>IFERROR(__xludf.DUMMYFUNCTION("""COMPUTED_VALUE"""),"chaosgenius.io")</f>
        <v>chaosgenius.io</v>
      </c>
    </row>
    <row r="165">
      <c r="A165" s="5" t="str">
        <f>IFERROR(__xludf.DUMMYFUNCTION("""COMPUTED_VALUE"""),"casetext.com")</f>
        <v>casetext.com</v>
      </c>
      <c r="B165" s="5" t="str">
        <f>IFERROR(__xludf.DUMMYFUNCTION("""COMPUTED_VALUE"""),"chargehound.com")</f>
        <v>chargehound.com</v>
      </c>
    </row>
    <row r="166">
      <c r="A166" s="5" t="str">
        <f>IFERROR(__xludf.DUMMYFUNCTION("""COMPUTED_VALUE"""),"castle.io")</f>
        <v>castle.io</v>
      </c>
      <c r="B166" s="5" t="str">
        <f>IFERROR(__xludf.DUMMYFUNCTION("""COMPUTED_VALUE"""),"chartio.com")</f>
        <v>chartio.com</v>
      </c>
    </row>
    <row r="167">
      <c r="A167" s="5" t="str">
        <f>IFERROR(__xludf.DUMMYFUNCTION("""COMPUTED_VALUE"""),"trycelery.com")</f>
        <v>trycelery.com</v>
      </c>
      <c r="B167" s="5" t="str">
        <f>IFERROR(__xludf.DUMMYFUNCTION("""COMPUTED_VALUE"""),"chatfuel.com")</f>
        <v>chatfuel.com</v>
      </c>
    </row>
    <row r="168">
      <c r="A168" s="5" t="str">
        <f>IFERROR(__xludf.DUMMYFUNCTION("""COMPUTED_VALUE"""),"centralhq.com")</f>
        <v>centralhq.com</v>
      </c>
      <c r="B168" s="5" t="str">
        <f>IFERROR(__xludf.DUMMYFUNCTION("""COMPUTED_VALUE"""),"chipax.com")</f>
        <v>chipax.com</v>
      </c>
    </row>
    <row r="169">
      <c r="A169" s="5" t="str">
        <f>IFERROR(__xludf.DUMMYFUNCTION("""COMPUTED_VALUE"""),"cero.ai")</f>
        <v>cero.ai</v>
      </c>
      <c r="B169" s="5" t="str">
        <f>IFERROR(__xludf.DUMMYFUNCTION("""COMPUTED_VALUE"""),"getchute.com")</f>
        <v>getchute.com</v>
      </c>
    </row>
    <row r="170">
      <c r="A170" s="5" t="str">
        <f>IFERROR(__xludf.DUMMYFUNCTION("""COMPUTED_VALUE"""),"trychamp.co")</f>
        <v>trychamp.co</v>
      </c>
      <c r="B170" s="5" t="str">
        <f>IFERROR(__xludf.DUMMYFUNCTION("""COMPUTED_VALUE"""),"cinapse.io")</f>
        <v>cinapse.io</v>
      </c>
    </row>
    <row r="171">
      <c r="A171" s="5" t="str">
        <f>IFERROR(__xludf.DUMMYFUNCTION("""COMPUTED_VALUE"""),"chaosgenius.io")</f>
        <v>chaosgenius.io</v>
      </c>
      <c r="B171" s="5" t="str">
        <f>IFERROR(__xludf.DUMMYFUNCTION("""COMPUTED_VALUE"""),"cinder.co")</f>
        <v>cinder.co</v>
      </c>
    </row>
    <row r="172">
      <c r="A172" s="5" t="str">
        <f>IFERROR(__xludf.DUMMYFUNCTION("""COMPUTED_VALUE"""),"chargehound.com")</f>
        <v>chargehound.com</v>
      </c>
      <c r="B172" s="5" t="str">
        <f>IFERROR(__xludf.DUMMYFUNCTION("""COMPUTED_VALUE"""),"circa.co")</f>
        <v>circa.co</v>
      </c>
    </row>
    <row r="173">
      <c r="A173" s="5" t="str">
        <f>IFERROR(__xludf.DUMMYFUNCTION("""COMPUTED_VALUE"""),"chartio.com")</f>
        <v>chartio.com</v>
      </c>
      <c r="B173" s="5" t="str">
        <f>IFERROR(__xludf.DUMMYFUNCTION("""COMPUTED_VALUE"""),"citusdata.com")</f>
        <v>citusdata.com</v>
      </c>
    </row>
    <row r="174">
      <c r="A174" s="5" t="str">
        <f>IFERROR(__xludf.DUMMYFUNCTION("""COMPUTED_VALUE"""),"chatfuel.com")</f>
        <v>chatfuel.com</v>
      </c>
      <c r="B174" s="5" t="str">
        <f>IFERROR(__xludf.DUMMYFUNCTION("""COMPUTED_VALUE"""),"claralabs.com")</f>
        <v>claralabs.com</v>
      </c>
    </row>
    <row r="175">
      <c r="A175" s="5" t="str">
        <f>IFERROR(__xludf.DUMMYFUNCTION("""COMPUTED_VALUE"""),"chipax.com")</f>
        <v>chipax.com</v>
      </c>
      <c r="B175" s="5" t="str">
        <f>IFERROR(__xludf.DUMMYFUNCTION("""COMPUTED_VALUE"""),"clearbrain.com")</f>
        <v>clearbrain.com</v>
      </c>
    </row>
    <row r="176">
      <c r="A176" s="5" t="str">
        <f>IFERROR(__xludf.DUMMYFUNCTION("""COMPUTED_VALUE"""),"getchute.com")</f>
        <v>getchute.com</v>
      </c>
      <c r="B176" s="5" t="str">
        <f>IFERROR(__xludf.DUMMYFUNCTION("""COMPUTED_VALUE"""),"clerky.com")</f>
        <v>clerky.com</v>
      </c>
    </row>
    <row r="177">
      <c r="A177" s="5" t="str">
        <f>IFERROR(__xludf.DUMMYFUNCTION("""COMPUTED_VALUE"""),"cinapse.io")</f>
        <v>cinapse.io</v>
      </c>
      <c r="B177" s="5" t="str">
        <f>IFERROR(__xludf.DUMMYFUNCTION("""COMPUTED_VALUE"""),"clickfacts.com")</f>
        <v>clickfacts.com</v>
      </c>
    </row>
    <row r="178">
      <c r="A178" s="5" t="str">
        <f>IFERROR(__xludf.DUMMYFUNCTION("""COMPUTED_VALUE"""),"cinder.co")</f>
        <v>cinder.co</v>
      </c>
      <c r="B178" s="5" t="str">
        <f>IFERROR(__xludf.DUMMYFUNCTION("""COMPUTED_VALUE"""),"clickpass.com")</f>
        <v>clickpass.com</v>
      </c>
    </row>
    <row r="179">
      <c r="A179" s="5" t="str">
        <f>IFERROR(__xludf.DUMMYFUNCTION("""COMPUTED_VALUE"""),"circa.co")</f>
        <v>circa.co</v>
      </c>
      <c r="B179" s="5" t="str">
        <f>IFERROR(__xludf.DUMMYFUNCTION("""COMPUTED_VALUE"""),"close.com")</f>
        <v>close.com</v>
      </c>
    </row>
    <row r="180">
      <c r="A180" s="5" t="str">
        <f>IFERROR(__xludf.DUMMYFUNCTION("""COMPUTED_VALUE"""),"citusdata.com")</f>
        <v>citusdata.com</v>
      </c>
      <c r="B180" s="5" t="str">
        <f>IFERROR(__xludf.DUMMYFUNCTION("""COMPUTED_VALUE"""),"cloudant.com")</f>
        <v>cloudant.com</v>
      </c>
    </row>
    <row r="181">
      <c r="A181" s="5" t="str">
        <f>IFERROR(__xludf.DUMMYFUNCTION("""COMPUTED_VALUE"""),"claralabs.com")</f>
        <v>claralabs.com</v>
      </c>
      <c r="B181" s="5" t="str">
        <f>IFERROR(__xludf.DUMMYFUNCTION("""COMPUTED_VALUE"""),"cloudkick.com")</f>
        <v>cloudkick.com</v>
      </c>
    </row>
    <row r="182">
      <c r="A182" s="5" t="str">
        <f>IFERROR(__xludf.DUMMYFUNCTION("""COMPUTED_VALUE"""),"clearbrain.com")</f>
        <v>clearbrain.com</v>
      </c>
      <c r="B182" s="5" t="str">
        <f>IFERROR(__xludf.DUMMYFUNCTION("""COMPUTED_VALUE"""),"clustrix.com")</f>
        <v>clustrix.com</v>
      </c>
    </row>
    <row r="183">
      <c r="A183" s="5" t="str">
        <f>IFERROR(__xludf.DUMMYFUNCTION("""COMPUTED_VALUE"""),"clerky.com")</f>
        <v>clerky.com</v>
      </c>
      <c r="B183" s="5" t="str">
        <f>IFERROR(__xludf.DUMMYFUNCTION("""COMPUTED_VALUE"""),"trycoast.com")</f>
        <v>trycoast.com</v>
      </c>
    </row>
    <row r="184">
      <c r="A184" s="5" t="str">
        <f>IFERROR(__xludf.DUMMYFUNCTION("""COMPUTED_VALUE"""),"clickfacts.com")</f>
        <v>clickfacts.com</v>
      </c>
      <c r="B184" s="5" t="str">
        <f>IFERROR(__xludf.DUMMYFUNCTION("""COMPUTED_VALUE"""),"cococart.co")</f>
        <v>cococart.co</v>
      </c>
    </row>
    <row r="185">
      <c r="A185" s="5" t="str">
        <f>IFERROR(__xludf.DUMMYFUNCTION("""COMPUTED_VALUE"""),"clickpass.com")</f>
        <v>clickpass.com</v>
      </c>
      <c r="B185" s="5" t="str">
        <f>IFERROR(__xludf.DUMMYFUNCTION("""COMPUTED_VALUE"""),"codestream.com")</f>
        <v>codestream.com</v>
      </c>
    </row>
    <row r="186">
      <c r="A186" s="5" t="str">
        <f>IFERROR(__xludf.DUMMYFUNCTION("""COMPUTED_VALUE"""),"close.com")</f>
        <v>close.com</v>
      </c>
      <c r="B186" s="5" t="str">
        <f>IFERROR(__xludf.DUMMYFUNCTION("""COMPUTED_VALUE"""),"cofactr.com")</f>
        <v>cofactr.com</v>
      </c>
    </row>
    <row r="187">
      <c r="A187" s="5" t="str">
        <f>IFERROR(__xludf.DUMMYFUNCTION("""COMPUTED_VALUE"""),"cloudant.com")</f>
        <v>cloudant.com</v>
      </c>
      <c r="B187" s="5" t="str">
        <f>IFERROR(__xludf.DUMMYFUNCTION("""COMPUTED_VALUE"""),"cognitionip.com")</f>
        <v>cognitionip.com</v>
      </c>
    </row>
    <row r="188">
      <c r="A188" s="5" t="str">
        <f>IFERROR(__xludf.DUMMYFUNCTION("""COMPUTED_VALUE"""),"cloudkick.com")</f>
        <v>cloudkick.com</v>
      </c>
      <c r="B188" s="5" t="str">
        <f>IFERROR(__xludf.DUMMYFUNCTION("""COMPUTED_VALUE"""),"cognitohq.com")</f>
        <v>cognitohq.com</v>
      </c>
    </row>
    <row r="189">
      <c r="A189" s="5" t="str">
        <f>IFERROR(__xludf.DUMMYFUNCTION("""COMPUTED_VALUE"""),"clustrix.com")</f>
        <v>clustrix.com</v>
      </c>
      <c r="B189" s="5" t="str">
        <f>IFERROR(__xludf.DUMMYFUNCTION("""COMPUTED_VALUE"""),"cogram.com")</f>
        <v>cogram.com</v>
      </c>
    </row>
    <row r="190">
      <c r="A190" s="5" t="str">
        <f>IFERROR(__xludf.DUMMYFUNCTION("""COMPUTED_VALUE"""),"trycoast.com")</f>
        <v>trycoast.com</v>
      </c>
      <c r="B190" s="5" t="str">
        <f>IFERROR(__xludf.DUMMYFUNCTION("""COMPUTED_VALUE"""),"command.ai")</f>
        <v>command.ai</v>
      </c>
    </row>
    <row r="191">
      <c r="A191" s="5" t="str">
        <f>IFERROR(__xludf.DUMMYFUNCTION("""COMPUTED_VALUE"""),"cococart.co")</f>
        <v>cococart.co</v>
      </c>
      <c r="B191" s="5" t="str">
        <f>IFERROR(__xludf.DUMMYFUNCTION("""COMPUTED_VALUE"""),"compgun.com")</f>
        <v>compgun.com</v>
      </c>
    </row>
    <row r="192">
      <c r="A192" s="5" t="str">
        <f>IFERROR(__xludf.DUMMYFUNCTION("""COMPUTED_VALUE"""),"codestream.com")</f>
        <v>codestream.com</v>
      </c>
      <c r="B192" s="5" t="str">
        <f>IFERROR(__xludf.DUMMYFUNCTION("""COMPUTED_VALUE"""),"complif.com")</f>
        <v>complif.com</v>
      </c>
    </row>
    <row r="193">
      <c r="A193" s="5" t="str">
        <f>IFERROR(__xludf.DUMMYFUNCTION("""COMPUTED_VALUE"""),"cofactr.com")</f>
        <v>cofactr.com</v>
      </c>
      <c r="B193" s="5" t="str">
        <f>IFERROR(__xludf.DUMMYFUNCTION("""COMPUTED_VALUE"""),"mongohq.com")</f>
        <v>mongohq.com</v>
      </c>
    </row>
    <row r="194">
      <c r="A194" s="5" t="str">
        <f>IFERROR(__xludf.DUMMYFUNCTION("""COMPUTED_VALUE"""),"cognitionip.com")</f>
        <v>cognitionip.com</v>
      </c>
      <c r="B194" s="5" t="str">
        <f>IFERROR(__xludf.DUMMYFUNCTION("""COMPUTED_VALUE"""),"comprarapida.co")</f>
        <v>comprarapida.co</v>
      </c>
    </row>
    <row r="195">
      <c r="A195" s="5" t="str">
        <f>IFERROR(__xludf.DUMMYFUNCTION("""COMPUTED_VALUE"""),"cognitohq.com")</f>
        <v>cognitohq.com</v>
      </c>
      <c r="B195" s="5" t="str">
        <f>IFERROR(__xludf.DUMMYFUNCTION("""COMPUTED_VALUE"""),"confidentlims.com")</f>
        <v>confidentlims.com</v>
      </c>
    </row>
    <row r="196">
      <c r="A196" s="5" t="str">
        <f>IFERROR(__xludf.DUMMYFUNCTION("""COMPUTED_VALUE"""),"cogram.com")</f>
        <v>cogram.com</v>
      </c>
      <c r="B196" s="5" t="str">
        <f>IFERROR(__xludf.DUMMYFUNCTION("""COMPUTED_VALUE"""),"confidotech.com")</f>
        <v>confidotech.com</v>
      </c>
    </row>
    <row r="197">
      <c r="A197" s="5" t="str">
        <f>IFERROR(__xludf.DUMMYFUNCTION("""COMPUTED_VALUE"""),"command.ai")</f>
        <v>command.ai</v>
      </c>
      <c r="B197" s="5" t="str">
        <f>IFERROR(__xludf.DUMMYFUNCTION("""COMPUTED_VALUE"""),"contalink.com")</f>
        <v>contalink.com</v>
      </c>
    </row>
    <row r="198">
      <c r="A198" s="5" t="str">
        <f>IFERROR(__xludf.DUMMYFUNCTION("""COMPUTED_VALUE"""),"compgun.com")</f>
        <v>compgun.com</v>
      </c>
      <c r="B198" s="5" t="str">
        <f>IFERROR(__xludf.DUMMYFUNCTION("""COMPUTED_VALUE"""),"contraforce.com")</f>
        <v>contraforce.com</v>
      </c>
    </row>
    <row r="199">
      <c r="A199" s="5" t="str">
        <f>IFERROR(__xludf.DUMMYFUNCTION("""COMPUTED_VALUE"""),"complif.com")</f>
        <v>complif.com</v>
      </c>
      <c r="B199" s="5" t="str">
        <f>IFERROR(__xludf.DUMMYFUNCTION("""COMPUTED_VALUE"""),"controlhub.com")</f>
        <v>controlhub.com</v>
      </c>
    </row>
    <row r="200">
      <c r="A200" s="5" t="str">
        <f>IFERROR(__xludf.DUMMYFUNCTION("""COMPUTED_VALUE"""),"mongohq.com")</f>
        <v>mongohq.com</v>
      </c>
      <c r="B200" s="5" t="str">
        <f>IFERROR(__xludf.DUMMYFUNCTION("""COMPUTED_VALUE"""),"convictional.com")</f>
        <v>convictional.com</v>
      </c>
    </row>
    <row r="201">
      <c r="A201" s="5" t="str">
        <f>IFERROR(__xludf.DUMMYFUNCTION("""COMPUTED_VALUE"""),"comprarapida.co")</f>
        <v>comprarapida.co</v>
      </c>
      <c r="B201" s="5" t="str">
        <f>IFERROR(__xludf.DUMMYFUNCTION("""COMPUTED_VALUE"""),"gocopia.com")</f>
        <v>gocopia.com</v>
      </c>
    </row>
    <row r="202">
      <c r="A202" s="5" t="str">
        <f>IFERROR(__xludf.DUMMYFUNCTION("""COMPUTED_VALUE"""),"confidentlims.com")</f>
        <v>confidentlims.com</v>
      </c>
      <c r="B202" s="5" t="str">
        <f>IFERROR(__xludf.DUMMYFUNCTION("""COMPUTED_VALUE"""),"copilot.com")</f>
        <v>copilot.com</v>
      </c>
    </row>
    <row r="203">
      <c r="A203" s="5" t="str">
        <f>IFERROR(__xludf.DUMMYFUNCTION("""COMPUTED_VALUE"""),"confidotech.com")</f>
        <v>confidotech.com</v>
      </c>
      <c r="B203" s="5" t="str">
        <f>IFERROR(__xludf.DUMMYFUNCTION("""COMPUTED_VALUE"""),"cortex.io")</f>
        <v>cortex.io</v>
      </c>
    </row>
    <row r="204">
      <c r="A204" s="5" t="str">
        <f>IFERROR(__xludf.DUMMYFUNCTION("""COMPUTED_VALUE"""),"contalink.com")</f>
        <v>contalink.com</v>
      </c>
      <c r="B204" s="5" t="str">
        <f>IFERROR(__xludf.DUMMYFUNCTION("""COMPUTED_VALUE"""),"courier.com")</f>
        <v>courier.com</v>
      </c>
    </row>
    <row r="205">
      <c r="A205" s="5" t="str">
        <f>IFERROR(__xludf.DUMMYFUNCTION("""COMPUTED_VALUE"""),"contraforce.com")</f>
        <v>contraforce.com</v>
      </c>
      <c r="B205" s="5" t="str">
        <f>IFERROR(__xludf.DUMMYFUNCTION("""COMPUTED_VALUE"""),"coursedog.com")</f>
        <v>coursedog.com</v>
      </c>
    </row>
    <row r="206">
      <c r="A206" s="5" t="str">
        <f>IFERROR(__xludf.DUMMYFUNCTION("""COMPUTED_VALUE"""),"controlhub.com")</f>
        <v>controlhub.com</v>
      </c>
      <c r="B206" s="5" t="str">
        <f>IFERROR(__xludf.DUMMYFUNCTION("""COMPUTED_VALUE"""),"cratejoy.com")</f>
        <v>cratejoy.com</v>
      </c>
    </row>
    <row r="207">
      <c r="A207" s="5" t="str">
        <f>IFERROR(__xludf.DUMMYFUNCTION("""COMPUTED_VALUE"""),"convictional.com")</f>
        <v>convictional.com</v>
      </c>
      <c r="B207" s="5" t="str">
        <f>IFERROR(__xludf.DUMMYFUNCTION("""COMPUTED_VALUE"""),"creatoros.co")</f>
        <v>creatoros.co</v>
      </c>
    </row>
    <row r="208">
      <c r="A208" s="5" t="str">
        <f>IFERROR(__xludf.DUMMYFUNCTION("""COMPUTED_VALUE"""),"gocopia.com")</f>
        <v>gocopia.com</v>
      </c>
      <c r="B208" s="5" t="str">
        <f>IFERROR(__xludf.DUMMYFUNCTION("""COMPUTED_VALUE"""),"credibook.com")</f>
        <v>credibook.com</v>
      </c>
    </row>
    <row r="209">
      <c r="A209" s="5" t="str">
        <f>IFERROR(__xludf.DUMMYFUNCTION("""COMPUTED_VALUE"""),"copilot.com")</f>
        <v>copilot.com</v>
      </c>
      <c r="B209" s="5" t="str">
        <f>IFERROR(__xludf.DUMMYFUNCTION("""COMPUTED_VALUE"""),"crowdai.com")</f>
        <v>crowdai.com</v>
      </c>
    </row>
    <row r="210">
      <c r="A210" s="5" t="str">
        <f>IFERROR(__xludf.DUMMYFUNCTION("""COMPUTED_VALUE"""),"cortex.io")</f>
        <v>cortex.io</v>
      </c>
      <c r="B210" s="5" t="str">
        <f>IFERROR(__xludf.DUMMYFUNCTION("""COMPUTED_VALUE"""),"cuboh.com")</f>
        <v>cuboh.com</v>
      </c>
    </row>
    <row r="211">
      <c r="A211" s="5" t="str">
        <f>IFERROR(__xludf.DUMMYFUNCTION("""COMPUTED_VALUE"""),"courier.com")</f>
        <v>courier.com</v>
      </c>
      <c r="B211" s="5" t="str">
        <f>IFERROR(__xludf.DUMMYFUNCTION("""COMPUTED_VALUE"""),"customeros.ai")</f>
        <v>customeros.ai</v>
      </c>
    </row>
    <row r="212">
      <c r="A212" s="5" t="str">
        <f>IFERROR(__xludf.DUMMYFUNCTION("""COMPUTED_VALUE"""),"coursedog.com")</f>
        <v>coursedog.com</v>
      </c>
      <c r="B212" s="5" t="str">
        <f>IFERROR(__xludf.DUMMYFUNCTION("""COMPUTED_VALUE"""),"customily.com")</f>
        <v>customily.com</v>
      </c>
    </row>
    <row r="213">
      <c r="A213" s="5" t="str">
        <f>IFERROR(__xludf.DUMMYFUNCTION("""COMPUTED_VALUE"""),"cratejoy.com")</f>
        <v>cratejoy.com</v>
      </c>
      <c r="B213" s="5" t="str">
        <f>IFERROR(__xludf.DUMMYFUNCTION("""COMPUTED_VALUE"""),"custora.com")</f>
        <v>custora.com</v>
      </c>
    </row>
    <row r="214">
      <c r="A214" s="5" t="str">
        <f>IFERROR(__xludf.DUMMYFUNCTION("""COMPUTED_VALUE"""),"creatoros.co")</f>
        <v>creatoros.co</v>
      </c>
      <c r="B214" s="5" t="str">
        <f>IFERROR(__xludf.DUMMYFUNCTION("""COMPUTED_VALUE"""),"cymmetria.com")</f>
        <v>cymmetria.com</v>
      </c>
    </row>
    <row r="215">
      <c r="A215" s="5" t="str">
        <f>IFERROR(__xludf.DUMMYFUNCTION("""COMPUTED_VALUE"""),"credibook.com")</f>
        <v>credibook.com</v>
      </c>
      <c r="B215" s="5" t="str">
        <f>IFERROR(__xludf.DUMMYFUNCTION("""COMPUTED_VALUE"""),"cypherhq.io")</f>
        <v>cypherhq.io</v>
      </c>
    </row>
    <row r="216">
      <c r="A216" s="5" t="str">
        <f>IFERROR(__xludf.DUMMYFUNCTION("""COMPUTED_VALUE"""),"crowdai.com")</f>
        <v>crowdai.com</v>
      </c>
      <c r="B216" s="5" t="str">
        <f>IFERROR(__xludf.DUMMYFUNCTION("""COMPUTED_VALUE"""),"d-id.com")</f>
        <v>d-id.com</v>
      </c>
    </row>
    <row r="217">
      <c r="A217" s="5" t="str">
        <f>IFERROR(__xludf.DUMMYFUNCTION("""COMPUTED_VALUE"""),"cuboh.com")</f>
        <v>cuboh.com</v>
      </c>
      <c r="B217" s="5" t="str">
        <f>IFERROR(__xludf.DUMMYFUNCTION("""COMPUTED_VALUE"""),"dagger.io")</f>
        <v>dagger.io</v>
      </c>
    </row>
    <row r="218">
      <c r="A218" s="5" t="str">
        <f>IFERROR(__xludf.DUMMYFUNCTION("""COMPUTED_VALUE"""),"customeros.ai")</f>
        <v>customeros.ai</v>
      </c>
      <c r="B218" s="5" t="str">
        <f>IFERROR(__xludf.DUMMYFUNCTION("""COMPUTED_VALUE"""),"daily.co")</f>
        <v>daily.co</v>
      </c>
    </row>
    <row r="219">
      <c r="A219" s="5" t="str">
        <f>IFERROR(__xludf.DUMMYFUNCTION("""COMPUTED_VALUE"""),"customily.com")</f>
        <v>customily.com</v>
      </c>
      <c r="B219" s="5" t="str">
        <f>IFERROR(__xludf.DUMMYFUNCTION("""COMPUTED_VALUE"""),"darrow.ai")</f>
        <v>darrow.ai</v>
      </c>
    </row>
    <row r="220">
      <c r="A220" s="5" t="str">
        <f>IFERROR(__xludf.DUMMYFUNCTION("""COMPUTED_VALUE"""),"custora.com")</f>
        <v>custora.com</v>
      </c>
      <c r="B220" s="5" t="str">
        <f>IFERROR(__xludf.DUMMYFUNCTION("""COMPUTED_VALUE"""),"datanitro.com")</f>
        <v>datanitro.com</v>
      </c>
    </row>
    <row r="221">
      <c r="A221" s="5" t="str">
        <f>IFERROR(__xludf.DUMMYFUNCTION("""COMPUTED_VALUE"""),"cymmetria.com")</f>
        <v>cymmetria.com</v>
      </c>
      <c r="B221" s="5" t="str">
        <f>IFERROR(__xludf.DUMMYFUNCTION("""COMPUTED_VALUE"""),"datamechanics.co")</f>
        <v>datamechanics.co</v>
      </c>
    </row>
    <row r="222">
      <c r="A222" s="5" t="str">
        <f>IFERROR(__xludf.DUMMYFUNCTION("""COMPUTED_VALUE"""),"cypherhq.io")</f>
        <v>cypherhq.io</v>
      </c>
      <c r="B222" s="5" t="str">
        <f>IFERROR(__xludf.DUMMYFUNCTION("""COMPUTED_VALUE"""),"datafold.com")</f>
        <v>datafold.com</v>
      </c>
    </row>
    <row r="223">
      <c r="A223" s="5" t="str">
        <f>IFERROR(__xludf.DUMMYFUNCTION("""COMPUTED_VALUE"""),"d-id.com")</f>
        <v>d-id.com</v>
      </c>
      <c r="B223" s="5" t="str">
        <f>IFERROR(__xludf.DUMMYFUNCTION("""COMPUTED_VALUE"""),"dataform.co")</f>
        <v>dataform.co</v>
      </c>
    </row>
    <row r="224">
      <c r="A224" s="5" t="str">
        <f>IFERROR(__xludf.DUMMYFUNCTION("""COMPUTED_VALUE"""),"dagger.io")</f>
        <v>dagger.io</v>
      </c>
      <c r="B224" s="5" t="str">
        <f>IFERROR(__xludf.DUMMYFUNCTION("""COMPUTED_VALUE"""),"dataherald.com")</f>
        <v>dataherald.com</v>
      </c>
    </row>
    <row r="225">
      <c r="A225" s="5" t="str">
        <f>IFERROR(__xludf.DUMMYFUNCTION("""COMPUTED_VALUE"""),"daily.co")</f>
        <v>daily.co</v>
      </c>
      <c r="B225" s="5" t="str">
        <f>IFERROR(__xludf.DUMMYFUNCTION("""COMPUTED_VALUE"""),"datarank.com")</f>
        <v>datarank.com</v>
      </c>
    </row>
    <row r="226">
      <c r="A226" s="5" t="str">
        <f>IFERROR(__xludf.DUMMYFUNCTION("""COMPUTED_VALUE"""),"darrow.ai")</f>
        <v>darrow.ai</v>
      </c>
      <c r="B226" s="5" t="str">
        <f>IFERROR(__xludf.DUMMYFUNCTION("""COMPUTED_VALUE"""),"datasaur.ai")</f>
        <v>datasaur.ai</v>
      </c>
    </row>
    <row r="227">
      <c r="A227" s="5" t="str">
        <f>IFERROR(__xludf.DUMMYFUNCTION("""COMPUTED_VALUE"""),"datanitro.com")</f>
        <v>datanitro.com</v>
      </c>
      <c r="B227" s="5" t="str">
        <f>IFERROR(__xludf.DUMMYFUNCTION("""COMPUTED_VALUE"""),"datlo.com")</f>
        <v>datlo.com</v>
      </c>
    </row>
    <row r="228">
      <c r="A228" s="5" t="str">
        <f>IFERROR(__xludf.DUMMYFUNCTION("""COMPUTED_VALUE"""),"datamechanics.co")</f>
        <v>datamechanics.co</v>
      </c>
      <c r="B228" s="5" t="str">
        <f>IFERROR(__xludf.DUMMYFUNCTION("""COMPUTED_VALUE"""),"datree.io")</f>
        <v>datree.io</v>
      </c>
    </row>
    <row r="229">
      <c r="A229" s="5" t="str">
        <f>IFERROR(__xludf.DUMMYFUNCTION("""COMPUTED_VALUE"""),"datafold.com")</f>
        <v>datafold.com</v>
      </c>
      <c r="B229" s="5" t="str">
        <f>IFERROR(__xludf.DUMMYFUNCTION("""COMPUTED_VALUE"""),"dealls.com")</f>
        <v>dealls.com</v>
      </c>
    </row>
    <row r="230">
      <c r="A230" s="5" t="str">
        <f>IFERROR(__xludf.DUMMYFUNCTION("""COMPUTED_VALUE"""),"dataform.co")</f>
        <v>dataform.co</v>
      </c>
      <c r="B230" s="6" t="str">
        <f>IFERROR(__xludf.DUMMYFUNCTION("""COMPUTED_VALUE"""),"decentro.tech")</f>
        <v>decentro.tech</v>
      </c>
    </row>
    <row r="231">
      <c r="A231" s="5" t="str">
        <f>IFERROR(__xludf.DUMMYFUNCTION("""COMPUTED_VALUE"""),"dataherald.com")</f>
        <v>dataherald.com</v>
      </c>
      <c r="B231" s="5" t="str">
        <f>IFERROR(__xludf.DUMMYFUNCTION("""COMPUTED_VALUE"""),"joindeed.com")</f>
        <v>joindeed.com</v>
      </c>
    </row>
    <row r="232">
      <c r="A232" s="5" t="str">
        <f>IFERROR(__xludf.DUMMYFUNCTION("""COMPUTED_VALUE"""),"datarank.com")</f>
        <v>datarank.com</v>
      </c>
      <c r="B232" s="5" t="str">
        <f>IFERROR(__xludf.DUMMYFUNCTION("""COMPUTED_VALUE"""),"deepsource.com")</f>
        <v>deepsource.com</v>
      </c>
    </row>
    <row r="233">
      <c r="A233" s="5" t="str">
        <f>IFERROR(__xludf.DUMMYFUNCTION("""COMPUTED_VALUE"""),"datasaur.ai")</f>
        <v>datasaur.ai</v>
      </c>
      <c r="B233" s="5" t="str">
        <f>IFERROR(__xludf.DUMMYFUNCTION("""COMPUTED_VALUE"""),"delineate.pro")</f>
        <v>delineate.pro</v>
      </c>
    </row>
    <row r="234">
      <c r="A234" s="5" t="str">
        <f>IFERROR(__xludf.DUMMYFUNCTION("""COMPUTED_VALUE"""),"datlo.com")</f>
        <v>datlo.com</v>
      </c>
      <c r="B234" s="5" t="str">
        <f>IFERROR(__xludf.DUMMYFUNCTION("""COMPUTED_VALUE"""),"demandsphere.com")</f>
        <v>demandsphere.com</v>
      </c>
    </row>
    <row r="235">
      <c r="A235" s="5" t="str">
        <f>IFERROR(__xludf.DUMMYFUNCTION("""COMPUTED_VALUE"""),"datree.io")</f>
        <v>datree.io</v>
      </c>
      <c r="B235" s="5" t="str">
        <f>IFERROR(__xludf.DUMMYFUNCTION("""COMPUTED_VALUE"""),"depict.ai")</f>
        <v>depict.ai</v>
      </c>
    </row>
    <row r="236">
      <c r="A236" s="5" t="str">
        <f>IFERROR(__xludf.DUMMYFUNCTION("""COMPUTED_VALUE"""),"dealls.com")</f>
        <v>dealls.com</v>
      </c>
      <c r="B236" s="5" t="str">
        <f>IFERROR(__xludf.DUMMYFUNCTION("""COMPUTED_VALUE"""),"devcycle.com")</f>
        <v>devcycle.com</v>
      </c>
    </row>
    <row r="237">
      <c r="A237" s="6" t="str">
        <f>IFERROR(__xludf.DUMMYFUNCTION("""COMPUTED_VALUE"""),"decentro.tech")</f>
        <v>decentro.tech</v>
      </c>
      <c r="B237" s="5" t="str">
        <f>IFERROR(__xludf.DUMMYFUNCTION("""COMPUTED_VALUE"""),"dimorder.com")</f>
        <v>dimorder.com</v>
      </c>
    </row>
    <row r="238">
      <c r="A238" s="5" t="str">
        <f>IFERROR(__xludf.DUMMYFUNCTION("""COMPUTED_VALUE"""),"joindeed.com")</f>
        <v>joindeed.com</v>
      </c>
      <c r="B238" s="5" t="str">
        <f>IFERROR(__xludf.DUMMYFUNCTION("""COMPUTED_VALUE"""),"disqus.com")</f>
        <v>disqus.com</v>
      </c>
    </row>
    <row r="239">
      <c r="A239" s="5" t="str">
        <f>IFERROR(__xludf.DUMMYFUNCTION("""COMPUTED_VALUE"""),"deepsource.com")</f>
        <v>deepsource.com</v>
      </c>
      <c r="B239" s="5" t="str">
        <f>IFERROR(__xludf.DUMMYFUNCTION("""COMPUTED_VALUE"""),"dittowords.com")</f>
        <v>dittowords.com</v>
      </c>
    </row>
    <row r="240">
      <c r="A240" s="5" t="str">
        <f>IFERROR(__xludf.DUMMYFUNCTION("""COMPUTED_VALUE"""),"delineate.pro")</f>
        <v>delineate.pro</v>
      </c>
      <c r="B240" s="5" t="str">
        <f>IFERROR(__xludf.DUMMYFUNCTION("""COMPUTED_VALUE"""),"dojah.io")</f>
        <v>dojah.io</v>
      </c>
    </row>
    <row r="241">
      <c r="A241" s="5" t="str">
        <f>IFERROR(__xludf.DUMMYFUNCTION("""COMPUTED_VALUE"""),"demandsphere.com")</f>
        <v>demandsphere.com</v>
      </c>
      <c r="B241" s="5" t="str">
        <f>IFERROR(__xludf.DUMMYFUNCTION("""COMPUTED_VALUE"""),"doppler.com")</f>
        <v>doppler.com</v>
      </c>
    </row>
    <row r="242">
      <c r="A242" s="5" t="str">
        <f>IFERROR(__xludf.DUMMYFUNCTION("""COMPUTED_VALUE"""),"depict.ai")</f>
        <v>depict.ai</v>
      </c>
      <c r="B242" s="5" t="str">
        <f>IFERROR(__xludf.DUMMYFUNCTION("""COMPUTED_VALUE"""),"doublerobotics.com")</f>
        <v>doublerobotics.com</v>
      </c>
    </row>
    <row r="243">
      <c r="A243" s="5" t="str">
        <f>IFERROR(__xludf.DUMMYFUNCTION("""COMPUTED_VALUE"""),"devcycle.com")</f>
        <v>devcycle.com</v>
      </c>
      <c r="B243" s="5" t="str">
        <f>IFERROR(__xludf.DUMMYFUNCTION("""COMPUTED_VALUE"""),"draftwise.com")</f>
        <v>draftwise.com</v>
      </c>
    </row>
    <row r="244">
      <c r="A244" s="5" t="str">
        <f>IFERROR(__xludf.DUMMYFUNCTION("""COMPUTED_VALUE"""),"dimorder.com")</f>
        <v>dimorder.com</v>
      </c>
      <c r="B244" s="5" t="str">
        <f>IFERROR(__xludf.DUMMYFUNCTION("""COMPUTED_VALUE"""),"draftbit.com")</f>
        <v>draftbit.com</v>
      </c>
    </row>
    <row r="245">
      <c r="A245" s="5" t="str">
        <f>IFERROR(__xludf.DUMMYFUNCTION("""COMPUTED_VALUE"""),"disqus.com")</f>
        <v>disqus.com</v>
      </c>
      <c r="B245" s="5" t="str">
        <f>IFERROR(__xludf.DUMMYFUNCTION("""COMPUTED_VALUE"""),"duffel.com")</f>
        <v>duffel.com</v>
      </c>
    </row>
    <row r="246">
      <c r="A246" s="5" t="str">
        <f>IFERROR(__xludf.DUMMYFUNCTION("""COMPUTED_VALUE"""),"dittowords.com")</f>
        <v>dittowords.com</v>
      </c>
      <c r="B246" s="5" t="str">
        <f>IFERROR(__xludf.DUMMYFUNCTION("""COMPUTED_VALUE"""),"dynamo.ai")</f>
        <v>dynamo.ai</v>
      </c>
    </row>
    <row r="247">
      <c r="A247" s="5" t="str">
        <f>IFERROR(__xludf.DUMMYFUNCTION("""COMPUTED_VALUE"""),"dojah.io")</f>
        <v>dojah.io</v>
      </c>
      <c r="B247" s="5" t="str">
        <f>IFERROR(__xludf.DUMMYFUNCTION("""COMPUTED_VALUE"""),"dyspatch.io")</f>
        <v>dyspatch.io</v>
      </c>
    </row>
    <row r="248">
      <c r="A248" s="5" t="str">
        <f>IFERROR(__xludf.DUMMYFUNCTION("""COMPUTED_VALUE"""),"doppler.com")</f>
        <v>doppler.com</v>
      </c>
      <c r="B248" s="5" t="str">
        <f>IFERROR(__xludf.DUMMYFUNCTION("""COMPUTED_VALUE"""),"dyte.io")</f>
        <v>dyte.io</v>
      </c>
    </row>
    <row r="249">
      <c r="A249" s="5" t="str">
        <f>IFERROR(__xludf.DUMMYFUNCTION("""COMPUTED_VALUE"""),"doublerobotics.com")</f>
        <v>doublerobotics.com</v>
      </c>
      <c r="B249" s="5" t="str">
        <f>IFERROR(__xludf.DUMMYFUNCTION("""COMPUTED_VALUE"""),"earbits.com")</f>
        <v>earbits.com</v>
      </c>
    </row>
    <row r="250">
      <c r="A250" s="5" t="str">
        <f>IFERROR(__xludf.DUMMYFUNCTION("""COMPUTED_VALUE"""),"draftwise.com")</f>
        <v>draftwise.com</v>
      </c>
      <c r="B250" s="5" t="str">
        <f>IFERROR(__xludf.DUMMYFUNCTION("""COMPUTED_VALUE"""),"easol.com")</f>
        <v>easol.com</v>
      </c>
    </row>
    <row r="251">
      <c r="A251" s="5" t="str">
        <f>IFERROR(__xludf.DUMMYFUNCTION("""COMPUTED_VALUE"""),"draftbit.com")</f>
        <v>draftbit.com</v>
      </c>
      <c r="B251" s="5" t="str">
        <f>IFERROR(__xludf.DUMMYFUNCTION("""COMPUTED_VALUE"""),"easypost.com")</f>
        <v>easypost.com</v>
      </c>
    </row>
    <row r="252">
      <c r="A252" s="5" t="str">
        <f>IFERROR(__xludf.DUMMYFUNCTION("""COMPUTED_VALUE"""),"duffel.com")</f>
        <v>duffel.com</v>
      </c>
      <c r="B252" s="5" t="str">
        <f>IFERROR(__xludf.DUMMYFUNCTION("""COMPUTED_VALUE"""),"edenworkplace.com")</f>
        <v>edenworkplace.com</v>
      </c>
    </row>
    <row r="253">
      <c r="A253" s="5" t="str">
        <f>IFERROR(__xludf.DUMMYFUNCTION("""COMPUTED_VALUE"""),"dynamo.ai")</f>
        <v>dynamo.ai</v>
      </c>
      <c r="B253" s="5" t="str">
        <f>IFERROR(__xludf.DUMMYFUNCTION("""COMPUTED_VALUE"""),"eivod.com")</f>
        <v>eivod.com</v>
      </c>
    </row>
    <row r="254">
      <c r="A254" s="5" t="str">
        <f>IFERROR(__xludf.DUMMYFUNCTION("""COMPUTED_VALUE"""),"dyspatch.io")</f>
        <v>dyspatch.io</v>
      </c>
      <c r="B254" s="5" t="str">
        <f>IFERROR(__xludf.DUMMYFUNCTION("""COMPUTED_VALUE"""),"elementary-data.com")</f>
        <v>elementary-data.com</v>
      </c>
    </row>
    <row r="255">
      <c r="A255" s="5" t="str">
        <f>IFERROR(__xludf.DUMMYFUNCTION("""COMPUTED_VALUE"""),"dyte.io")</f>
        <v>dyte.io</v>
      </c>
      <c r="B255" s="5" t="str">
        <f>IFERROR(__xludf.DUMMYFUNCTION("""COMPUTED_VALUE"""),"getelucify.com")</f>
        <v>getelucify.com</v>
      </c>
    </row>
    <row r="256">
      <c r="A256" s="5" t="str">
        <f>IFERROR(__xludf.DUMMYFUNCTION("""COMPUTED_VALUE"""),"earbits.com")</f>
        <v>earbits.com</v>
      </c>
      <c r="B256" s="5" t="str">
        <f>IFERROR(__xludf.DUMMYFUNCTION("""COMPUTED_VALUE"""),"embeddables.com")</f>
        <v>embeddables.com</v>
      </c>
    </row>
    <row r="257">
      <c r="A257" s="5" t="str">
        <f>IFERROR(__xludf.DUMMYFUNCTION("""COMPUTED_VALUE"""),"easol.com")</f>
        <v>easol.com</v>
      </c>
      <c r="B257" s="5" t="str">
        <f>IFERROR(__xludf.DUMMYFUNCTION("""COMPUTED_VALUE"""),"embrace.io")</f>
        <v>embrace.io</v>
      </c>
    </row>
    <row r="258">
      <c r="A258" s="5" t="str">
        <f>IFERROR(__xludf.DUMMYFUNCTION("""COMPUTED_VALUE"""),"easypost.com")</f>
        <v>easypost.com</v>
      </c>
      <c r="B258" s="5" t="str">
        <f>IFERROR(__xludf.DUMMYFUNCTION("""COMPUTED_VALUE"""),"emilabs.ai")</f>
        <v>emilabs.ai</v>
      </c>
    </row>
    <row r="259">
      <c r="A259" s="5" t="str">
        <f>IFERROR(__xludf.DUMMYFUNCTION("""COMPUTED_VALUE"""),"edenworkplace.com")</f>
        <v>edenworkplace.com</v>
      </c>
      <c r="B259" s="5" t="str">
        <f>IFERROR(__xludf.DUMMYFUNCTION("""COMPUTED_VALUE"""),"enableus.com")</f>
        <v>enableus.com</v>
      </c>
    </row>
    <row r="260">
      <c r="A260" s="5" t="str">
        <f>IFERROR(__xludf.DUMMYFUNCTION("""COMPUTED_VALUE"""),"eivod.com")</f>
        <v>eivod.com</v>
      </c>
      <c r="B260" s="5" t="str">
        <f>IFERROR(__xludf.DUMMYFUNCTION("""COMPUTED_VALUE"""),"encord.com")</f>
        <v>encord.com</v>
      </c>
    </row>
    <row r="261">
      <c r="A261" s="5" t="str">
        <f>IFERROR(__xludf.DUMMYFUNCTION("""COMPUTED_VALUE"""),"elementary-data.com")</f>
        <v>elementary-data.com</v>
      </c>
      <c r="B261" s="5" t="str">
        <f>IFERROR(__xludf.DUMMYFUNCTION("""COMPUTED_VALUE"""),"ensoanalytics.com")</f>
        <v>ensoanalytics.com</v>
      </c>
    </row>
    <row r="262">
      <c r="A262" s="5" t="str">
        <f>IFERROR(__xludf.DUMMYFUNCTION("""COMPUTED_VALUE"""),"getelucify.com")</f>
        <v>getelucify.com</v>
      </c>
      <c r="B262" s="5" t="str">
        <f>IFERROR(__xludf.DUMMYFUNCTION("""COMPUTED_VALUE"""),"epsilon3.io")</f>
        <v>epsilon3.io</v>
      </c>
    </row>
    <row r="263">
      <c r="A263" s="5" t="str">
        <f>IFERROR(__xludf.DUMMYFUNCTION("""COMPUTED_VALUE"""),"embeddables.com")</f>
        <v>embeddables.com</v>
      </c>
      <c r="B263" s="6" t="str">
        <f>IFERROR(__xludf.DUMMYFUNCTION("""COMPUTED_VALUE"""),"escape.tech")</f>
        <v>escape.tech</v>
      </c>
    </row>
    <row r="264">
      <c r="A264" s="5" t="str">
        <f>IFERROR(__xludf.DUMMYFUNCTION("""COMPUTED_VALUE"""),"embrace.io")</f>
        <v>embrace.io</v>
      </c>
      <c r="B264" s="5" t="str">
        <f>IFERROR(__xludf.DUMMYFUNCTION("""COMPUTED_VALUE"""),"estimote.com")</f>
        <v>estimote.com</v>
      </c>
    </row>
    <row r="265">
      <c r="A265" s="5" t="str">
        <f>IFERROR(__xludf.DUMMYFUNCTION("""COMPUTED_VALUE"""),"emilabs.ai")</f>
        <v>emilabs.ai</v>
      </c>
      <c r="B265" s="5" t="str">
        <f>IFERROR(__xludf.DUMMYFUNCTION("""COMPUTED_VALUE"""),"estoca.com.br")</f>
        <v>estoca.com.br</v>
      </c>
    </row>
    <row r="266">
      <c r="A266" s="5" t="str">
        <f>IFERROR(__xludf.DUMMYFUNCTION("""COMPUTED_VALUE"""),"enableus.com")</f>
        <v>enableus.com</v>
      </c>
      <c r="B266" s="5" t="str">
        <f>IFERROR(__xludf.DUMMYFUNCTION("""COMPUTED_VALUE"""),"etleap.com")</f>
        <v>etleap.com</v>
      </c>
    </row>
    <row r="267">
      <c r="A267" s="5" t="str">
        <f>IFERROR(__xludf.DUMMYFUNCTION("""COMPUTED_VALUE"""),"encord.com")</f>
        <v>encord.com</v>
      </c>
      <c r="B267" s="5" t="str">
        <f>IFERROR(__xludf.DUMMYFUNCTION("""COMPUTED_VALUE"""),"explorex.co")</f>
        <v>explorex.co</v>
      </c>
    </row>
    <row r="268">
      <c r="A268" s="5" t="str">
        <f>IFERROR(__xludf.DUMMYFUNCTION("""COMPUTED_VALUE"""),"ensoanalytics.com")</f>
        <v>ensoanalytics.com</v>
      </c>
      <c r="B268" s="6" t="str">
        <f>IFERROR(__xludf.DUMMYFUNCTION("""COMPUTED_VALUE"""),"expo.dev")</f>
        <v>expo.dev</v>
      </c>
    </row>
    <row r="269">
      <c r="A269" s="5" t="str">
        <f>IFERROR(__xludf.DUMMYFUNCTION("""COMPUTED_VALUE"""),"epsilon3.io")</f>
        <v>epsilon3.io</v>
      </c>
      <c r="B269" s="5" t="str">
        <f>IFERROR(__xludf.DUMMYFUNCTION("""COMPUTED_VALUE"""),"ezewholesale.com")</f>
        <v>ezewholesale.com</v>
      </c>
    </row>
    <row r="270">
      <c r="A270" s="6" t="str">
        <f>IFERROR(__xludf.DUMMYFUNCTION("""COMPUTED_VALUE"""),"escape.tech")</f>
        <v>escape.tech</v>
      </c>
      <c r="B270" s="5" t="str">
        <f>IFERROR(__xludf.DUMMYFUNCTION("""COMPUTED_VALUE"""),"firstdelivery.com")</f>
        <v>firstdelivery.com</v>
      </c>
    </row>
    <row r="271">
      <c r="A271" s="5" t="str">
        <f>IFERROR(__xludf.DUMMYFUNCTION("""COMPUTED_VALUE"""),"estimote.com")</f>
        <v>estimote.com</v>
      </c>
      <c r="B271" s="5" t="str">
        <f>IFERROR(__xludf.DUMMYFUNCTION("""COMPUTED_VALUE"""),"factoredquality.com")</f>
        <v>factoredquality.com</v>
      </c>
    </row>
    <row r="272">
      <c r="A272" s="5" t="str">
        <f>IFERROR(__xludf.DUMMYFUNCTION("""COMPUTED_VALUE"""),"estoca.com.br")</f>
        <v>estoca.com.br</v>
      </c>
      <c r="B272" s="5" t="str">
        <f>IFERROR(__xludf.DUMMYFUNCTION("""COMPUTED_VALUE"""),"fanchatter.com")</f>
        <v>fanchatter.com</v>
      </c>
    </row>
    <row r="273">
      <c r="A273" s="5" t="str">
        <f>IFERROR(__xludf.DUMMYFUNCTION("""COMPUTED_VALUE"""),"etleap.com")</f>
        <v>etleap.com</v>
      </c>
      <c r="B273" s="6" t="str">
        <f>IFERROR(__xludf.DUMMYFUNCTION("""COMPUTED_VALUE"""),"fathom.video")</f>
        <v>fathom.video</v>
      </c>
    </row>
    <row r="274">
      <c r="A274" s="5" t="str">
        <f>IFERROR(__xludf.DUMMYFUNCTION("""COMPUTED_VALUE"""),"explorex.co")</f>
        <v>explorex.co</v>
      </c>
      <c r="B274" s="5" t="str">
        <f>IFERROR(__xludf.DUMMYFUNCTION("""COMPUTED_VALUE"""),"buildwithfern.com")</f>
        <v>buildwithfern.com</v>
      </c>
    </row>
    <row r="275">
      <c r="A275" s="6" t="str">
        <f>IFERROR(__xludf.DUMMYFUNCTION("""COMPUTED_VALUE"""),"expo.dev")</f>
        <v>expo.dev</v>
      </c>
      <c r="B275" s="5" t="str">
        <f>IFERROR(__xludf.DUMMYFUNCTION("""COMPUTED_VALUE"""),"feroot.com")</f>
        <v>feroot.com</v>
      </c>
    </row>
    <row r="276">
      <c r="A276" s="5" t="str">
        <f>IFERROR(__xludf.DUMMYFUNCTION("""COMPUTED_VALUE"""),"ezewholesale.com")</f>
        <v>ezewholesale.com</v>
      </c>
      <c r="B276" s="5" t="str">
        <f>IFERROR(__xludf.DUMMYFUNCTION("""COMPUTED_VALUE"""),"fiboapp.com")</f>
        <v>fiboapp.com</v>
      </c>
    </row>
    <row r="277">
      <c r="A277" s="5" t="str">
        <f>IFERROR(__xludf.DUMMYFUNCTION("""COMPUTED_VALUE"""),"firstdelivery.com")</f>
        <v>firstdelivery.com</v>
      </c>
      <c r="B277" s="5" t="str">
        <f>IFERROR(__xludf.DUMMYFUNCTION("""COMPUTED_VALUE"""),"fieldguide.io")</f>
        <v>fieldguide.io</v>
      </c>
    </row>
    <row r="278">
      <c r="A278" s="5" t="str">
        <f>IFERROR(__xludf.DUMMYFUNCTION("""COMPUTED_VALUE"""),"factoredquality.com")</f>
        <v>factoredquality.com</v>
      </c>
      <c r="B278" s="5" t="str">
        <f>IFERROR(__xludf.DUMMYFUNCTION("""COMPUTED_VALUE"""),"filestack.com")</f>
        <v>filestack.com</v>
      </c>
    </row>
    <row r="279">
      <c r="A279" s="5" t="str">
        <f>IFERROR(__xludf.DUMMYFUNCTION("""COMPUTED_VALUE"""),"fanchatter.com")</f>
        <v>fanchatter.com</v>
      </c>
      <c r="B279" s="5" t="str">
        <f>IFERROR(__xludf.DUMMYFUNCTION("""COMPUTED_VALUE"""),"tryfinch.com")</f>
        <v>tryfinch.com</v>
      </c>
    </row>
    <row r="280">
      <c r="A280" s="6" t="str">
        <f>IFERROR(__xludf.DUMMYFUNCTION("""COMPUTED_VALUE"""),"fathom.video")</f>
        <v>fathom.video</v>
      </c>
      <c r="B280" s="5" t="str">
        <f>IFERROR(__xludf.DUMMYFUNCTION("""COMPUTED_VALUE"""),"finmark.com")</f>
        <v>finmark.com</v>
      </c>
    </row>
    <row r="281">
      <c r="A281" s="5" t="str">
        <f>IFERROR(__xludf.DUMMYFUNCTION("""COMPUTED_VALUE"""),"buildwithfern.com")</f>
        <v>buildwithfern.com</v>
      </c>
      <c r="B281" s="5" t="str">
        <f>IFERROR(__xludf.DUMMYFUNCTION("""COMPUTED_VALUE"""),"firstbase.io")</f>
        <v>firstbase.io</v>
      </c>
    </row>
    <row r="282">
      <c r="A282" s="5" t="str">
        <f>IFERROR(__xludf.DUMMYFUNCTION("""COMPUTED_VALUE"""),"feroot.com")</f>
        <v>feroot.com</v>
      </c>
      <c r="B282" s="5" t="str">
        <f>IFERROR(__xludf.DUMMYFUNCTION("""COMPUTED_VALUE"""),"flagright.com")</f>
        <v>flagright.com</v>
      </c>
    </row>
    <row r="283">
      <c r="A283" s="5" t="str">
        <f>IFERROR(__xludf.DUMMYFUNCTION("""COMPUTED_VALUE"""),"fiboapp.com")</f>
        <v>fiboapp.com</v>
      </c>
      <c r="B283" s="5" t="str">
        <f>IFERROR(__xludf.DUMMYFUNCTION("""COMPUTED_VALUE"""),"flextock.com")</f>
        <v>flextock.com</v>
      </c>
    </row>
    <row r="284">
      <c r="A284" s="5" t="str">
        <f>IFERROR(__xludf.DUMMYFUNCTION("""COMPUTED_VALUE"""),"fieldguide.io")</f>
        <v>fieldguide.io</v>
      </c>
      <c r="B284" s="5" t="str">
        <f>IFERROR(__xludf.DUMMYFUNCTION("""COMPUTED_VALUE"""),"flightfox.com")</f>
        <v>flightfox.com</v>
      </c>
    </row>
    <row r="285">
      <c r="A285" s="5" t="str">
        <f>IFERROR(__xludf.DUMMYFUNCTION("""COMPUTED_VALUE"""),"filestack.com")</f>
        <v>filestack.com</v>
      </c>
      <c r="B285" s="5" t="str">
        <f>IFERROR(__xludf.DUMMYFUNCTION("""COMPUTED_VALUE"""),"florecruit.com")</f>
        <v>florecruit.com</v>
      </c>
    </row>
    <row r="286">
      <c r="A286" s="5" t="str">
        <f>IFERROR(__xludf.DUMMYFUNCTION("""COMPUTED_VALUE"""),"tryfinch.com")</f>
        <v>tryfinch.com</v>
      </c>
      <c r="B286" s="5" t="str">
        <f>IFERROR(__xludf.DUMMYFUNCTION("""COMPUTED_VALUE"""),"flockjay.com")</f>
        <v>flockjay.com</v>
      </c>
    </row>
    <row r="287">
      <c r="A287" s="5" t="str">
        <f>IFERROR(__xludf.DUMMYFUNCTION("""COMPUTED_VALUE"""),"finmark.com")</f>
        <v>finmark.com</v>
      </c>
      <c r="B287" s="5" t="str">
        <f>IFERROR(__xludf.DUMMYFUNCTION("""COMPUTED_VALUE"""),"flower.ai")</f>
        <v>flower.ai</v>
      </c>
    </row>
    <row r="288">
      <c r="A288" s="5" t="str">
        <f>IFERROR(__xludf.DUMMYFUNCTION("""COMPUTED_VALUE"""),"firstbase.io")</f>
        <v>firstbase.io</v>
      </c>
      <c r="B288" s="5" t="str">
        <f>IFERROR(__xludf.DUMMYFUNCTION("""COMPUTED_VALUE"""),"floworks.ai")</f>
        <v>floworks.ai</v>
      </c>
    </row>
    <row r="289">
      <c r="A289" s="5" t="str">
        <f>IFERROR(__xludf.DUMMYFUNCTION("""COMPUTED_VALUE"""),"flagright.com")</f>
        <v>flagright.com</v>
      </c>
      <c r="B289" s="6" t="str">
        <f>IFERROR(__xludf.DUMMYFUNCTION("""COMPUTED_VALUE"""),"flow.space")</f>
        <v>flow.space</v>
      </c>
    </row>
    <row r="290">
      <c r="A290" s="5" t="str">
        <f>IFERROR(__xludf.DUMMYFUNCTION("""COMPUTED_VALUE"""),"flextock.com")</f>
        <v>flextock.com</v>
      </c>
      <c r="B290" s="5" t="str">
        <f>IFERROR(__xludf.DUMMYFUNCTION("""COMPUTED_VALUE"""),"flutterflow.io")</f>
        <v>flutterflow.io</v>
      </c>
    </row>
    <row r="291">
      <c r="A291" s="5" t="str">
        <f>IFERROR(__xludf.DUMMYFUNCTION("""COMPUTED_VALUE"""),"flightfox.com")</f>
        <v>flightfox.com</v>
      </c>
      <c r="B291" s="5" t="str">
        <f>IFERROR(__xludf.DUMMYFUNCTION("""COMPUTED_VALUE"""),"fly.io")</f>
        <v>fly.io</v>
      </c>
    </row>
    <row r="292">
      <c r="A292" s="5" t="str">
        <f>IFERROR(__xludf.DUMMYFUNCTION("""COMPUTED_VALUE"""),"florecruit.com")</f>
        <v>florecruit.com</v>
      </c>
      <c r="B292" s="5" t="str">
        <f>IFERROR(__xludf.DUMMYFUNCTION("""COMPUTED_VALUE"""),"fond.co")</f>
        <v>fond.co</v>
      </c>
    </row>
    <row r="293">
      <c r="A293" s="5" t="str">
        <f>IFERROR(__xludf.DUMMYFUNCTION("""COMPUTED_VALUE"""),"flockjay.com")</f>
        <v>flockjay.com</v>
      </c>
      <c r="B293" s="5" t="str">
        <f>IFERROR(__xludf.DUMMYFUNCTION("""COMPUTED_VALUE"""),"tryfondo.com")</f>
        <v>tryfondo.com</v>
      </c>
    </row>
    <row r="294">
      <c r="A294" s="5" t="str">
        <f>IFERROR(__xludf.DUMMYFUNCTION("""COMPUTED_VALUE"""),"flower.ai")</f>
        <v>flower.ai</v>
      </c>
      <c r="B294" s="5" t="str">
        <f>IFERROR(__xludf.DUMMYFUNCTION("""COMPUTED_VALUE"""),"fontawesome.com")</f>
        <v>fontawesome.com</v>
      </c>
    </row>
    <row r="295">
      <c r="A295" s="5" t="str">
        <f>IFERROR(__xludf.DUMMYFUNCTION("""COMPUTED_VALUE"""),"floworks.ai")</f>
        <v>floworks.ai</v>
      </c>
      <c r="B295" s="5" t="str">
        <f>IFERROR(__xludf.DUMMYFUNCTION("""COMPUTED_VALUE"""),"theforage.com")</f>
        <v>theforage.com</v>
      </c>
    </row>
    <row r="296">
      <c r="A296" s="6" t="str">
        <f>IFERROR(__xludf.DUMMYFUNCTION("""COMPUTED_VALUE"""),"flow.space")</f>
        <v>flow.space</v>
      </c>
      <c r="B296" s="5" t="str">
        <f>IFERROR(__xludf.DUMMYFUNCTION("""COMPUTED_VALUE"""),"joinformal.com")</f>
        <v>joinformal.com</v>
      </c>
    </row>
    <row r="297">
      <c r="A297" s="5" t="str">
        <f>IFERROR(__xludf.DUMMYFUNCTION("""COMPUTED_VALUE"""),"flutterflow.io")</f>
        <v>flutterflow.io</v>
      </c>
      <c r="B297" s="5" t="str">
        <f>IFERROR(__xludf.DUMMYFUNCTION("""COMPUTED_VALUE"""),"foxpass.com")</f>
        <v>foxpass.com</v>
      </c>
    </row>
    <row r="298">
      <c r="A298" s="5" t="str">
        <f>IFERROR(__xludf.DUMMYFUNCTION("""COMPUTED_VALUE"""),"fly.io")</f>
        <v>fly.io</v>
      </c>
      <c r="B298" s="5" t="str">
        <f>IFERROR(__xludf.DUMMYFUNCTION("""COMPUTED_VALUE"""),"freshfactory.id")</f>
        <v>freshfactory.id</v>
      </c>
    </row>
    <row r="299">
      <c r="A299" s="5" t="str">
        <f>IFERROR(__xludf.DUMMYFUNCTION("""COMPUTED_VALUE"""),"fond.co")</f>
        <v>fond.co</v>
      </c>
      <c r="B299" s="5" t="str">
        <f>IFERROR(__xludf.DUMMYFUNCTION("""COMPUTED_VALUE"""),"freshpaint.io")</f>
        <v>freshpaint.io</v>
      </c>
    </row>
    <row r="300">
      <c r="A300" s="5" t="str">
        <f>IFERROR(__xludf.DUMMYFUNCTION("""COMPUTED_VALUE"""),"tryfondo.com")</f>
        <v>tryfondo.com</v>
      </c>
      <c r="B300" s="5" t="str">
        <f>IFERROR(__xludf.DUMMYFUNCTION("""COMPUTED_VALUE"""),"freterium.com")</f>
        <v>freterium.com</v>
      </c>
    </row>
    <row r="301">
      <c r="A301" s="5" t="str">
        <f>IFERROR(__xludf.DUMMYFUNCTION("""COMPUTED_VALUE"""),"fontawesome.com")</f>
        <v>fontawesome.com</v>
      </c>
      <c r="B301" s="5" t="str">
        <f>IFERROR(__xludf.DUMMYFUNCTION("""COMPUTED_VALUE"""),"getfuell.com")</f>
        <v>getfuell.com</v>
      </c>
    </row>
    <row r="302">
      <c r="A302" s="5" t="str">
        <f>IFERROR(__xludf.DUMMYFUNCTION("""COMPUTED_VALUE"""),"theforage.com")</f>
        <v>theforage.com</v>
      </c>
      <c r="B302" s="5" t="str">
        <f>IFERROR(__xludf.DUMMYFUNCTION("""COMPUTED_VALUE"""),"gaiia.com")</f>
        <v>gaiia.com</v>
      </c>
    </row>
    <row r="303">
      <c r="A303" s="5" t="str">
        <f>IFERROR(__xludf.DUMMYFUNCTION("""COMPUTED_VALUE"""),"joinformal.com")</f>
        <v>joinformal.com</v>
      </c>
      <c r="B303" s="5" t="str">
        <f>IFERROR(__xludf.DUMMYFUNCTION("""COMPUTED_VALUE"""),"garagemobility.com")</f>
        <v>garagemobility.com</v>
      </c>
    </row>
    <row r="304">
      <c r="A304" s="5" t="str">
        <f>IFERROR(__xludf.DUMMYFUNCTION("""COMPUTED_VALUE"""),"foxpass.com")</f>
        <v>foxpass.com</v>
      </c>
      <c r="B304" s="5" t="str">
        <f>IFERROR(__xludf.DUMMYFUNCTION("""COMPUTED_VALUE"""),"gemnote.com")</f>
        <v>gemnote.com</v>
      </c>
    </row>
    <row r="305">
      <c r="A305" s="5" t="str">
        <f>IFERROR(__xludf.DUMMYFUNCTION("""COMPUTED_VALUE"""),"freshfactory.id")</f>
        <v>freshfactory.id</v>
      </c>
      <c r="B305" s="5" t="str">
        <f>IFERROR(__xludf.DUMMYFUNCTION("""COMPUTED_VALUE"""),"gogenuity.com")</f>
        <v>gogenuity.com</v>
      </c>
    </row>
    <row r="306">
      <c r="A306" s="5" t="str">
        <f>IFERROR(__xludf.DUMMYFUNCTION("""COMPUTED_VALUE"""),"freshpaint.io")</f>
        <v>freshpaint.io</v>
      </c>
      <c r="B306" s="5" t="str">
        <f>IFERROR(__xludf.DUMMYFUNCTION("""COMPUTED_VALUE"""),"georgettepackaging.com")</f>
        <v>georgettepackaging.com</v>
      </c>
    </row>
    <row r="307">
      <c r="A307" s="5" t="str">
        <f>IFERROR(__xludf.DUMMYFUNCTION("""COMPUTED_VALUE"""),"freterium.com")</f>
        <v>freterium.com</v>
      </c>
      <c r="B307" s="5" t="str">
        <f>IFERROR(__xludf.DUMMYFUNCTION("""COMPUTED_VALUE"""),"geosite.io")</f>
        <v>geosite.io</v>
      </c>
    </row>
    <row r="308">
      <c r="A308" s="5" t="str">
        <f>IFERROR(__xludf.DUMMYFUNCTION("""COMPUTED_VALUE"""),"getfuell.com")</f>
        <v>getfuell.com</v>
      </c>
      <c r="B308" s="5" t="str">
        <f>IFERROR(__xludf.DUMMYFUNCTION("""COMPUTED_VALUE"""),"gigs.com")</f>
        <v>gigs.com</v>
      </c>
    </row>
    <row r="309">
      <c r="A309" s="5" t="str">
        <f>IFERROR(__xludf.DUMMYFUNCTION("""COMPUTED_VALUE"""),"gaiia.com")</f>
        <v>gaiia.com</v>
      </c>
      <c r="B309" s="5" t="str">
        <f>IFERROR(__xludf.DUMMYFUNCTION("""COMPUTED_VALUE"""),"gigster.com")</f>
        <v>gigster.com</v>
      </c>
    </row>
    <row r="310">
      <c r="A310" s="5" t="str">
        <f>IFERROR(__xludf.DUMMYFUNCTION("""COMPUTED_VALUE"""),"garagemobility.com")</f>
        <v>garagemobility.com</v>
      </c>
      <c r="B310" s="5" t="str">
        <f>IFERROR(__xludf.DUMMYFUNCTION("""COMPUTED_VALUE"""),"gigwell.com")</f>
        <v>gigwell.com</v>
      </c>
    </row>
    <row r="311">
      <c r="A311" s="5" t="str">
        <f>IFERROR(__xludf.DUMMYFUNCTION("""COMPUTED_VALUE"""),"gemnote.com")</f>
        <v>gemnote.com</v>
      </c>
      <c r="B311" s="5" t="str">
        <f>IFERROR(__xludf.DUMMYFUNCTION("""COMPUTED_VALUE"""),"gimbooks.com")</f>
        <v>gimbooks.com</v>
      </c>
    </row>
    <row r="312">
      <c r="A312" s="5" t="str">
        <f>IFERROR(__xludf.DUMMYFUNCTION("""COMPUTED_VALUE"""),"gogenuity.com")</f>
        <v>gogenuity.com</v>
      </c>
      <c r="B312" s="5" t="str">
        <f>IFERROR(__xludf.DUMMYFUNCTION("""COMPUTED_VALUE"""),"gitstart.com")</f>
        <v>gitstart.com</v>
      </c>
    </row>
    <row r="313">
      <c r="A313" s="5" t="str">
        <f>IFERROR(__xludf.DUMMYFUNCTION("""COMPUTED_VALUE"""),"georgettepackaging.com")</f>
        <v>georgettepackaging.com</v>
      </c>
      <c r="B313" s="5" t="str">
        <f>IFERROR(__xludf.DUMMYFUNCTION("""COMPUTED_VALUE"""),"glideapps.com")</f>
        <v>glideapps.com</v>
      </c>
    </row>
    <row r="314">
      <c r="A314" s="5" t="str">
        <f>IFERROR(__xludf.DUMMYFUNCTION("""COMPUTED_VALUE"""),"geosite.io")</f>
        <v>geosite.io</v>
      </c>
      <c r="B314" s="5" t="str">
        <f>IFERROR(__xludf.DUMMYFUNCTION("""COMPUTED_VALUE"""),"glowing.io")</f>
        <v>glowing.io</v>
      </c>
    </row>
    <row r="315">
      <c r="A315" s="5" t="str">
        <f>IFERROR(__xludf.DUMMYFUNCTION("""COMPUTED_VALUE"""),"gigs.com")</f>
        <v>gigs.com</v>
      </c>
      <c r="B315" s="5" t="str">
        <f>IFERROR(__xludf.DUMMYFUNCTION("""COMPUTED_VALUE"""),"golinks.io")</f>
        <v>golinks.io</v>
      </c>
    </row>
    <row r="316">
      <c r="A316" s="5" t="str">
        <f>IFERROR(__xludf.DUMMYFUNCTION("""COMPUTED_VALUE"""),"gigster.com")</f>
        <v>gigster.com</v>
      </c>
      <c r="B316" s="5" t="str">
        <f>IFERROR(__xludf.DUMMYFUNCTION("""COMPUTED_VALUE"""),"golorry.com")</f>
        <v>golorry.com</v>
      </c>
    </row>
    <row r="317">
      <c r="A317" s="5" t="str">
        <f>IFERROR(__xludf.DUMMYFUNCTION("""COMPUTED_VALUE"""),"gigwell.com")</f>
        <v>gigwell.com</v>
      </c>
      <c r="B317" s="5" t="str">
        <f>IFERROR(__xludf.DUMMYFUNCTION("""COMPUTED_VALUE"""),"goodkind.com")</f>
        <v>goodkind.com</v>
      </c>
    </row>
    <row r="318">
      <c r="A318" s="5" t="str">
        <f>IFERROR(__xludf.DUMMYFUNCTION("""COMPUTED_VALUE"""),"gimbooks.com")</f>
        <v>gimbooks.com</v>
      </c>
      <c r="B318" s="5" t="str">
        <f>IFERROR(__xludf.DUMMYFUNCTION("""COMPUTED_VALUE"""),"goodybag.com")</f>
        <v>goodybag.com</v>
      </c>
    </row>
    <row r="319">
      <c r="A319" s="5" t="str">
        <f>IFERROR(__xludf.DUMMYFUNCTION("""COMPUTED_VALUE"""),"gitstart.com")</f>
        <v>gitstart.com</v>
      </c>
      <c r="B319" s="5" t="str">
        <f>IFERROR(__xludf.DUMMYFUNCTION("""COMPUTED_VALUE"""),"gordiansoftware.com")</f>
        <v>gordiansoftware.com</v>
      </c>
    </row>
    <row r="320">
      <c r="A320" s="5" t="str">
        <f>IFERROR(__xludf.DUMMYFUNCTION("""COMPUTED_VALUE"""),"glideapps.com")</f>
        <v>glideapps.com</v>
      </c>
      <c r="B320" s="5" t="str">
        <f>IFERROR(__xludf.DUMMYFUNCTION("""COMPUTED_VALUE"""),"greatquestion.co")</f>
        <v>greatquestion.co</v>
      </c>
    </row>
    <row r="321">
      <c r="A321" s="5" t="str">
        <f>IFERROR(__xludf.DUMMYFUNCTION("""COMPUTED_VALUE"""),"glowing.io")</f>
        <v>glowing.io</v>
      </c>
      <c r="B321" s="5" t="str">
        <f>IFERROR(__xludf.DUMMYFUNCTION("""COMPUTED_VALUE"""),"grepdata.com")</f>
        <v>grepdata.com</v>
      </c>
    </row>
    <row r="322">
      <c r="A322" s="5" t="str">
        <f>IFERROR(__xludf.DUMMYFUNCTION("""COMPUTED_VALUE"""),"golinks.io")</f>
        <v>golinks.io</v>
      </c>
      <c r="B322" s="5" t="str">
        <f>IFERROR(__xludf.DUMMYFUNCTION("""COMPUTED_VALUE"""),"growthbook.io")</f>
        <v>growthbook.io</v>
      </c>
    </row>
    <row r="323">
      <c r="A323" s="5" t="str">
        <f>IFERROR(__xludf.DUMMYFUNCTION("""COMPUTED_VALUE"""),"golorry.com")</f>
        <v>golorry.com</v>
      </c>
      <c r="B323" s="5" t="str">
        <f>IFERROR(__xludf.DUMMYFUNCTION("""COMPUTED_VALUE"""),"hokali.com")</f>
        <v>hokali.com</v>
      </c>
    </row>
    <row r="324">
      <c r="A324" s="5" t="str">
        <f>IFERROR(__xludf.DUMMYFUNCTION("""COMPUTED_VALUE"""),"goodkind.com")</f>
        <v>goodkind.com</v>
      </c>
      <c r="B324" s="5" t="str">
        <f>IFERROR(__xludf.DUMMYFUNCTION("""COMPUTED_VALUE"""),"hackermeter.com")</f>
        <v>hackermeter.com</v>
      </c>
    </row>
    <row r="325">
      <c r="A325" s="5" t="str">
        <f>IFERROR(__xludf.DUMMYFUNCTION("""COMPUTED_VALUE"""),"goodybag.com")</f>
        <v>goodybag.com</v>
      </c>
      <c r="B325" s="5" t="str">
        <f>IFERROR(__xludf.DUMMYFUNCTION("""COMPUTED_VALUE"""),"handl.ai")</f>
        <v>handl.ai</v>
      </c>
    </row>
    <row r="326">
      <c r="A326" s="5" t="str">
        <f>IFERROR(__xludf.DUMMYFUNCTION("""COMPUTED_VALUE"""),"gordiansoftware.com")</f>
        <v>gordiansoftware.com</v>
      </c>
      <c r="B326" s="5" t="str">
        <f>IFERROR(__xludf.DUMMYFUNCTION("""COMPUTED_VALUE"""),"happyrobot.ai")</f>
        <v>happyrobot.ai</v>
      </c>
    </row>
    <row r="327">
      <c r="A327" s="5" t="str">
        <f>IFERROR(__xludf.DUMMYFUNCTION("""COMPUTED_VALUE"""),"greatquestion.co")</f>
        <v>greatquestion.co</v>
      </c>
      <c r="B327" s="5" t="str">
        <f>IFERROR(__xludf.DUMMYFUNCTION("""COMPUTED_VALUE"""),"usehatchapp.com")</f>
        <v>usehatchapp.com</v>
      </c>
    </row>
    <row r="328">
      <c r="A328" s="5" t="str">
        <f>IFERROR(__xludf.DUMMYFUNCTION("""COMPUTED_VALUE"""),"grepdata.com")</f>
        <v>grepdata.com</v>
      </c>
      <c r="B328" s="5" t="str">
        <f>IFERROR(__xludf.DUMMYFUNCTION("""COMPUTED_VALUE"""),"headstart.io")</f>
        <v>headstart.io</v>
      </c>
    </row>
    <row r="329">
      <c r="A329" s="5" t="str">
        <f>IFERROR(__xludf.DUMMYFUNCTION("""COMPUTED_VALUE"""),"growthbook.io")</f>
        <v>growthbook.io</v>
      </c>
      <c r="B329" s="5" t="str">
        <f>IFERROR(__xludf.DUMMYFUNCTION("""COMPUTED_VALUE"""),"hellosign.com")</f>
        <v>hellosign.com</v>
      </c>
    </row>
    <row r="330">
      <c r="A330" s="5" t="str">
        <f>IFERROR(__xludf.DUMMYFUNCTION("""COMPUTED_VALUE"""),"hokali.com")</f>
        <v>hokali.com</v>
      </c>
      <c r="B330" s="5" t="str">
        <f>IFERROR(__xludf.DUMMYFUNCTION("""COMPUTED_VALUE"""),"herondata.io")</f>
        <v>herondata.io</v>
      </c>
    </row>
    <row r="331">
      <c r="A331" s="5" t="str">
        <f>IFERROR(__xludf.DUMMYFUNCTION("""COMPUTED_VALUE"""),"hackermeter.com")</f>
        <v>hackermeter.com</v>
      </c>
      <c r="B331" s="5" t="str">
        <f>IFERROR(__xludf.DUMMYFUNCTION("""COMPUTED_VALUE"""),"hickorytraining.com")</f>
        <v>hickorytraining.com</v>
      </c>
    </row>
    <row r="332">
      <c r="A332" s="5" t="str">
        <f>IFERROR(__xludf.DUMMYFUNCTION("""COMPUTED_VALUE"""),"handl.ai")</f>
        <v>handl.ai</v>
      </c>
      <c r="B332" s="5" t="str">
        <f>IFERROR(__xludf.DUMMYFUNCTION("""COMPUTED_VALUE"""),"higherme.com")</f>
        <v>higherme.com</v>
      </c>
    </row>
    <row r="333">
      <c r="A333" s="5" t="str">
        <f>IFERROR(__xludf.DUMMYFUNCTION("""COMPUTED_VALUE"""),"happyrobot.ai")</f>
        <v>happyrobot.ai</v>
      </c>
      <c r="B333" s="5" t="str">
        <f>IFERROR(__xludf.DUMMYFUNCTION("""COMPUTED_VALUE"""),"hightouch.com")</f>
        <v>hightouch.com</v>
      </c>
    </row>
    <row r="334">
      <c r="A334" s="5" t="str">
        <f>IFERROR(__xludf.DUMMYFUNCTION("""COMPUTED_VALUE"""),"usehatchapp.com")</f>
        <v>usehatchapp.com</v>
      </c>
      <c r="B334" s="5" t="str">
        <f>IFERROR(__xludf.DUMMYFUNCTION("""COMPUTED_VALUE"""),"hireart.com")</f>
        <v>hireart.com</v>
      </c>
    </row>
    <row r="335">
      <c r="A335" s="5" t="str">
        <f>IFERROR(__xludf.DUMMYFUNCTION("""COMPUTED_VALUE"""),"headstart.io")</f>
        <v>headstart.io</v>
      </c>
      <c r="B335" s="5" t="str">
        <f>IFERROR(__xludf.DUMMYFUNCTION("""COMPUTED_VALUE"""),"hiresweet.com")</f>
        <v>hiresweet.com</v>
      </c>
    </row>
    <row r="336">
      <c r="A336" s="5" t="str">
        <f>IFERROR(__xludf.DUMMYFUNCTION("""COMPUTED_VALUE"""),"hellosign.com")</f>
        <v>hellosign.com</v>
      </c>
      <c r="B336" s="5" t="str">
        <f>IFERROR(__xludf.DUMMYFUNCTION("""COMPUTED_VALUE"""),"hiro.so")</f>
        <v>hiro.so</v>
      </c>
    </row>
    <row r="337">
      <c r="A337" s="5" t="str">
        <f>IFERROR(__xludf.DUMMYFUNCTION("""COMPUTED_VALUE"""),"herondata.io")</f>
        <v>herondata.io</v>
      </c>
      <c r="B337" s="5" t="str">
        <f>IFERROR(__xludf.DUMMYFUNCTION("""COMPUTED_VALUE"""),"hive.co")</f>
        <v>hive.co</v>
      </c>
    </row>
    <row r="338">
      <c r="A338" s="5" t="str">
        <f>IFERROR(__xludf.DUMMYFUNCTION("""COMPUTED_VALUE"""),"hickorytraining.com")</f>
        <v>hickorytraining.com</v>
      </c>
      <c r="B338" s="5" t="str">
        <f>IFERROR(__xludf.DUMMYFUNCTION("""COMPUTED_VALUE"""),"hona.com")</f>
        <v>hona.com</v>
      </c>
    </row>
    <row r="339">
      <c r="A339" s="5" t="str">
        <f>IFERROR(__xludf.DUMMYFUNCTION("""COMPUTED_VALUE"""),"higherme.com")</f>
        <v>higherme.com</v>
      </c>
      <c r="B339" s="5" t="str">
        <f>IFERROR(__xludf.DUMMYFUNCTION("""COMPUTED_VALUE"""),"hub.la")</f>
        <v>hub.la</v>
      </c>
    </row>
    <row r="340">
      <c r="A340" s="5" t="str">
        <f>IFERROR(__xludf.DUMMYFUNCTION("""COMPUTED_VALUE"""),"hightouch.com")</f>
        <v>hightouch.com</v>
      </c>
      <c r="B340" s="5" t="str">
        <f>IFERROR(__xludf.DUMMYFUNCTION("""COMPUTED_VALUE"""),"hudu.com")</f>
        <v>hudu.com</v>
      </c>
    </row>
    <row r="341">
      <c r="A341" s="5" t="str">
        <f>IFERROR(__xludf.DUMMYFUNCTION("""COMPUTED_VALUE"""),"hireart.com")</f>
        <v>hireart.com</v>
      </c>
      <c r="B341" s="5" t="str">
        <f>IFERROR(__xludf.DUMMYFUNCTION("""COMPUTED_VALUE"""),"letshum.com")</f>
        <v>letshum.com</v>
      </c>
    </row>
    <row r="342">
      <c r="A342" s="5" t="str">
        <f>IFERROR(__xludf.DUMMYFUNCTION("""COMPUTED_VALUE"""),"hiresweet.com")</f>
        <v>hiresweet.com</v>
      </c>
      <c r="B342" s="5" t="str">
        <f>IFERROR(__xludf.DUMMYFUNCTION("""COMPUTED_VALUE"""),"humaans.io")</f>
        <v>humaans.io</v>
      </c>
    </row>
    <row r="343">
      <c r="A343" s="5" t="str">
        <f>IFERROR(__xludf.DUMMYFUNCTION("""COMPUTED_VALUE"""),"hiro.so")</f>
        <v>hiro.so</v>
      </c>
      <c r="B343" s="5" t="str">
        <f>IFERROR(__xludf.DUMMYFUNCTION("""COMPUTED_VALUE"""),"humanloop.com")</f>
        <v>humanloop.com</v>
      </c>
    </row>
    <row r="344">
      <c r="A344" s="5" t="str">
        <f>IFERROR(__xludf.DUMMYFUNCTION("""COMPUTED_VALUE"""),"hive.co")</f>
        <v>hive.co</v>
      </c>
      <c r="B344" s="5" t="str">
        <f>IFERROR(__xludf.DUMMYFUNCTION("""COMPUTED_VALUE"""),"humanly.io")</f>
        <v>humanly.io</v>
      </c>
    </row>
    <row r="345">
      <c r="A345" s="5" t="str">
        <f>IFERROR(__xludf.DUMMYFUNCTION("""COMPUTED_VALUE"""),"hona.com")</f>
        <v>hona.com</v>
      </c>
      <c r="B345" s="5" t="str">
        <f>IFERROR(__xludf.DUMMYFUNCTION("""COMPUTED_VALUE"""),"hypercontext.com")</f>
        <v>hypercontext.com</v>
      </c>
    </row>
    <row r="346">
      <c r="A346" s="5" t="str">
        <f>IFERROR(__xludf.DUMMYFUNCTION("""COMPUTED_VALUE"""),"hub.la")</f>
        <v>hub.la</v>
      </c>
      <c r="B346" s="5" t="str">
        <f>IFERROR(__xludf.DUMMYFUNCTION("""COMPUTED_VALUE"""),"hypermile.ai")</f>
        <v>hypermile.ai</v>
      </c>
    </row>
    <row r="347">
      <c r="A347" s="5" t="str">
        <f>IFERROR(__xludf.DUMMYFUNCTION("""COMPUTED_VALUE"""),"hudu.com")</f>
        <v>hudu.com</v>
      </c>
      <c r="B347" s="5" t="str">
        <f>IFERROR(__xludf.DUMMYFUNCTION("""COMPUTED_VALUE"""),"hypotenuse.ai")</f>
        <v>hypotenuse.ai</v>
      </c>
    </row>
    <row r="348">
      <c r="A348" s="5" t="str">
        <f>IFERROR(__xludf.DUMMYFUNCTION("""COMPUTED_VALUE"""),"letshum.com")</f>
        <v>letshum.com</v>
      </c>
      <c r="B348" s="5" t="str">
        <f>IFERROR(__xludf.DUMMYFUNCTION("""COMPUTED_VALUE"""),"iomete.com")</f>
        <v>iomete.com</v>
      </c>
    </row>
    <row r="349">
      <c r="A349" s="5" t="str">
        <f>IFERROR(__xludf.DUMMYFUNCTION("""COMPUTED_VALUE"""),"humaans.io")</f>
        <v>humaans.io</v>
      </c>
      <c r="B349" s="5" t="str">
        <f>IFERROR(__xludf.DUMMYFUNCTION("""COMPUTED_VALUE"""),"impraise.com")</f>
        <v>impraise.com</v>
      </c>
    </row>
    <row r="350">
      <c r="A350" s="5" t="str">
        <f>IFERROR(__xludf.DUMMYFUNCTION("""COMPUTED_VALUE"""),"humanloop.com")</f>
        <v>humanloop.com</v>
      </c>
      <c r="B350" s="5" t="str">
        <f>IFERROR(__xludf.DUMMYFUNCTION("""COMPUTED_VALUE"""),"infracost.io")</f>
        <v>infracost.io</v>
      </c>
    </row>
    <row r="351">
      <c r="A351" s="5" t="str">
        <f>IFERROR(__xludf.DUMMYFUNCTION("""COMPUTED_VALUE"""),"humanly.io")</f>
        <v>humanly.io</v>
      </c>
      <c r="B351" s="5" t="str">
        <f>IFERROR(__xludf.DUMMYFUNCTION("""COMPUTED_VALUE"""),"inklingmarkets.com")</f>
        <v>inklingmarkets.com</v>
      </c>
    </row>
    <row r="352">
      <c r="A352" s="5" t="str">
        <f>IFERROR(__xludf.DUMMYFUNCTION("""COMPUTED_VALUE"""),"hypercontext.com")</f>
        <v>hypercontext.com</v>
      </c>
      <c r="B352" s="5" t="str">
        <f>IFERROR(__xludf.DUMMYFUNCTION("""COMPUTED_VALUE"""),"inokyo.com")</f>
        <v>inokyo.com</v>
      </c>
    </row>
    <row r="353">
      <c r="A353" s="5" t="str">
        <f>IFERROR(__xludf.DUMMYFUNCTION("""COMPUTED_VALUE"""),"hypermile.ai")</f>
        <v>hypermile.ai</v>
      </c>
      <c r="B353" s="5" t="str">
        <f>IFERROR(__xludf.DUMMYFUNCTION("""COMPUTED_VALUE"""),"inscribe.ai")</f>
        <v>inscribe.ai</v>
      </c>
    </row>
    <row r="354">
      <c r="A354" s="5" t="str">
        <f>IFERROR(__xludf.DUMMYFUNCTION("""COMPUTED_VALUE"""),"hypotenuse.ai")</f>
        <v>hypotenuse.ai</v>
      </c>
      <c r="B354" s="5" t="str">
        <f>IFERROR(__xludf.DUMMYFUNCTION("""COMPUTED_VALUE"""),"instrumentl.com")</f>
        <v>instrumentl.com</v>
      </c>
    </row>
    <row r="355">
      <c r="A355" s="5" t="str">
        <f>IFERROR(__xludf.DUMMYFUNCTION("""COMPUTED_VALUE"""),"iomete.com")</f>
        <v>iomete.com</v>
      </c>
      <c r="B355" s="5" t="str">
        <f>IFERROR(__xludf.DUMMYFUNCTION("""COMPUTED_VALUE"""),"invoid.co")</f>
        <v>invoid.co</v>
      </c>
    </row>
    <row r="356">
      <c r="A356" s="5" t="str">
        <f>IFERROR(__xludf.DUMMYFUNCTION("""COMPUTED_VALUE"""),"impraise.com")</f>
        <v>impraise.com</v>
      </c>
      <c r="B356" s="5" t="str">
        <f>IFERROR(__xludf.DUMMYFUNCTION("""COMPUTED_VALUE"""),"iotflows.com")</f>
        <v>iotflows.com</v>
      </c>
    </row>
    <row r="357">
      <c r="A357" s="5" t="str">
        <f>IFERROR(__xludf.DUMMYFUNCTION("""COMPUTED_VALUE"""),"infracost.io")</f>
        <v>infracost.io</v>
      </c>
      <c r="B357" s="5" t="str">
        <f>IFERROR(__xludf.DUMMYFUNCTION("""COMPUTED_VALUE"""),"jopwell.com")</f>
        <v>jopwell.com</v>
      </c>
    </row>
    <row r="358">
      <c r="A358" s="5" t="str">
        <f>IFERROR(__xludf.DUMMYFUNCTION("""COMPUTED_VALUE"""),"inklingmarkets.com")</f>
        <v>inklingmarkets.com</v>
      </c>
      <c r="B358" s="5" t="str">
        <f>IFERROR(__xludf.DUMMYFUNCTION("""COMPUTED_VALUE"""),"journey.io")</f>
        <v>journey.io</v>
      </c>
    </row>
    <row r="359">
      <c r="A359" s="5" t="str">
        <f>IFERROR(__xludf.DUMMYFUNCTION("""COMPUTED_VALUE"""),"inokyo.com")</f>
        <v>inokyo.com</v>
      </c>
      <c r="B359" s="5" t="str">
        <f>IFERROR(__xludf.DUMMYFUNCTION("""COMPUTED_VALUE"""),"jutsoo.com")</f>
        <v>jutsoo.com</v>
      </c>
    </row>
    <row r="360">
      <c r="A360" s="5" t="str">
        <f>IFERROR(__xludf.DUMMYFUNCTION("""COMPUTED_VALUE"""),"inscribe.ai")</f>
        <v>inscribe.ai</v>
      </c>
      <c r="B360" s="5" t="str">
        <f>IFERROR(__xludf.DUMMYFUNCTION("""COMPUTED_VALUE"""),"juzibot.com")</f>
        <v>juzibot.com</v>
      </c>
    </row>
    <row r="361">
      <c r="A361" s="5" t="str">
        <f>IFERROR(__xludf.DUMMYFUNCTION("""COMPUTED_VALUE"""),"instrumentl.com")</f>
        <v>instrumentl.com</v>
      </c>
      <c r="B361" s="5" t="str">
        <f>IFERROR(__xludf.DUMMYFUNCTION("""COMPUTED_VALUE"""),"kalibrr.com")</f>
        <v>kalibrr.com</v>
      </c>
    </row>
    <row r="362">
      <c r="A362" s="5" t="str">
        <f>IFERROR(__xludf.DUMMYFUNCTION("""COMPUTED_VALUE"""),"invoid.co")</f>
        <v>invoid.co</v>
      </c>
      <c r="B362" s="5" t="str">
        <f>IFERROR(__xludf.DUMMYFUNCTION("""COMPUTED_VALUE"""),"kamion.co")</f>
        <v>kamion.co</v>
      </c>
    </row>
    <row r="363">
      <c r="A363" s="5" t="str">
        <f>IFERROR(__xludf.DUMMYFUNCTION("""COMPUTED_VALUE"""),"iotflows.com")</f>
        <v>iotflows.com</v>
      </c>
      <c r="B363" s="5" t="str">
        <f>IFERROR(__xludf.DUMMYFUNCTION("""COMPUTED_VALUE"""),"kaso.ai")</f>
        <v>kaso.ai</v>
      </c>
    </row>
    <row r="364">
      <c r="A364" s="5" t="str">
        <f>IFERROR(__xludf.DUMMYFUNCTION("""COMPUTED_VALUE"""),"jopwell.com")</f>
        <v>jopwell.com</v>
      </c>
      <c r="B364" s="6" t="str">
        <f>IFERROR(__xludf.DUMMYFUNCTION("""COMPUTED_VALUE"""),"keeper.app")</f>
        <v>keeper.app</v>
      </c>
    </row>
    <row r="365">
      <c r="A365" s="5" t="str">
        <f>IFERROR(__xludf.DUMMYFUNCTION("""COMPUTED_VALUE"""),"journey.io")</f>
        <v>journey.io</v>
      </c>
      <c r="B365" s="5" t="str">
        <f>IFERROR(__xludf.DUMMYFUNCTION("""COMPUTED_VALUE"""),"keynua.com")</f>
        <v>keynua.com</v>
      </c>
    </row>
    <row r="366">
      <c r="A366" s="5" t="str">
        <f>IFERROR(__xludf.DUMMYFUNCTION("""COMPUTED_VALUE"""),"jutsoo.com")</f>
        <v>jutsoo.com</v>
      </c>
      <c r="B366" s="5" t="str">
        <f>IFERROR(__xludf.DUMMYFUNCTION("""COMPUTED_VALUE"""),"kimonolabs.com")</f>
        <v>kimonolabs.com</v>
      </c>
    </row>
    <row r="367">
      <c r="A367" s="5" t="str">
        <f>IFERROR(__xludf.DUMMYFUNCTION("""COMPUTED_VALUE"""),"juzibot.com")</f>
        <v>juzibot.com</v>
      </c>
      <c r="B367" s="5" t="str">
        <f>IFERROR(__xludf.DUMMYFUNCTION("""COMPUTED_VALUE"""),"kodexglobal.com")</f>
        <v>kodexglobal.com</v>
      </c>
    </row>
    <row r="368">
      <c r="A368" s="5" t="str">
        <f>IFERROR(__xludf.DUMMYFUNCTION("""COMPUTED_VALUE"""),"kalibrr.com")</f>
        <v>kalibrr.com</v>
      </c>
      <c r="B368" s="6" t="str">
        <f>IFERROR(__xludf.DUMMYFUNCTION("""COMPUTED_VALUE"""),"kombo.dev")</f>
        <v>kombo.dev</v>
      </c>
    </row>
    <row r="369">
      <c r="A369" s="5" t="str">
        <f>IFERROR(__xludf.DUMMYFUNCTION("""COMPUTED_VALUE"""),"kamion.co")</f>
        <v>kamion.co</v>
      </c>
      <c r="B369" s="5" t="str">
        <f>IFERROR(__xludf.DUMMYFUNCTION("""COMPUTED_VALUE"""),"konta.com")</f>
        <v>konta.com</v>
      </c>
    </row>
    <row r="370">
      <c r="A370" s="5" t="str">
        <f>IFERROR(__xludf.DUMMYFUNCTION("""COMPUTED_VALUE"""),"kaso.ai")</f>
        <v>kaso.ai</v>
      </c>
      <c r="B370" s="5" t="str">
        <f>IFERROR(__xludf.DUMMYFUNCTION("""COMPUTED_VALUE"""),"kular.ai")</f>
        <v>kular.ai</v>
      </c>
    </row>
    <row r="371">
      <c r="A371" s="6" t="str">
        <f>IFERROR(__xludf.DUMMYFUNCTION("""COMPUTED_VALUE"""),"keeper.app")</f>
        <v>keeper.app</v>
      </c>
      <c r="B371" s="5" t="str">
        <f>IFERROR(__xludf.DUMMYFUNCTION("""COMPUTED_VALUE"""),"getlago.com")</f>
        <v>getlago.com</v>
      </c>
    </row>
    <row r="372">
      <c r="A372" s="5" t="str">
        <f>IFERROR(__xludf.DUMMYFUNCTION("""COMPUTED_VALUE"""),"keynua.com")</f>
        <v>keynua.com</v>
      </c>
      <c r="B372" s="5" t="str">
        <f>IFERROR(__xludf.DUMMYFUNCTION("""COMPUTED_VALUE"""),"lawyaw.com")</f>
        <v>lawyaw.com</v>
      </c>
    </row>
    <row r="373">
      <c r="A373" s="5" t="str">
        <f>IFERROR(__xludf.DUMMYFUNCTION("""COMPUTED_VALUE"""),"kimonolabs.com")</f>
        <v>kimonolabs.com</v>
      </c>
      <c r="B373" s="5" t="str">
        <f>IFERROR(__xludf.DUMMYFUNCTION("""COMPUTED_VALUE"""),"laylo.com")</f>
        <v>laylo.com</v>
      </c>
    </row>
    <row r="374">
      <c r="A374" s="5" t="str">
        <f>IFERROR(__xludf.DUMMYFUNCTION("""COMPUTED_VALUE"""),"kodexglobal.com")</f>
        <v>kodexglobal.com</v>
      </c>
      <c r="B374" s="5" t="str">
        <f>IFERROR(__xludf.DUMMYFUNCTION("""COMPUTED_VALUE"""),"leadgenius.com")</f>
        <v>leadgenius.com</v>
      </c>
    </row>
    <row r="375">
      <c r="A375" s="6" t="str">
        <f>IFERROR(__xludf.DUMMYFUNCTION("""COMPUTED_VALUE"""),"kombo.dev")</f>
        <v>kombo.dev</v>
      </c>
      <c r="B375" s="5" t="str">
        <f>IFERROR(__xludf.DUMMYFUNCTION("""COMPUTED_VALUE"""),"letterdrop.com")</f>
        <v>letterdrop.com</v>
      </c>
    </row>
    <row r="376">
      <c r="A376" s="5" t="str">
        <f>IFERROR(__xludf.DUMMYFUNCTION("""COMPUTED_VALUE"""),"konta.com")</f>
        <v>konta.com</v>
      </c>
      <c r="B376" s="5" t="str">
        <f>IFERROR(__xludf.DUMMYFUNCTION("""COMPUTED_VALUE"""),"lexter.ai")</f>
        <v>lexter.ai</v>
      </c>
    </row>
    <row r="377">
      <c r="A377" s="5" t="str">
        <f>IFERROR(__xludf.DUMMYFUNCTION("""COMPUTED_VALUE"""),"kular.ai")</f>
        <v>kular.ai</v>
      </c>
      <c r="B377" s="6" t="str">
        <f>IFERROR(__xludf.DUMMYFUNCTION("""COMPUTED_VALUE"""),"leya.law")</f>
        <v>leya.law</v>
      </c>
    </row>
    <row r="378">
      <c r="A378" s="5" t="str">
        <f>IFERROR(__xludf.DUMMYFUNCTION("""COMPUTED_VALUE"""),"getlago.com")</f>
        <v>getlago.com</v>
      </c>
      <c r="B378" s="5" t="str">
        <f>IFERROR(__xludf.DUMMYFUNCTION("""COMPUTED_VALUE"""),"liftigniter.com")</f>
        <v>liftigniter.com</v>
      </c>
    </row>
    <row r="379">
      <c r="A379" s="5" t="str">
        <f>IFERROR(__xludf.DUMMYFUNCTION("""COMPUTED_VALUE"""),"lawyaw.com")</f>
        <v>lawyaw.com</v>
      </c>
      <c r="B379" s="5" t="str">
        <f>IFERROR(__xludf.DUMMYFUNCTION("""COMPUTED_VALUE"""),"linkana.com")</f>
        <v>linkana.com</v>
      </c>
    </row>
    <row r="380">
      <c r="A380" s="5" t="str">
        <f>IFERROR(__xludf.DUMMYFUNCTION("""COMPUTED_VALUE"""),"laylo.com")</f>
        <v>laylo.com</v>
      </c>
      <c r="B380" s="5" t="str">
        <f>IFERROR(__xludf.DUMMYFUNCTION("""COMPUTED_VALUE"""),"liveflow.com")</f>
        <v>liveflow.com</v>
      </c>
    </row>
    <row r="381">
      <c r="A381" s="5" t="str">
        <f>IFERROR(__xludf.DUMMYFUNCTION("""COMPUTED_VALUE"""),"leadgenius.com")</f>
        <v>leadgenius.com</v>
      </c>
      <c r="B381" s="5" t="str">
        <f>IFERROR(__xludf.DUMMYFUNCTION("""COMPUTED_VALUE"""),"boletomovil.com")</f>
        <v>boletomovil.com</v>
      </c>
    </row>
    <row r="382">
      <c r="A382" s="5" t="str">
        <f>IFERROR(__xludf.DUMMYFUNCTION("""COMPUTED_VALUE"""),"letterdrop.com")</f>
        <v>letterdrop.com</v>
      </c>
      <c r="B382" s="5" t="str">
        <f>IFERROR(__xludf.DUMMYFUNCTION("""COMPUTED_VALUE"""),"locent.com")</f>
        <v>locent.com</v>
      </c>
    </row>
    <row r="383">
      <c r="A383" s="5" t="str">
        <f>IFERROR(__xludf.DUMMYFUNCTION("""COMPUTED_VALUE"""),"lexter.ai")</f>
        <v>lexter.ai</v>
      </c>
      <c r="B383" s="5" t="str">
        <f>IFERROR(__xludf.DUMMYFUNCTION("""COMPUTED_VALUE"""),"lumi.com")</f>
        <v>lumi.com</v>
      </c>
    </row>
    <row r="384">
      <c r="A384" s="6" t="str">
        <f>IFERROR(__xludf.DUMMYFUNCTION("""COMPUTED_VALUE"""),"leya.law")</f>
        <v>leya.law</v>
      </c>
      <c r="B384" s="5" t="str">
        <f>IFERROR(__xludf.DUMMYFUNCTION("""COMPUTED_VALUE"""),"lumibot.com")</f>
        <v>lumibot.com</v>
      </c>
    </row>
    <row r="385">
      <c r="A385" s="5" t="str">
        <f>IFERROR(__xludf.DUMMYFUNCTION("""COMPUTED_VALUE"""),"liftigniter.com")</f>
        <v>liftigniter.com</v>
      </c>
      <c r="B385" s="5" t="str">
        <f>IFERROR(__xludf.DUMMYFUNCTION("""COMPUTED_VALUE"""),"luminai.com")</f>
        <v>luminai.com</v>
      </c>
    </row>
    <row r="386">
      <c r="A386" s="5" t="str">
        <f>IFERROR(__xludf.DUMMYFUNCTION("""COMPUTED_VALUE"""),"linkana.com")</f>
        <v>linkana.com</v>
      </c>
      <c r="B386" s="5" t="str">
        <f>IFERROR(__xludf.DUMMYFUNCTION("""COMPUTED_VALUE"""),"lyrebird.ai")</f>
        <v>lyrebird.ai</v>
      </c>
    </row>
    <row r="387">
      <c r="A387" s="5" t="str">
        <f>IFERROR(__xludf.DUMMYFUNCTION("""COMPUTED_VALUE"""),"liveflow.com")</f>
        <v>liveflow.com</v>
      </c>
      <c r="B387" s="5" t="str">
        <f>IFERROR(__xludf.DUMMYFUNCTION("""COMPUTED_VALUE"""),"mach9.ai")</f>
        <v>mach9.ai</v>
      </c>
    </row>
    <row r="388">
      <c r="A388" s="5" t="str">
        <f>IFERROR(__xludf.DUMMYFUNCTION("""COMPUTED_VALUE"""),"boletomovil.com")</f>
        <v>boletomovil.com</v>
      </c>
      <c r="B388" s="5" t="str">
        <f>IFERROR(__xludf.DUMMYFUNCTION("""COMPUTED_VALUE"""),"maderight.com")</f>
        <v>maderight.com</v>
      </c>
    </row>
    <row r="389">
      <c r="A389" s="5" t="str">
        <f>IFERROR(__xludf.DUMMYFUNCTION("""COMPUTED_VALUE"""),"locent.com")</f>
        <v>locent.com</v>
      </c>
      <c r="B389" s="5" t="str">
        <f>IFERROR(__xludf.DUMMYFUNCTION("""COMPUTED_VALUE"""),"mailtime.com")</f>
        <v>mailtime.com</v>
      </c>
    </row>
    <row r="390">
      <c r="A390" s="5" t="str">
        <f>IFERROR(__xludf.DUMMYFUNCTION("""COMPUTED_VALUE"""),"lumi.com")</f>
        <v>lumi.com</v>
      </c>
      <c r="B390" s="5" t="str">
        <f>IFERROR(__xludf.DUMMYFUNCTION("""COMPUTED_VALUE"""),"mailgun.net")</f>
        <v>mailgun.net</v>
      </c>
    </row>
    <row r="391">
      <c r="A391" s="5" t="str">
        <f>IFERROR(__xludf.DUMMYFUNCTION("""COMPUTED_VALUE"""),"lumibot.com")</f>
        <v>lumibot.com</v>
      </c>
      <c r="B391" s="5" t="str">
        <f>IFERROR(__xludf.DUMMYFUNCTION("""COMPUTED_VALUE"""),"makrwatch.com")</f>
        <v>makrwatch.com</v>
      </c>
    </row>
    <row r="392">
      <c r="A392" s="5" t="str">
        <f>IFERROR(__xludf.DUMMYFUNCTION("""COMPUTED_VALUE"""),"luminai.com")</f>
        <v>luminai.com</v>
      </c>
      <c r="B392" s="6" t="str">
        <f>IFERROR(__xludf.DUMMYFUNCTION("""COMPUTED_VALUE"""),"manara.tech")</f>
        <v>manara.tech</v>
      </c>
    </row>
    <row r="393">
      <c r="A393" s="5" t="str">
        <f>IFERROR(__xludf.DUMMYFUNCTION("""COMPUTED_VALUE"""),"lyrebird.ai")</f>
        <v>lyrebird.ai</v>
      </c>
      <c r="B393" s="5" t="str">
        <f>IFERROR(__xludf.DUMMYFUNCTION("""COMPUTED_VALUE"""),"mantys.io")</f>
        <v>mantys.io</v>
      </c>
    </row>
    <row r="394">
      <c r="A394" s="5" t="str">
        <f>IFERROR(__xludf.DUMMYFUNCTION("""COMPUTED_VALUE"""),"mach9.ai")</f>
        <v>mach9.ai</v>
      </c>
      <c r="B394" s="5" t="str">
        <f>IFERROR(__xludf.DUMMYFUNCTION("""COMPUTED_VALUE"""),"mashgin.com")</f>
        <v>mashgin.com</v>
      </c>
    </row>
    <row r="395">
      <c r="A395" s="5" t="str">
        <f>IFERROR(__xludf.DUMMYFUNCTION("""COMPUTED_VALUE"""),"maderight.com")</f>
        <v>maderight.com</v>
      </c>
      <c r="B395" s="5" t="str">
        <f>IFERROR(__xludf.DUMMYFUNCTION("""COMPUTED_VALUE"""),"bymason.com")</f>
        <v>bymason.com</v>
      </c>
    </row>
    <row r="396">
      <c r="A396" s="5" t="str">
        <f>IFERROR(__xludf.DUMMYFUNCTION("""COMPUTED_VALUE"""),"mailtime.com")</f>
        <v>mailtime.com</v>
      </c>
      <c r="B396" s="6" t="str">
        <f>IFERROR(__xludf.DUMMYFUNCTION("""COMPUTED_VALUE"""),"massdriver.cloud")</f>
        <v>massdriver.cloud</v>
      </c>
    </row>
    <row r="397">
      <c r="A397" s="5" t="str">
        <f>IFERROR(__xludf.DUMMYFUNCTION("""COMPUTED_VALUE"""),"mailgun.net")</f>
        <v>mailgun.net</v>
      </c>
      <c r="B397" s="5" t="str">
        <f>IFERROR(__xludf.DUMMYFUNCTION("""COMPUTED_VALUE"""),"mattermark.com")</f>
        <v>mattermark.com</v>
      </c>
    </row>
    <row r="398">
      <c r="A398" s="5" t="str">
        <f>IFERROR(__xludf.DUMMYFUNCTION("""COMPUTED_VALUE"""),"makrwatch.com")</f>
        <v>makrwatch.com</v>
      </c>
      <c r="B398" s="5" t="str">
        <f>IFERROR(__xludf.DUMMYFUNCTION("""COMPUTED_VALUE"""),"mayan.co")</f>
        <v>mayan.co</v>
      </c>
    </row>
    <row r="399">
      <c r="A399" s="6" t="str">
        <f>IFERROR(__xludf.DUMMYFUNCTION("""COMPUTED_VALUE"""),"manara.tech")</f>
        <v>manara.tech</v>
      </c>
      <c r="B399" s="5" t="str">
        <f>IFERROR(__xludf.DUMMYFUNCTION("""COMPUTED_VALUE"""),"getmeadow.com")</f>
        <v>getmeadow.com</v>
      </c>
    </row>
    <row r="400">
      <c r="A400" s="5" t="str">
        <f>IFERROR(__xludf.DUMMYFUNCTION("""COMPUTED_VALUE"""),"mantys.io")</f>
        <v>mantys.io</v>
      </c>
      <c r="B400" s="5" t="str">
        <f>IFERROR(__xludf.DUMMYFUNCTION("""COMPUTED_VALUE"""),"memfault.com")</f>
        <v>memfault.com</v>
      </c>
    </row>
    <row r="401">
      <c r="A401" s="5" t="str">
        <f>IFERROR(__xludf.DUMMYFUNCTION("""COMPUTED_VALUE"""),"mashgin.com")</f>
        <v>mashgin.com</v>
      </c>
      <c r="B401" s="5" t="str">
        <f>IFERROR(__xludf.DUMMYFUNCTION("""COMPUTED_VALUE"""),"usemeru.com")</f>
        <v>usemeru.com</v>
      </c>
    </row>
    <row r="402">
      <c r="A402" s="5" t="str">
        <f>IFERROR(__xludf.DUMMYFUNCTION("""COMPUTED_VALUE"""),"bymason.com")</f>
        <v>bymason.com</v>
      </c>
      <c r="B402" s="5" t="str">
        <f>IFERROR(__xludf.DUMMYFUNCTION("""COMPUTED_VALUE"""),"meru.com")</f>
        <v>meru.com</v>
      </c>
    </row>
    <row r="403">
      <c r="A403" s="6" t="str">
        <f>IFERROR(__xludf.DUMMYFUNCTION("""COMPUTED_VALUE"""),"massdriver.cloud")</f>
        <v>massdriver.cloud</v>
      </c>
      <c r="B403" s="5" t="str">
        <f>IFERROR(__xludf.DUMMYFUNCTION("""COMPUTED_VALUE"""),"mesh.ai")</f>
        <v>mesh.ai</v>
      </c>
    </row>
    <row r="404">
      <c r="A404" s="5" t="str">
        <f>IFERROR(__xludf.DUMMYFUNCTION("""COMPUTED_VALUE"""),"mattermark.com")</f>
        <v>mattermark.com</v>
      </c>
      <c r="B404" s="5" t="str">
        <f>IFERROR(__xludf.DUMMYFUNCTION("""COMPUTED_VALUE"""),"metal.so")</f>
        <v>metal.so</v>
      </c>
    </row>
    <row r="405">
      <c r="A405" s="5" t="str">
        <f>IFERROR(__xludf.DUMMYFUNCTION("""COMPUTED_VALUE"""),"mayan.co")</f>
        <v>mayan.co</v>
      </c>
      <c r="B405" s="6" t="str">
        <f>IFERROR(__xludf.DUMMYFUNCTION("""COMPUTED_VALUE"""),"metaplane.dev")</f>
        <v>metaplane.dev</v>
      </c>
    </row>
    <row r="406">
      <c r="A406" s="5" t="str">
        <f>IFERROR(__xludf.DUMMYFUNCTION("""COMPUTED_VALUE"""),"getmeadow.com")</f>
        <v>getmeadow.com</v>
      </c>
      <c r="B406" s="5" t="str">
        <f>IFERROR(__xludf.DUMMYFUNCTION("""COMPUTED_VALUE"""),"middesk.com")</f>
        <v>middesk.com</v>
      </c>
    </row>
    <row r="407">
      <c r="A407" s="5" t="str">
        <f>IFERROR(__xludf.DUMMYFUNCTION("""COMPUTED_VALUE"""),"memfault.com")</f>
        <v>memfault.com</v>
      </c>
      <c r="B407" s="5" t="str">
        <f>IFERROR(__xludf.DUMMYFUNCTION("""COMPUTED_VALUE"""),"middleware.io")</f>
        <v>middleware.io</v>
      </c>
    </row>
    <row r="408">
      <c r="A408" s="5" t="str">
        <f>IFERROR(__xludf.DUMMYFUNCTION("""COMPUTED_VALUE"""),"usemeru.com")</f>
        <v>usemeru.com</v>
      </c>
      <c r="B408" s="5" t="str">
        <f>IFERROR(__xludf.DUMMYFUNCTION("""COMPUTED_VALUE"""),"miggos.com")</f>
        <v>miggos.com</v>
      </c>
    </row>
    <row r="409">
      <c r="A409" s="5" t="str">
        <f>IFERROR(__xludf.DUMMYFUNCTION("""COMPUTED_VALUE"""),"meru.com")</f>
        <v>meru.com</v>
      </c>
      <c r="B409" s="5" t="str">
        <f>IFERROR(__xludf.DUMMYFUNCTION("""COMPUTED_VALUE"""),"mindfi.co")</f>
        <v>mindfi.co</v>
      </c>
    </row>
    <row r="410">
      <c r="A410" s="5" t="str">
        <f>IFERROR(__xludf.DUMMYFUNCTION("""COMPUTED_VALUE"""),"mesh.ai")</f>
        <v>mesh.ai</v>
      </c>
      <c r="B410" s="5" t="str">
        <f>IFERROR(__xludf.DUMMYFUNCTION("""COMPUTED_VALUE"""),"mindee.com")</f>
        <v>mindee.com</v>
      </c>
    </row>
    <row r="411">
      <c r="A411" s="5" t="str">
        <f>IFERROR(__xludf.DUMMYFUNCTION("""COMPUTED_VALUE"""),"metal.so")</f>
        <v>metal.so</v>
      </c>
      <c r="B411" s="5" t="str">
        <f>IFERROR(__xludf.DUMMYFUNCTION("""COMPUTED_VALUE"""),"mindsdb.com")</f>
        <v>mindsdb.com</v>
      </c>
    </row>
    <row r="412">
      <c r="A412" s="6" t="str">
        <f>IFERROR(__xludf.DUMMYFUNCTION("""COMPUTED_VALUE"""),"metaplane.dev")</f>
        <v>metaplane.dev</v>
      </c>
      <c r="B412" s="5" t="str">
        <f>IFERROR(__xludf.DUMMYFUNCTION("""COMPUTED_VALUE"""),"mintlify.com")</f>
        <v>mintlify.com</v>
      </c>
    </row>
    <row r="413">
      <c r="A413" s="5" t="str">
        <f>IFERROR(__xludf.DUMMYFUNCTION("""COMPUTED_VALUE"""),"middesk.com")</f>
        <v>middesk.com</v>
      </c>
      <c r="B413" s="5" t="str">
        <f>IFERROR(__xludf.DUMMYFUNCTION("""COMPUTED_VALUE"""),"m.io")</f>
        <v>m.io</v>
      </c>
    </row>
    <row r="414">
      <c r="A414" s="5" t="str">
        <f>IFERROR(__xludf.DUMMYFUNCTION("""COMPUTED_VALUE"""),"middleware.io")</f>
        <v>middleware.io</v>
      </c>
      <c r="B414" s="5" t="str">
        <f>IFERROR(__xludf.DUMMYFUNCTION("""COMPUTED_VALUE"""),"mixrank.com")</f>
        <v>mixrank.com</v>
      </c>
    </row>
    <row r="415">
      <c r="A415" s="5" t="str">
        <f>IFERROR(__xludf.DUMMYFUNCTION("""COMPUTED_VALUE"""),"miggos.com")</f>
        <v>miggos.com</v>
      </c>
      <c r="B415" s="5" t="str">
        <f>IFERROR(__xludf.DUMMYFUNCTION("""COMPUTED_VALUE"""),"mobileboost.io")</f>
        <v>mobileboost.io</v>
      </c>
    </row>
    <row r="416">
      <c r="A416" s="5" t="str">
        <f>IFERROR(__xludf.DUMMYFUNCTION("""COMPUTED_VALUE"""),"mindfi.co")</f>
        <v>mindfi.co</v>
      </c>
      <c r="B416" s="5" t="str">
        <f>IFERROR(__xludf.DUMMYFUNCTION("""COMPUTED_VALUE"""),"mobot.io")</f>
        <v>mobot.io</v>
      </c>
    </row>
    <row r="417">
      <c r="A417" s="5" t="str">
        <f>IFERROR(__xludf.DUMMYFUNCTION("""COMPUTED_VALUE"""),"mindee.com")</f>
        <v>mindee.com</v>
      </c>
      <c r="B417" s="5" t="str">
        <f>IFERROR(__xludf.DUMMYFUNCTION("""COMPUTED_VALUE"""),"mobydish.com")</f>
        <v>mobydish.com</v>
      </c>
    </row>
    <row r="418">
      <c r="A418" s="5" t="str">
        <f>IFERROR(__xludf.DUMMYFUNCTION("""COMPUTED_VALUE"""),"mindsdb.com")</f>
        <v>mindsdb.com</v>
      </c>
      <c r="B418" s="5" t="str">
        <f>IFERROR(__xludf.DUMMYFUNCTION("""COMPUTED_VALUE"""),"modalup.com")</f>
        <v>modalup.com</v>
      </c>
    </row>
    <row r="419">
      <c r="A419" s="5" t="str">
        <f>IFERROR(__xludf.DUMMYFUNCTION("""COMPUTED_VALUE"""),"mintlify.com")</f>
        <v>mintlify.com</v>
      </c>
      <c r="B419" s="5" t="str">
        <f>IFERROR(__xludf.DUMMYFUNCTION("""COMPUTED_VALUE"""),"modernloop.io")</f>
        <v>modernloop.io</v>
      </c>
    </row>
    <row r="420">
      <c r="A420" s="5" t="str">
        <f>IFERROR(__xludf.DUMMYFUNCTION("""COMPUTED_VALUE"""),"m.io")</f>
        <v>m.io</v>
      </c>
      <c r="B420" s="5" t="str">
        <f>IFERROR(__xludf.DUMMYFUNCTION("""COMPUTED_VALUE"""),"moltin.com")</f>
        <v>moltin.com</v>
      </c>
    </row>
    <row r="421">
      <c r="A421" s="5" t="str">
        <f>IFERROR(__xludf.DUMMYFUNCTION("""COMPUTED_VALUE"""),"mixrank.com")</f>
        <v>mixrank.com</v>
      </c>
      <c r="B421" s="5" t="str">
        <f>IFERROR(__xludf.DUMMYFUNCTION("""COMPUTED_VALUE"""),"usemotion.com")</f>
        <v>usemotion.com</v>
      </c>
    </row>
    <row r="422">
      <c r="A422" s="5" t="str">
        <f>IFERROR(__xludf.DUMMYFUNCTION("""COMPUTED_VALUE"""),"mobileboost.io")</f>
        <v>mobileboost.io</v>
      </c>
      <c r="B422" s="5" t="str">
        <f>IFERROR(__xludf.DUMMYFUNCTION("""COMPUTED_VALUE"""),"motionlead.com")</f>
        <v>motionlead.com</v>
      </c>
    </row>
    <row r="423">
      <c r="A423" s="5" t="str">
        <f>IFERROR(__xludf.DUMMYFUNCTION("""COMPUTED_VALUE"""),"mobot.io")</f>
        <v>mobot.io</v>
      </c>
      <c r="B423" s="5" t="str">
        <f>IFERROR(__xludf.DUMMYFUNCTION("""COMPUTED_VALUE"""),"mthsense.com")</f>
        <v>mthsense.com</v>
      </c>
    </row>
    <row r="424">
      <c r="A424" s="5" t="str">
        <f>IFERROR(__xludf.DUMMYFUNCTION("""COMPUTED_VALUE"""),"mobydish.com")</f>
        <v>mobydish.com</v>
      </c>
      <c r="B424" s="5" t="str">
        <f>IFERROR(__xludf.DUMMYFUNCTION("""COMPUTED_VALUE"""),"munily.com")</f>
        <v>munily.com</v>
      </c>
    </row>
    <row r="425">
      <c r="A425" s="5" t="str">
        <f>IFERROR(__xludf.DUMMYFUNCTION("""COMPUTED_VALUE"""),"modalup.com")</f>
        <v>modalup.com</v>
      </c>
      <c r="B425" s="5" t="str">
        <f>IFERROR(__xludf.DUMMYFUNCTION("""COMPUTED_VALUE"""),"mutinyhq.com")</f>
        <v>mutinyhq.com</v>
      </c>
    </row>
    <row r="426">
      <c r="A426" s="5" t="str">
        <f>IFERROR(__xludf.DUMMYFUNCTION("""COMPUTED_VALUE"""),"modernloop.io")</f>
        <v>modernloop.io</v>
      </c>
      <c r="B426" s="5" t="str">
        <f>IFERROR(__xludf.DUMMYFUNCTION("""COMPUTED_VALUE"""),"mux.com")</f>
        <v>mux.com</v>
      </c>
    </row>
    <row r="427">
      <c r="A427" s="5" t="str">
        <f>IFERROR(__xludf.DUMMYFUNCTION("""COMPUTED_VALUE"""),"moltin.com")</f>
        <v>moltin.com</v>
      </c>
      <c r="B427" s="5" t="str">
        <f>IFERROR(__xludf.DUMMYFUNCTION("""COMPUTED_VALUE"""),"mypetrolpump.com")</f>
        <v>mypetrolpump.com</v>
      </c>
    </row>
    <row r="428">
      <c r="A428" s="5" t="str">
        <f>IFERROR(__xludf.DUMMYFUNCTION("""COMPUTED_VALUE"""),"usemotion.com")</f>
        <v>usemotion.com</v>
      </c>
      <c r="B428" s="5" t="str">
        <f>IFERROR(__xludf.DUMMYFUNCTION("""COMPUTED_VALUE"""),"mystic.ai")</f>
        <v>mystic.ai</v>
      </c>
    </row>
    <row r="429">
      <c r="A429" s="5" t="str">
        <f>IFERROR(__xludf.DUMMYFUNCTION("""COMPUTED_VALUE"""),"motionlead.com")</f>
        <v>motionlead.com</v>
      </c>
      <c r="B429" s="5" t="str">
        <f>IFERROR(__xludf.DUMMYFUNCTION("""COMPUTED_VALUE"""),"mynamaste.in")</f>
        <v>mynamaste.in</v>
      </c>
    </row>
    <row r="430">
      <c r="A430" s="5" t="str">
        <f>IFERROR(__xludf.DUMMYFUNCTION("""COMPUTED_VALUE"""),"mthsense.com")</f>
        <v>mthsense.com</v>
      </c>
      <c r="B430" s="5" t="str">
        <f>IFERROR(__xludf.DUMMYFUNCTION("""COMPUTED_VALUE"""),"namesandfaces.com")</f>
        <v>namesandfaces.com</v>
      </c>
    </row>
    <row r="431">
      <c r="A431" s="5" t="str">
        <f>IFERROR(__xludf.DUMMYFUNCTION("""COMPUTED_VALUE"""),"munily.com")</f>
        <v>munily.com</v>
      </c>
      <c r="B431" s="5" t="str">
        <f>IFERROR(__xludf.DUMMYFUNCTION("""COMPUTED_VALUE"""),"usenash.com")</f>
        <v>usenash.com</v>
      </c>
    </row>
    <row r="432">
      <c r="A432" s="5" t="str">
        <f>IFERROR(__xludf.DUMMYFUNCTION("""COMPUTED_VALUE"""),"mutinyhq.com")</f>
        <v>mutinyhq.com</v>
      </c>
      <c r="B432" s="5" t="str">
        <f>IFERROR(__xludf.DUMMYFUNCTION("""COMPUTED_VALUE"""),"natero.com")</f>
        <v>natero.com</v>
      </c>
    </row>
    <row r="433">
      <c r="A433" s="5" t="str">
        <f>IFERROR(__xludf.DUMMYFUNCTION("""COMPUTED_VALUE"""),"mux.com")</f>
        <v>mux.com</v>
      </c>
      <c r="B433" s="5" t="str">
        <f>IFERROR(__xludf.DUMMYFUNCTION("""COMPUTED_VALUE"""),"navattic.com")</f>
        <v>navattic.com</v>
      </c>
    </row>
    <row r="434">
      <c r="A434" s="5" t="str">
        <f>IFERROR(__xludf.DUMMYFUNCTION("""COMPUTED_VALUE"""),"mypetrolpump.com")</f>
        <v>mypetrolpump.com</v>
      </c>
      <c r="B434" s="5" t="str">
        <f>IFERROR(__xludf.DUMMYFUNCTION("""COMPUTED_VALUE"""),"neptune.io")</f>
        <v>neptune.io</v>
      </c>
    </row>
    <row r="435">
      <c r="A435" s="5" t="str">
        <f>IFERROR(__xludf.DUMMYFUNCTION("""COMPUTED_VALUE"""),"mystic.ai")</f>
        <v>mystic.ai</v>
      </c>
      <c r="B435" s="5" t="str">
        <f>IFERROR(__xludf.DUMMYFUNCTION("""COMPUTED_VALUE"""),"nestorup.com")</f>
        <v>nestorup.com</v>
      </c>
    </row>
    <row r="436">
      <c r="A436" s="5" t="str">
        <f>IFERROR(__xludf.DUMMYFUNCTION("""COMPUTED_VALUE"""),"mynamaste.in")</f>
        <v>mynamaste.in</v>
      </c>
      <c r="B436" s="5" t="str">
        <f>IFERROR(__xludf.DUMMYFUNCTION("""COMPUTED_VALUE"""),"netbeez.net")</f>
        <v>netbeez.net</v>
      </c>
    </row>
    <row r="437">
      <c r="A437" s="5" t="str">
        <f>IFERROR(__xludf.DUMMYFUNCTION("""COMPUTED_VALUE"""),"namesandfaces.com")</f>
        <v>namesandfaces.com</v>
      </c>
      <c r="B437" s="5" t="str">
        <f>IFERROR(__xludf.DUMMYFUNCTION("""COMPUTED_VALUE"""),"newscatcherapi.com")</f>
        <v>newscatcherapi.com</v>
      </c>
    </row>
    <row r="438">
      <c r="A438" s="5" t="str">
        <f>IFERROR(__xludf.DUMMYFUNCTION("""COMPUTED_VALUE"""),"usenash.com")</f>
        <v>usenash.com</v>
      </c>
      <c r="B438" s="5" t="str">
        <f>IFERROR(__xludf.DUMMYFUNCTION("""COMPUTED_VALUE"""),"nextravel.com")</f>
        <v>nextravel.com</v>
      </c>
    </row>
    <row r="439">
      <c r="A439" s="5" t="str">
        <f>IFERROR(__xludf.DUMMYFUNCTION("""COMPUTED_VALUE"""),"natero.com")</f>
        <v>natero.com</v>
      </c>
      <c r="B439" s="5" t="str">
        <f>IFERROR(__xludf.DUMMYFUNCTION("""COMPUTED_VALUE"""),"nextcaller.com")</f>
        <v>nextcaller.com</v>
      </c>
    </row>
    <row r="440">
      <c r="A440" s="5" t="str">
        <f>IFERROR(__xludf.DUMMYFUNCTION("""COMPUTED_VALUE"""),"navattic.com")</f>
        <v>navattic.com</v>
      </c>
      <c r="B440" s="5" t="str">
        <f>IFERROR(__xludf.DUMMYFUNCTION("""COMPUTED_VALUE"""),"nextmv.io")</f>
        <v>nextmv.io</v>
      </c>
    </row>
    <row r="441">
      <c r="A441" s="5" t="str">
        <f>IFERROR(__xludf.DUMMYFUNCTION("""COMPUTED_VALUE"""),"neptune.io")</f>
        <v>neptune.io</v>
      </c>
      <c r="B441" s="5" t="str">
        <f>IFERROR(__xludf.DUMMYFUNCTION("""COMPUTED_VALUE"""),"benoble.io")</f>
        <v>benoble.io</v>
      </c>
    </row>
    <row r="442">
      <c r="A442" s="5" t="str">
        <f>IFERROR(__xludf.DUMMYFUNCTION("""COMPUTED_VALUE"""),"nestorup.com")</f>
        <v>nestorup.com</v>
      </c>
      <c r="B442" s="5" t="str">
        <f>IFERROR(__xludf.DUMMYFUNCTION("""COMPUTED_VALUE"""),"notabene.id")</f>
        <v>notabene.id</v>
      </c>
    </row>
    <row r="443">
      <c r="A443" s="5" t="str">
        <f>IFERROR(__xludf.DUMMYFUNCTION("""COMPUTED_VALUE"""),"netbeez.net")</f>
        <v>netbeez.net</v>
      </c>
      <c r="B443" s="5" t="str">
        <f>IFERROR(__xludf.DUMMYFUNCTION("""COMPUTED_VALUE"""),"nova.ai")</f>
        <v>nova.ai</v>
      </c>
    </row>
    <row r="444">
      <c r="A444" s="5" t="str">
        <f>IFERROR(__xludf.DUMMYFUNCTION("""COMPUTED_VALUE"""),"newscatcherapi.com")</f>
        <v>newscatcherapi.com</v>
      </c>
      <c r="B444" s="5" t="str">
        <f>IFERROR(__xludf.DUMMYFUNCTION("""COMPUTED_VALUE"""),"numeralhq.com")</f>
        <v>numeralhq.com</v>
      </c>
    </row>
    <row r="445">
      <c r="A445" s="5" t="str">
        <f>IFERROR(__xludf.DUMMYFUNCTION("""COMPUTED_VALUE"""),"nextravel.com")</f>
        <v>nextravel.com</v>
      </c>
      <c r="B445" s="5" t="str">
        <f>IFERROR(__xludf.DUMMYFUNCTION("""COMPUTED_VALUE"""),"odwen.co.in")</f>
        <v>odwen.co.in</v>
      </c>
    </row>
    <row r="446">
      <c r="A446" s="5" t="str">
        <f>IFERROR(__xludf.DUMMYFUNCTION("""COMPUTED_VALUE"""),"nextcaller.com")</f>
        <v>nextcaller.com</v>
      </c>
      <c r="B446" s="5" t="str">
        <f>IFERROR(__xludf.DUMMYFUNCTION("""COMPUTED_VALUE"""),"getofficely.com")</f>
        <v>getofficely.com</v>
      </c>
    </row>
    <row r="447">
      <c r="A447" s="5" t="str">
        <f>IFERROR(__xludf.DUMMYFUNCTION("""COMPUTED_VALUE"""),"nextmv.io")</f>
        <v>nextmv.io</v>
      </c>
      <c r="B447" s="5" t="str">
        <f>IFERROR(__xludf.DUMMYFUNCTION("""COMPUTED_VALUE"""),"en.oico.com.br")</f>
        <v>en.oico.com.br</v>
      </c>
    </row>
    <row r="448">
      <c r="A448" s="5" t="str">
        <f>IFERROR(__xludf.DUMMYFUNCTION("""COMPUTED_VALUE"""),"benoble.io")</f>
        <v>benoble.io</v>
      </c>
      <c r="B448" s="5" t="str">
        <f>IFERROR(__xludf.DUMMYFUNCTION("""COMPUTED_VALUE"""),"okteto.com")</f>
        <v>okteto.com</v>
      </c>
    </row>
    <row r="449">
      <c r="A449" s="5" t="str">
        <f>IFERROR(__xludf.DUMMYFUNCTION("""COMPUTED_VALUE"""),"notabene.id")</f>
        <v>notabene.id</v>
      </c>
      <c r="B449" s="5" t="str">
        <f>IFERROR(__xludf.DUMMYFUNCTION("""COMPUTED_VALUE"""),"olark.com")</f>
        <v>olark.com</v>
      </c>
    </row>
    <row r="450">
      <c r="A450" s="5" t="str">
        <f>IFERROR(__xludf.DUMMYFUNCTION("""COMPUTED_VALUE"""),"nova.ai")</f>
        <v>nova.ai</v>
      </c>
      <c r="B450" s="5" t="str">
        <f>IFERROR(__xludf.DUMMYFUNCTION("""COMPUTED_VALUE"""),"omnivirt.com")</f>
        <v>omnivirt.com</v>
      </c>
    </row>
    <row r="451">
      <c r="A451" s="5" t="str">
        <f>IFERROR(__xludf.DUMMYFUNCTION("""COMPUTED_VALUE"""),"numeralhq.com")</f>
        <v>numeralhq.com</v>
      </c>
      <c r="B451" s="5" t="str">
        <f>IFERROR(__xludf.DUMMYFUNCTION("""COMPUTED_VALUE"""),"onelocal.com")</f>
        <v>onelocal.com</v>
      </c>
    </row>
    <row r="452">
      <c r="A452" s="5" t="str">
        <f>IFERROR(__xludf.DUMMYFUNCTION("""COMPUTED_VALUE"""),"odwen.co.in")</f>
        <v>odwen.co.in</v>
      </c>
      <c r="B452" s="5" t="str">
        <f>IFERROR(__xludf.DUMMYFUNCTION("""COMPUTED_VALUE"""),"onebrief.com")</f>
        <v>onebrief.com</v>
      </c>
    </row>
    <row r="453">
      <c r="A453" s="5" t="str">
        <f>IFERROR(__xludf.DUMMYFUNCTION("""COMPUTED_VALUE"""),"getofficely.com")</f>
        <v>getofficely.com</v>
      </c>
      <c r="B453" s="5" t="str">
        <f>IFERROR(__xludf.DUMMYFUNCTION("""COMPUTED_VALUE"""),"openreplay.com")</f>
        <v>openreplay.com</v>
      </c>
    </row>
    <row r="454">
      <c r="A454" s="5" t="str">
        <f>IFERROR(__xludf.DUMMYFUNCTION("""COMPUTED_VALUE"""),"en.oico.com.br")</f>
        <v>en.oico.com.br</v>
      </c>
      <c r="B454" s="5" t="str">
        <f>IFERROR(__xludf.DUMMYFUNCTION("""COMPUTED_VALUE"""),"optery.com")</f>
        <v>optery.com</v>
      </c>
    </row>
    <row r="455">
      <c r="A455" s="5" t="str">
        <f>IFERROR(__xludf.DUMMYFUNCTION("""COMPUTED_VALUE"""),"okteto.com")</f>
        <v>okteto.com</v>
      </c>
      <c r="B455" s="5" t="str">
        <f>IFERROR(__xludf.DUMMYFUNCTION("""COMPUTED_VALUE"""),"optilly.com")</f>
        <v>optilly.com</v>
      </c>
    </row>
    <row r="456">
      <c r="A456" s="5" t="str">
        <f>IFERROR(__xludf.DUMMYFUNCTION("""COMPUTED_VALUE"""),"olark.com")</f>
        <v>olark.com</v>
      </c>
      <c r="B456" s="6" t="str">
        <f>IFERROR(__xludf.DUMMYFUNCTION("""COMPUTED_VALUE"""),"orbio.earth")</f>
        <v>orbio.earth</v>
      </c>
    </row>
    <row r="457">
      <c r="A457" s="5" t="str">
        <f>IFERROR(__xludf.DUMMYFUNCTION("""COMPUTED_VALUE"""),"omnivirt.com")</f>
        <v>omnivirt.com</v>
      </c>
      <c r="B457" s="5" t="str">
        <f>IFERROR(__xludf.DUMMYFUNCTION("""COMPUTED_VALUE"""),"overview.ai")</f>
        <v>overview.ai</v>
      </c>
    </row>
    <row r="458">
      <c r="A458" s="5" t="str">
        <f>IFERROR(__xludf.DUMMYFUNCTION("""COMPUTED_VALUE"""),"onelocal.com")</f>
        <v>onelocal.com</v>
      </c>
      <c r="B458" s="5" t="str">
        <f>IFERROR(__xludf.DUMMYFUNCTION("""COMPUTED_VALUE"""),"shipoway.com")</f>
        <v>shipoway.com</v>
      </c>
    </row>
    <row r="459">
      <c r="A459" s="5" t="str">
        <f>IFERROR(__xludf.DUMMYFUNCTION("""COMPUTED_VALUE"""),"onebrief.com")</f>
        <v>onebrief.com</v>
      </c>
      <c r="B459" s="5" t="str">
        <f>IFERROR(__xludf.DUMMYFUNCTION("""COMPUTED_VALUE"""),"ownlocal.com")</f>
        <v>ownlocal.com</v>
      </c>
    </row>
    <row r="460">
      <c r="A460" s="5" t="str">
        <f>IFERROR(__xludf.DUMMYFUNCTION("""COMPUTED_VALUE"""),"openreplay.com")</f>
        <v>openreplay.com</v>
      </c>
      <c r="B460" s="5" t="str">
        <f>IFERROR(__xludf.DUMMYFUNCTION("""COMPUTED_VALUE"""),"pachyderm.com")</f>
        <v>pachyderm.com</v>
      </c>
    </row>
    <row r="461">
      <c r="A461" s="5" t="str">
        <f>IFERROR(__xludf.DUMMYFUNCTION("""COMPUTED_VALUE"""),"optery.com")</f>
        <v>optery.com</v>
      </c>
      <c r="B461" s="5" t="str">
        <f>IFERROR(__xludf.DUMMYFUNCTION("""COMPUTED_VALUE"""),"padlet.com")</f>
        <v>padlet.com</v>
      </c>
    </row>
    <row r="462">
      <c r="A462" s="5" t="str">
        <f>IFERROR(__xludf.DUMMYFUNCTION("""COMPUTED_VALUE"""),"optilly.com")</f>
        <v>optilly.com</v>
      </c>
      <c r="B462" s="5" t="str">
        <f>IFERROR(__xludf.DUMMYFUNCTION("""COMPUTED_VALUE"""),"pagelever.com")</f>
        <v>pagelever.com</v>
      </c>
    </row>
    <row r="463">
      <c r="A463" s="6" t="str">
        <f>IFERROR(__xludf.DUMMYFUNCTION("""COMPUTED_VALUE"""),"orbio.earth")</f>
        <v>orbio.earth</v>
      </c>
      <c r="B463" s="5" t="str">
        <f>IFERROR(__xludf.DUMMYFUNCTION("""COMPUTED_VALUE"""),"palenca.com")</f>
        <v>palenca.com</v>
      </c>
    </row>
    <row r="464">
      <c r="A464" s="5" t="str">
        <f>IFERROR(__xludf.DUMMYFUNCTION("""COMPUTED_VALUE"""),"overview.ai")</f>
        <v>overview.ai</v>
      </c>
      <c r="B464" s="5" t="str">
        <f>IFERROR(__xludf.DUMMYFUNCTION("""COMPUTED_VALUE"""),"palettehq.com")</f>
        <v>palettehq.com</v>
      </c>
    </row>
    <row r="465">
      <c r="A465" s="5" t="str">
        <f>IFERROR(__xludf.DUMMYFUNCTION("""COMPUTED_VALUE"""),"shipoway.com")</f>
        <v>shipoway.com</v>
      </c>
      <c r="B465" s="5" t="str">
        <f>IFERROR(__xludf.DUMMYFUNCTION("""COMPUTED_VALUE"""),"paperspace.com")</f>
        <v>paperspace.com</v>
      </c>
    </row>
    <row r="466">
      <c r="A466" s="5" t="str">
        <f>IFERROR(__xludf.DUMMYFUNCTION("""COMPUTED_VALUE"""),"ownlocal.com")</f>
        <v>ownlocal.com</v>
      </c>
      <c r="B466" s="5" t="str">
        <f>IFERROR(__xludf.DUMMYFUNCTION("""COMPUTED_VALUE"""),"useparagon.com")</f>
        <v>useparagon.com</v>
      </c>
    </row>
    <row r="467">
      <c r="A467" s="5" t="str">
        <f>IFERROR(__xludf.DUMMYFUNCTION("""COMPUTED_VALUE"""),"pachyderm.com")</f>
        <v>pachyderm.com</v>
      </c>
      <c r="B467" s="5" t="str">
        <f>IFERROR(__xludf.DUMMYFUNCTION("""COMPUTED_VALUE"""),"parrotsoftware.io")</f>
        <v>parrotsoftware.io</v>
      </c>
    </row>
    <row r="468">
      <c r="A468" s="5" t="str">
        <f>IFERROR(__xludf.DUMMYFUNCTION("""COMPUTED_VALUE"""),"padlet.com")</f>
        <v>padlet.com</v>
      </c>
      <c r="B468" s="5" t="str">
        <f>IFERROR(__xludf.DUMMYFUNCTION("""COMPUTED_VALUE"""),"parse.com")</f>
        <v>parse.com</v>
      </c>
    </row>
    <row r="469">
      <c r="A469" s="5" t="str">
        <f>IFERROR(__xludf.DUMMYFUNCTION("""COMPUTED_VALUE"""),"pagelever.com")</f>
        <v>pagelever.com</v>
      </c>
      <c r="B469" s="5" t="str">
        <f>IFERROR(__xludf.DUMMYFUNCTION("""COMPUTED_VALUE"""),"langchain.com")</f>
        <v>langchain.com</v>
      </c>
    </row>
    <row r="470">
      <c r="A470" s="5" t="str">
        <f>IFERROR(__xludf.DUMMYFUNCTION("""COMPUTED_VALUE"""),"palenca.com")</f>
        <v>palenca.com</v>
      </c>
      <c r="B470" s="5" t="str">
        <f>IFERROR(__xludf.DUMMYFUNCTION("""COMPUTED_VALUE"""),"rox.com")</f>
        <v>rox.com</v>
      </c>
    </row>
    <row r="471">
      <c r="A471" s="5" t="str">
        <f>IFERROR(__xludf.DUMMYFUNCTION("""COMPUTED_VALUE"""),"palettehq.com")</f>
        <v>palettehq.com</v>
      </c>
      <c r="B471" s="5" t="str">
        <f>IFERROR(__xludf.DUMMYFUNCTION("""COMPUTED_VALUE"""),"blockaid.io")</f>
        <v>blockaid.io</v>
      </c>
    </row>
    <row r="472">
      <c r="A472" s="5" t="str">
        <f>IFERROR(__xludf.DUMMYFUNCTION("""COMPUTED_VALUE"""),"paperspace.com")</f>
        <v>paperspace.com</v>
      </c>
      <c r="B472" s="5" t="str">
        <f>IFERROR(__xludf.DUMMYFUNCTION("""COMPUTED_VALUE"""),"blues.io")</f>
        <v>blues.io</v>
      </c>
    </row>
    <row r="473">
      <c r="A473" s="5" t="str">
        <f>IFERROR(__xludf.DUMMYFUNCTION("""COMPUTED_VALUE"""),"useparagon.com")</f>
        <v>useparagon.com</v>
      </c>
      <c r="B473" s="6" t="str">
        <f>IFERROR(__xludf.DUMMYFUNCTION("""COMPUTED_VALUE"""),"breeze.cash")</f>
        <v>breeze.cash</v>
      </c>
    </row>
    <row r="474">
      <c r="A474" s="5" t="str">
        <f>IFERROR(__xludf.DUMMYFUNCTION("""COMPUTED_VALUE"""),"parrotsoftware.io")</f>
        <v>parrotsoftware.io</v>
      </c>
      <c r="B474" s="5" t="str">
        <f>IFERROR(__xludf.DUMMYFUNCTION("""COMPUTED_VALUE"""),"caldera.xyz")</f>
        <v>caldera.xyz</v>
      </c>
    </row>
    <row r="475">
      <c r="A475" s="5" t="str">
        <f>IFERROR(__xludf.DUMMYFUNCTION("""COMPUTED_VALUE"""),"parse.com")</f>
        <v>parse.com</v>
      </c>
      <c r="B475" s="5" t="str">
        <f>IFERROR(__xludf.DUMMYFUNCTION("""COMPUTED_VALUE"""),"canvasapp.com")</f>
        <v>canvasapp.com</v>
      </c>
    </row>
    <row r="476">
      <c r="A476" s="5" t="str">
        <f>IFERROR(__xludf.DUMMYFUNCTION("""COMPUTED_VALUE"""),"langchain.com")</f>
        <v>langchain.com</v>
      </c>
      <c r="B476" s="6" t="str">
        <f>IFERROR(__xludf.DUMMYFUNCTION("""COMPUTED_VALUE"""),"chainguard.dev")</f>
        <v>chainguard.dev</v>
      </c>
    </row>
    <row r="477">
      <c r="A477" s="5" t="str">
        <f>IFERROR(__xludf.DUMMYFUNCTION("""COMPUTED_VALUE"""),"rox.com")</f>
        <v>rox.com</v>
      </c>
      <c r="B477" s="5" t="str">
        <f>IFERROR(__xludf.DUMMYFUNCTION("""COMPUTED_VALUE"""),"chkk.io")</f>
        <v>chkk.io</v>
      </c>
    </row>
    <row r="478">
      <c r="A478" s="5" t="str">
        <f>IFERROR(__xludf.DUMMYFUNCTION("""COMPUTED_VALUE"""),"blockaid.io")</f>
        <v>blockaid.io</v>
      </c>
      <c r="B478" s="6" t="str">
        <f>IFERROR(__xludf.DUMMYFUNCTION("""COMPUTED_VALUE"""),"coana.tech")</f>
        <v>coana.tech</v>
      </c>
    </row>
    <row r="479">
      <c r="A479" s="5" t="str">
        <f>IFERROR(__xludf.DUMMYFUNCTION("""COMPUTED_VALUE"""),"blues.io")</f>
        <v>blues.io</v>
      </c>
      <c r="B479" s="5" t="str">
        <f>IFERROR(__xludf.DUMMYFUNCTION("""COMPUTED_VALUE"""),"cyera.io")</f>
        <v>cyera.io</v>
      </c>
    </row>
    <row r="480">
      <c r="A480" s="6" t="str">
        <f>IFERROR(__xludf.DUMMYFUNCTION("""COMPUTED_VALUE"""),"breeze.cash")</f>
        <v>breeze.cash</v>
      </c>
      <c r="B480" s="6" t="str">
        <f>IFERROR(__xludf.DUMMYFUNCTION("""COMPUTED_VALUE"""),"deno.land")</f>
        <v>deno.land</v>
      </c>
    </row>
    <row r="481">
      <c r="A481" s="5" t="str">
        <f>IFERROR(__xludf.DUMMYFUNCTION("""COMPUTED_VALUE"""),"caldera.xyz")</f>
        <v>caldera.xyz</v>
      </c>
      <c r="B481" s="5" t="str">
        <f>IFERROR(__xludf.DUMMYFUNCTION("""COMPUTED_VALUE"""),"dust.tt")</f>
        <v>dust.tt</v>
      </c>
    </row>
    <row r="482">
      <c r="A482" s="5" t="str">
        <f>IFERROR(__xludf.DUMMYFUNCTION("""COMPUTED_VALUE"""),"canvasapp.com")</f>
        <v>canvasapp.com</v>
      </c>
      <c r="B482" s="6" t="str">
        <f>IFERROR(__xludf.DUMMYFUNCTION("""COMPUTED_VALUE"""),"gadget.dev")</f>
        <v>gadget.dev</v>
      </c>
    </row>
    <row r="483">
      <c r="A483" s="6" t="str">
        <f>IFERROR(__xludf.DUMMYFUNCTION("""COMPUTED_VALUE"""),"chainguard.dev")</f>
        <v>chainguard.dev</v>
      </c>
      <c r="B483" s="5" t="str">
        <f>IFERROR(__xludf.DUMMYFUNCTION("""COMPUTED_VALUE"""),"gladia.io")</f>
        <v>gladia.io</v>
      </c>
    </row>
    <row r="484">
      <c r="A484" s="5" t="str">
        <f>IFERROR(__xludf.DUMMYFUNCTION("""COMPUTED_VALUE"""),"chkk.io")</f>
        <v>chkk.io</v>
      </c>
      <c r="B484" s="5" t="str">
        <f>IFERROR(__xludf.DUMMYFUNCTION("""COMPUTED_VALUE"""),"graphiant.com")</f>
        <v>graphiant.com</v>
      </c>
    </row>
    <row r="485">
      <c r="A485" s="6" t="str">
        <f>IFERROR(__xludf.DUMMYFUNCTION("""COMPUTED_VALUE"""),"coana.tech")</f>
        <v>coana.tech</v>
      </c>
      <c r="B485" s="6" t="str">
        <f>IFERROR(__xludf.DUMMYFUNCTION("""COMPUTED_VALUE"""),"guided.energy")</f>
        <v>guided.energy</v>
      </c>
    </row>
    <row r="486">
      <c r="A486" s="5" t="str">
        <f>IFERROR(__xludf.DUMMYFUNCTION("""COMPUTED_VALUE"""),"cyera.io")</f>
        <v>cyera.io</v>
      </c>
      <c r="B486" s="5" t="str">
        <f>IFERROR(__xludf.DUMMYFUNCTION("""COMPUTED_VALUE"""),"jitx.com")</f>
        <v>jitx.com</v>
      </c>
    </row>
    <row r="487">
      <c r="A487" s="6" t="str">
        <f>IFERROR(__xludf.DUMMYFUNCTION("""COMPUTED_VALUE"""),"deno.land")</f>
        <v>deno.land</v>
      </c>
      <c r="B487" s="5" t="str">
        <f>IFERROR(__xludf.DUMMYFUNCTION("""COMPUTED_VALUE"""),"ledgy.com")</f>
        <v>ledgy.com</v>
      </c>
    </row>
    <row r="488">
      <c r="A488" s="5" t="str">
        <f>IFERROR(__xludf.DUMMYFUNCTION("""COMPUTED_VALUE"""),"dust.tt")</f>
        <v>dust.tt</v>
      </c>
      <c r="B488" s="5" t="str">
        <f>IFERROR(__xludf.DUMMYFUNCTION("""COMPUTED_VALUE"""),"mindy.com")</f>
        <v>mindy.com</v>
      </c>
    </row>
    <row r="489">
      <c r="A489" s="6" t="str">
        <f>IFERROR(__xludf.DUMMYFUNCTION("""COMPUTED_VALUE"""),"gadget.dev")</f>
        <v>gadget.dev</v>
      </c>
      <c r="B489" s="5" t="str">
        <f>IFERROR(__xludf.DUMMYFUNCTION("""COMPUTED_VALUE"""),"n8n.io")</f>
        <v>n8n.io</v>
      </c>
    </row>
    <row r="490">
      <c r="A490" s="5" t="str">
        <f>IFERROR(__xludf.DUMMYFUNCTION("""COMPUTED_VALUE"""),"gladia.io")</f>
        <v>gladia.io</v>
      </c>
      <c r="B490" s="6" t="str">
        <f>IFERROR(__xludf.DUMMYFUNCTION("""COMPUTED_VALUE"""),"oasis.security")</f>
        <v>oasis.security</v>
      </c>
    </row>
    <row r="491">
      <c r="A491" s="5" t="str">
        <f>IFERROR(__xludf.DUMMYFUNCTION("""COMPUTED_VALUE"""),"graphiant.com")</f>
        <v>graphiant.com</v>
      </c>
      <c r="B491" s="5" t="str">
        <f>IFERROR(__xludf.DUMMYFUNCTION("""COMPUTED_VALUE"""),"osohq.com")</f>
        <v>osohq.com</v>
      </c>
    </row>
    <row r="492">
      <c r="A492" s="6" t="str">
        <f>IFERROR(__xludf.DUMMYFUNCTION("""COMPUTED_VALUE"""),"guided.energy")</f>
        <v>guided.energy</v>
      </c>
      <c r="B492" s="5" t="str">
        <f>IFERROR(__xludf.DUMMYFUNCTION("""COMPUTED_VALUE"""),"ottofinance.io")</f>
        <v>ottofinance.io</v>
      </c>
    </row>
    <row r="493">
      <c r="A493" s="5" t="str">
        <f>IFERROR(__xludf.DUMMYFUNCTION("""COMPUTED_VALUE"""),"jitx.com")</f>
        <v>jitx.com</v>
      </c>
      <c r="B493" s="5" t="str">
        <f>IFERROR(__xludf.DUMMYFUNCTION("""COMPUTED_VALUE"""),"popsink.com")</f>
        <v>popsink.com</v>
      </c>
    </row>
    <row r="494">
      <c r="A494" s="5" t="str">
        <f>IFERROR(__xludf.DUMMYFUNCTION("""COMPUTED_VALUE"""),"ledgy.com")</f>
        <v>ledgy.com</v>
      </c>
      <c r="B494" s="5" t="str">
        <f>IFERROR(__xludf.DUMMYFUNCTION("""COMPUTED_VALUE"""),"prelude.org")</f>
        <v>prelude.org</v>
      </c>
    </row>
    <row r="495">
      <c r="A495" s="5" t="str">
        <f>IFERROR(__xludf.DUMMYFUNCTION("""COMPUTED_VALUE"""),"mindy.com")</f>
        <v>mindy.com</v>
      </c>
      <c r="B495" s="5" t="str">
        <f>IFERROR(__xludf.DUMMYFUNCTION("""COMPUTED_VALUE"""),"privy.io")</f>
        <v>privy.io</v>
      </c>
    </row>
    <row r="496">
      <c r="A496" s="5" t="str">
        <f>IFERROR(__xludf.DUMMYFUNCTION("""COMPUTED_VALUE"""),"n8n.io")</f>
        <v>n8n.io</v>
      </c>
      <c r="B496" s="5" t="str">
        <f>IFERROR(__xludf.DUMMYFUNCTION("""COMPUTED_VALUE"""),"querypal.com")</f>
        <v>querypal.com</v>
      </c>
    </row>
    <row r="497">
      <c r="A497" s="6" t="str">
        <f>IFERROR(__xludf.DUMMYFUNCTION("""COMPUTED_VALUE"""),"oasis.security")</f>
        <v>oasis.security</v>
      </c>
      <c r="B497" s="6" t="str">
        <f>IFERROR(__xludf.DUMMYFUNCTION("""COMPUTED_VALUE"""),"quilt.app")</f>
        <v>quilt.app</v>
      </c>
    </row>
    <row r="498">
      <c r="A498" s="5" t="str">
        <f>IFERROR(__xludf.DUMMYFUNCTION("""COMPUTED_VALUE"""),"osohq.com")</f>
        <v>osohq.com</v>
      </c>
      <c r="B498" s="5" t="str">
        <f>IFERROR(__xludf.DUMMYFUNCTION("""COMPUTED_VALUE"""),"landing.rabbitx.io")</f>
        <v>landing.rabbitx.io</v>
      </c>
    </row>
    <row r="499">
      <c r="A499" s="5" t="str">
        <f>IFERROR(__xludf.DUMMYFUNCTION("""COMPUTED_VALUE"""),"ottofinance.io")</f>
        <v>ottofinance.io</v>
      </c>
      <c r="B499" s="5" t="str">
        <f>IFERROR(__xludf.DUMMYFUNCTION("""COMPUTED_VALUE"""),"replicate.com")</f>
        <v>replicate.com</v>
      </c>
    </row>
    <row r="500">
      <c r="A500" s="5" t="str">
        <f>IFERROR(__xludf.DUMMYFUNCTION("""COMPUTED_VALUE"""),"popsink.com")</f>
        <v>popsink.com</v>
      </c>
      <c r="B500" s="5" t="str">
        <f>IFERROR(__xludf.DUMMYFUNCTION("""COMPUTED_VALUE"""),"squint.ai")</f>
        <v>squint.ai</v>
      </c>
    </row>
    <row r="501">
      <c r="A501" s="5" t="str">
        <f>IFERROR(__xludf.DUMMYFUNCTION("""COMPUTED_VALUE"""),"prelude.org")</f>
        <v>prelude.org</v>
      </c>
      <c r="B501" s="5" t="str">
        <f>IFERROR(__xludf.DUMMYFUNCTION("""COMPUTED_VALUE"""),"turnkey.io")</f>
        <v>turnkey.io</v>
      </c>
    </row>
    <row r="502">
      <c r="A502" s="5" t="str">
        <f>IFERROR(__xludf.DUMMYFUNCTION("""COMPUTED_VALUE"""),"privy.io")</f>
        <v>privy.io</v>
      </c>
      <c r="B502" s="5" t="str">
        <f>IFERROR(__xludf.DUMMYFUNCTION("""COMPUTED_VALUE"""),"twain.ai")</f>
        <v>twain.ai</v>
      </c>
    </row>
    <row r="503">
      <c r="A503" s="5" t="str">
        <f>IFERROR(__xludf.DUMMYFUNCTION("""COMPUTED_VALUE"""),"querypal.com")</f>
        <v>querypal.com</v>
      </c>
      <c r="B503" s="5" t="str">
        <f>IFERROR(__xludf.DUMMYFUNCTION("""COMPUTED_VALUE"""),"zeet.co")</f>
        <v>zeet.co</v>
      </c>
    </row>
    <row r="504">
      <c r="A504" s="6" t="str">
        <f>IFERROR(__xludf.DUMMYFUNCTION("""COMPUTED_VALUE"""),"quilt.app")</f>
        <v>quilt.app</v>
      </c>
      <c r="B504" s="5" t="str">
        <f>IFERROR(__xludf.DUMMYFUNCTION("""COMPUTED_VALUE"""),"stainlessapi.com")</f>
        <v>stainlessapi.com</v>
      </c>
    </row>
    <row r="505">
      <c r="A505" s="5" t="str">
        <f>IFERROR(__xludf.DUMMYFUNCTION("""COMPUTED_VALUE"""),"landing.rabbitx.io")</f>
        <v>landing.rabbitx.io</v>
      </c>
      <c r="B505" s="5" t="str">
        <f>IFERROR(__xludf.DUMMYFUNCTION("""COMPUTED_VALUE"""),"stairwell.com")</f>
        <v>stairwell.com</v>
      </c>
    </row>
    <row r="506">
      <c r="A506" s="5" t="str">
        <f>IFERROR(__xludf.DUMMYFUNCTION("""COMPUTED_VALUE"""),"replicate.com")</f>
        <v>replicate.com</v>
      </c>
      <c r="B506" s="6" t="str">
        <f>IFERROR(__xludf.DUMMYFUNCTION("""COMPUTED_VALUE"""),"agency.inc")</f>
        <v>agency.inc</v>
      </c>
    </row>
    <row r="507">
      <c r="A507" s="5" t="str">
        <f>IFERROR(__xludf.DUMMYFUNCTION("""COMPUTED_VALUE"""),"squint.ai")</f>
        <v>squint.ai</v>
      </c>
      <c r="B507" s="5" t="str">
        <f>IFERROR(__xludf.DUMMYFUNCTION("""COMPUTED_VALUE"""),"cove.ai")</f>
        <v>cove.ai</v>
      </c>
    </row>
    <row r="508">
      <c r="A508" s="5" t="str">
        <f>IFERROR(__xludf.DUMMYFUNCTION("""COMPUTED_VALUE"""),"turnkey.io")</f>
        <v>turnkey.io</v>
      </c>
      <c r="B508" s="5" t="str">
        <f>IFERROR(__xludf.DUMMYFUNCTION("""COMPUTED_VALUE"""),"cybersyn.com")</f>
        <v>cybersyn.com</v>
      </c>
    </row>
    <row r="509">
      <c r="A509" s="5" t="str">
        <f>IFERROR(__xludf.DUMMYFUNCTION("""COMPUTED_VALUE"""),"twain.ai")</f>
        <v>twain.ai</v>
      </c>
      <c r="B509" s="5" t="str">
        <f>IFERROR(__xludf.DUMMYFUNCTION("""COMPUTED_VALUE"""),"day.ai")</f>
        <v>day.ai</v>
      </c>
    </row>
    <row r="510">
      <c r="A510" s="5" t="str">
        <f>IFERROR(__xludf.DUMMYFUNCTION("""COMPUTED_VALUE"""),"zeet.co")</f>
        <v>zeet.co</v>
      </c>
      <c r="B510" s="5" t="str">
        <f>IFERROR(__xludf.DUMMYFUNCTION("""COMPUTED_VALUE"""),"edxmarkets.com")</f>
        <v>edxmarkets.com</v>
      </c>
    </row>
    <row r="511">
      <c r="A511" s="5" t="str">
        <f>IFERROR(__xludf.DUMMYFUNCTION("""COMPUTED_VALUE"""),"stainlessapi.com")</f>
        <v>stainlessapi.com</v>
      </c>
      <c r="B511" s="6" t="str">
        <f>IFERROR(__xludf.DUMMYFUNCTION("""COMPUTED_VALUE"""),"evy.eu")</f>
        <v>evy.eu</v>
      </c>
    </row>
    <row r="512">
      <c r="A512" s="5" t="str">
        <f>IFERROR(__xludf.DUMMYFUNCTION("""COMPUTED_VALUE"""),"stairwell.com")</f>
        <v>stairwell.com</v>
      </c>
      <c r="B512" s="5" t="str">
        <f>IFERROR(__xludf.DUMMYFUNCTION("""COMPUTED_VALUE"""),"factory.ai")</f>
        <v>factory.ai</v>
      </c>
    </row>
    <row r="513">
      <c r="A513" s="6" t="str">
        <f>IFERROR(__xludf.DUMMYFUNCTION("""COMPUTED_VALUE"""),"agency.inc")</f>
        <v>agency.inc</v>
      </c>
      <c r="B513" s="5" t="str">
        <f>IFERROR(__xludf.DUMMYFUNCTION("""COMPUTED_VALUE"""),"faraway.gg")</f>
        <v>faraway.gg</v>
      </c>
    </row>
    <row r="514">
      <c r="A514" s="5" t="str">
        <f>IFERROR(__xludf.DUMMYFUNCTION("""COMPUTED_VALUE"""),"cove.ai")</f>
        <v>cove.ai</v>
      </c>
      <c r="B514" s="6" t="str">
        <f>IFERROR(__xludf.DUMMYFUNCTION("""COMPUTED_VALUE"""),"fides.technology")</f>
        <v>fides.technology</v>
      </c>
    </row>
    <row r="515">
      <c r="A515" s="5" t="str">
        <f>IFERROR(__xludf.DUMMYFUNCTION("""COMPUTED_VALUE"""),"cybersyn.com")</f>
        <v>cybersyn.com</v>
      </c>
      <c r="B515" s="5" t="str">
        <f>IFERROR(__xludf.DUMMYFUNCTION("""COMPUTED_VALUE"""),"filecoin.io")</f>
        <v>filecoin.io</v>
      </c>
    </row>
    <row r="516">
      <c r="A516" s="5" t="str">
        <f>IFERROR(__xludf.DUMMYFUNCTION("""COMPUTED_VALUE"""),"day.ai")</f>
        <v>day.ai</v>
      </c>
      <c r="B516" s="5" t="str">
        <f>IFERROR(__xludf.DUMMYFUNCTION("""COMPUTED_VALUE"""),"mlfoundry.com")</f>
        <v>mlfoundry.com</v>
      </c>
    </row>
    <row r="517">
      <c r="A517" s="5" t="str">
        <f>IFERROR(__xludf.DUMMYFUNCTION("""COMPUTED_VALUE"""),"edxmarkets.com")</f>
        <v>edxmarkets.com</v>
      </c>
      <c r="B517" s="6" t="str">
        <f>IFERROR(__xludf.DUMMYFUNCTION("""COMPUTED_VALUE"""),"ironfish.network")</f>
        <v>ironfish.network</v>
      </c>
    </row>
    <row r="518">
      <c r="A518" s="6" t="str">
        <f>IFERROR(__xludf.DUMMYFUNCTION("""COMPUTED_VALUE"""),"evy.eu")</f>
        <v>evy.eu</v>
      </c>
      <c r="B518" s="5" t="str">
        <f>IFERROR(__xludf.DUMMYFUNCTION("""COMPUTED_VALUE"""),"liquidmetal.ai")</f>
        <v>liquidmetal.ai</v>
      </c>
    </row>
    <row r="519">
      <c r="A519" s="5" t="str">
        <f>IFERROR(__xludf.DUMMYFUNCTION("""COMPUTED_VALUE"""),"factory.ai")</f>
        <v>factory.ai</v>
      </c>
      <c r="B519" s="5" t="str">
        <f>IFERROR(__xludf.DUMMYFUNCTION("""COMPUTED_VALUE"""),"lugg.com")</f>
        <v>lugg.com</v>
      </c>
    </row>
    <row r="520">
      <c r="A520" s="5" t="str">
        <f>IFERROR(__xludf.DUMMYFUNCTION("""COMPUTED_VALUE"""),"faraway.gg")</f>
        <v>faraway.gg</v>
      </c>
      <c r="B520" s="5" t="str">
        <f>IFERROR(__xludf.DUMMYFUNCTION("""COMPUTED_VALUE"""),"monad.com")</f>
        <v>monad.com</v>
      </c>
    </row>
    <row r="521">
      <c r="A521" s="6" t="str">
        <f>IFERROR(__xludf.DUMMYFUNCTION("""COMPUTED_VALUE"""),"fides.technology")</f>
        <v>fides.technology</v>
      </c>
      <c r="B521" s="5" t="str">
        <f>IFERROR(__xludf.DUMMYFUNCTION("""COMPUTED_VALUE"""),"nsave.com")</f>
        <v>nsave.com</v>
      </c>
    </row>
    <row r="522">
      <c r="A522" s="5" t="str">
        <f>IFERROR(__xludf.DUMMYFUNCTION("""COMPUTED_VALUE"""),"filecoin.io")</f>
        <v>filecoin.io</v>
      </c>
      <c r="B522" s="5" t="str">
        <f>IFERROR(__xludf.DUMMYFUNCTION("""COMPUTED_VALUE"""),"getopen.com")</f>
        <v>getopen.com</v>
      </c>
    </row>
    <row r="523">
      <c r="A523" s="5" t="str">
        <f>IFERROR(__xludf.DUMMYFUNCTION("""COMPUTED_VALUE"""),"mlfoundry.com")</f>
        <v>mlfoundry.com</v>
      </c>
      <c r="B523" s="5" t="str">
        <f>IFERROR(__xludf.DUMMYFUNCTION("""COMPUTED_VALUE"""),"parallel.fi")</f>
        <v>parallel.fi</v>
      </c>
    </row>
    <row r="524">
      <c r="A524" s="6" t="str">
        <f>IFERROR(__xludf.DUMMYFUNCTION("""COMPUTED_VALUE"""),"ironfish.network")</f>
        <v>ironfish.network</v>
      </c>
      <c r="B524" s="6" t="str">
        <f>IFERROR(__xludf.DUMMYFUNCTION("""COMPUTED_VALUE"""),"pydantic.dev")</f>
        <v>pydantic.dev</v>
      </c>
    </row>
    <row r="525">
      <c r="A525" s="5" t="str">
        <f>IFERROR(__xludf.DUMMYFUNCTION("""COMPUTED_VALUE"""),"liquidmetal.ai")</f>
        <v>liquidmetal.ai</v>
      </c>
      <c r="B525" s="5" t="str">
        <f>IFERROR(__xludf.DUMMYFUNCTION("""COMPUTED_VALUE"""),"releasehub.com")</f>
        <v>releasehub.com</v>
      </c>
    </row>
    <row r="526">
      <c r="A526" s="5" t="str">
        <f>IFERROR(__xludf.DUMMYFUNCTION("""COMPUTED_VALUE"""),"lugg.com")</f>
        <v>lugg.com</v>
      </c>
      <c r="B526" s="5" t="str">
        <f>IFERROR(__xludf.DUMMYFUNCTION("""COMPUTED_VALUE"""),"revmap.com")</f>
        <v>revmap.com</v>
      </c>
    </row>
    <row r="527">
      <c r="A527" s="5" t="str">
        <f>IFERROR(__xludf.DUMMYFUNCTION("""COMPUTED_VALUE"""),"monad.com")</f>
        <v>monad.com</v>
      </c>
      <c r="B527" s="5" t="str">
        <f>IFERROR(__xludf.DUMMYFUNCTION("""COMPUTED_VALUE"""),"gotelescope.ai")</f>
        <v>gotelescope.ai</v>
      </c>
    </row>
    <row r="528">
      <c r="A528" s="5" t="str">
        <f>IFERROR(__xludf.DUMMYFUNCTION("""COMPUTED_VALUE"""),"nsave.com")</f>
        <v>nsave.com</v>
      </c>
      <c r="B528" s="5" t="str">
        <f>IFERROR(__xludf.DUMMYFUNCTION("""COMPUTED_VALUE"""),"gotitus.com")</f>
        <v>gotitus.com</v>
      </c>
    </row>
    <row r="529">
      <c r="A529" s="5" t="str">
        <f>IFERROR(__xludf.DUMMYFUNCTION("""COMPUTED_VALUE"""),"getopen.com")</f>
        <v>getopen.com</v>
      </c>
      <c r="B529" s="6" t="str">
        <f>IFERROR(__xludf.DUMMYFUNCTION("""COMPUTED_VALUE"""),"two.inc")</f>
        <v>two.inc</v>
      </c>
    </row>
    <row r="530">
      <c r="A530" s="5" t="str">
        <f>IFERROR(__xludf.DUMMYFUNCTION("""COMPUTED_VALUE"""),"parallel.fi")</f>
        <v>parallel.fi</v>
      </c>
      <c r="B530" s="5" t="str">
        <f>IFERROR(__xludf.DUMMYFUNCTION("""COMPUTED_VALUE"""),"surein.de")</f>
        <v>surein.de</v>
      </c>
    </row>
    <row r="531">
      <c r="A531" s="6" t="str">
        <f>IFERROR(__xludf.DUMMYFUNCTION("""COMPUTED_VALUE"""),"pydantic.dev")</f>
        <v>pydantic.dev</v>
      </c>
      <c r="B531" s="5" t="str">
        <f>IFERROR(__xludf.DUMMYFUNCTION("""COMPUTED_VALUE"""),"synativ.com")</f>
        <v>synativ.com</v>
      </c>
    </row>
    <row r="532">
      <c r="A532" s="5" t="str">
        <f>IFERROR(__xludf.DUMMYFUNCTION("""COMPUTED_VALUE"""),"releasehub.com")</f>
        <v>releasehub.com</v>
      </c>
      <c r="B532" s="5" t="str">
        <f>IFERROR(__xludf.DUMMYFUNCTION("""COMPUTED_VALUE"""),"tavus.io")</f>
        <v>tavus.io</v>
      </c>
    </row>
    <row r="533">
      <c r="A533" s="5" t="str">
        <f>IFERROR(__xludf.DUMMYFUNCTION("""COMPUTED_VALUE"""),"revmap.com")</f>
        <v>revmap.com</v>
      </c>
      <c r="B533" s="5" t="str">
        <f>IFERROR(__xludf.DUMMYFUNCTION("""COMPUTED_VALUE"""),"xbow.com")</f>
        <v>xbow.com</v>
      </c>
    </row>
    <row r="534">
      <c r="A534" s="5" t="str">
        <f>IFERROR(__xludf.DUMMYFUNCTION("""COMPUTED_VALUE"""),"gotelescope.ai")</f>
        <v>gotelescope.ai</v>
      </c>
      <c r="B534" s="5" t="str">
        <f>IFERROR(__xludf.DUMMYFUNCTION("""COMPUTED_VALUE"""),"airtop.ai")</f>
        <v>airtop.ai</v>
      </c>
    </row>
    <row r="535">
      <c r="A535" s="5" t="str">
        <f>IFERROR(__xludf.DUMMYFUNCTION("""COMPUTED_VALUE"""),"gotitus.com")</f>
        <v>gotitus.com</v>
      </c>
      <c r="B535" s="5" t="str">
        <f>IFERROR(__xludf.DUMMYFUNCTION("""COMPUTED_VALUE"""),"tiplink.io")</f>
        <v>tiplink.io</v>
      </c>
    </row>
    <row r="536">
      <c r="A536" s="6" t="str">
        <f>IFERROR(__xludf.DUMMYFUNCTION("""COMPUTED_VALUE"""),"two.inc")</f>
        <v>two.inc</v>
      </c>
      <c r="B536" s="5" t="str">
        <f>IFERROR(__xludf.DUMMYFUNCTION("""COMPUTED_VALUE"""),"akeero.com")</f>
        <v>akeero.com</v>
      </c>
    </row>
    <row r="537">
      <c r="A537" s="5" t="str">
        <f>IFERROR(__xludf.DUMMYFUNCTION("""COMPUTED_VALUE"""),"surein.de")</f>
        <v>surein.de</v>
      </c>
      <c r="B537" s="6" t="str">
        <f>IFERROR(__xludf.DUMMYFUNCTION("""COMPUTED_VALUE"""),"thecommons.earth")</f>
        <v>thecommons.earth</v>
      </c>
    </row>
    <row r="538">
      <c r="A538" s="5" t="str">
        <f>IFERROR(__xludf.DUMMYFUNCTION("""COMPUTED_VALUE"""),"synativ.com")</f>
        <v>synativ.com</v>
      </c>
      <c r="B538" s="5" t="str">
        <f>IFERROR(__xludf.DUMMYFUNCTION("""COMPUTED_VALUE"""),"wearecurie.ai")</f>
        <v>wearecurie.ai</v>
      </c>
    </row>
    <row r="539">
      <c r="A539" s="5" t="str">
        <f>IFERROR(__xludf.DUMMYFUNCTION("""COMPUTED_VALUE"""),"tavus.io")</f>
        <v>tavus.io</v>
      </c>
      <c r="B539" s="5" t="str">
        <f>IFERROR(__xludf.DUMMYFUNCTION("""COMPUTED_VALUE"""),"genedit.com")</f>
        <v>genedit.com</v>
      </c>
    </row>
    <row r="540">
      <c r="A540" s="5" t="str">
        <f>IFERROR(__xludf.DUMMYFUNCTION("""COMPUTED_VALUE"""),"xbow.com")</f>
        <v>xbow.com</v>
      </c>
      <c r="B540" s="5" t="str">
        <f>IFERROR(__xludf.DUMMYFUNCTION("""COMPUTED_VALUE"""),"gridware.io")</f>
        <v>gridware.io</v>
      </c>
    </row>
    <row r="541">
      <c r="A541" s="5" t="str">
        <f>IFERROR(__xludf.DUMMYFUNCTION("""COMPUTED_VALUE"""),"airtop.ai")</f>
        <v>airtop.ai</v>
      </c>
      <c r="B541" s="5" t="str">
        <f>IFERROR(__xludf.DUMMYFUNCTION("""COMPUTED_VALUE"""),"iambic.ai")</f>
        <v>iambic.ai</v>
      </c>
    </row>
    <row r="542">
      <c r="A542" s="5" t="str">
        <f>IFERROR(__xludf.DUMMYFUNCTION("""COMPUTED_VALUE"""),"tiplink.io")</f>
        <v>tiplink.io</v>
      </c>
      <c r="B542" s="5" t="str">
        <f>IFERROR(__xludf.DUMMYFUNCTION("""COMPUTED_VALUE"""),"kalshi.com")</f>
        <v>kalshi.com</v>
      </c>
    </row>
    <row r="543">
      <c r="A543" s="5" t="str">
        <f>IFERROR(__xludf.DUMMYFUNCTION("""COMPUTED_VALUE"""),"akeero.com")</f>
        <v>akeero.com</v>
      </c>
      <c r="B543" s="5" t="str">
        <f>IFERROR(__xludf.DUMMYFUNCTION("""COMPUTED_VALUE"""),"upway.co")</f>
        <v>upway.co</v>
      </c>
    </row>
    <row r="544">
      <c r="A544" s="6" t="str">
        <f>IFERROR(__xludf.DUMMYFUNCTION("""COMPUTED_VALUE"""),"thecommons.earth")</f>
        <v>thecommons.earth</v>
      </c>
      <c r="B544" s="5" t="str">
        <f>IFERROR(__xludf.DUMMYFUNCTION("""COMPUTED_VALUE"""),"visualelectric.com")</f>
        <v>visualelectric.com</v>
      </c>
    </row>
    <row r="545">
      <c r="A545" s="5" t="str">
        <f>IFERROR(__xludf.DUMMYFUNCTION("""COMPUTED_VALUE"""),"wearecurie.ai")</f>
        <v>wearecurie.ai</v>
      </c>
      <c r="B545" s="5" t="str">
        <f>IFERROR(__xludf.DUMMYFUNCTION("""COMPUTED_VALUE"""),"zafran.io")</f>
        <v>zafran.io</v>
      </c>
    </row>
    <row r="546">
      <c r="A546" s="5" t="str">
        <f>IFERROR(__xludf.DUMMYFUNCTION("""COMPUTED_VALUE"""),"genedit.com")</f>
        <v>genedit.com</v>
      </c>
      <c r="B546" s="5" t="str">
        <f>IFERROR(__xludf.DUMMYFUNCTION("""COMPUTED_VALUE"""),"summerhealth.com")</f>
        <v>summerhealth.com</v>
      </c>
    </row>
    <row r="547">
      <c r="A547" s="5" t="str">
        <f>IFERROR(__xludf.DUMMYFUNCTION("""COMPUTED_VALUE"""),"gridware.io")</f>
        <v>gridware.io</v>
      </c>
      <c r="B547" s="6" t="str">
        <f>IFERROR(__xludf.DUMMYFUNCTION("""COMPUTED_VALUE"""),"arcwise.app")</f>
        <v>arcwise.app</v>
      </c>
    </row>
    <row r="548">
      <c r="A548" s="5" t="str">
        <f>IFERROR(__xludf.DUMMYFUNCTION("""COMPUTED_VALUE"""),"iambic.ai")</f>
        <v>iambic.ai</v>
      </c>
      <c r="B548" s="5" t="str">
        <f>IFERROR(__xludf.DUMMYFUNCTION("""COMPUTED_VALUE"""),"joinhallway.com")</f>
        <v>joinhallway.com</v>
      </c>
    </row>
    <row r="549">
      <c r="A549" s="5" t="str">
        <f>IFERROR(__xludf.DUMMYFUNCTION("""COMPUTED_VALUE"""),"kalshi.com")</f>
        <v>kalshi.com</v>
      </c>
      <c r="B549" s="6" t="str">
        <f>IFERROR(__xludf.DUMMYFUNCTION("""COMPUTED_VALUE"""),"pace.group")</f>
        <v>pace.group</v>
      </c>
    </row>
    <row r="550">
      <c r="A550" s="5" t="str">
        <f>IFERROR(__xludf.DUMMYFUNCTION("""COMPUTED_VALUE"""),"upway.co")</f>
        <v>upway.co</v>
      </c>
      <c r="B550" s="5" t="str">
        <f>IFERROR(__xludf.DUMMYFUNCTION("""COMPUTED_VALUE"""),"rift.com")</f>
        <v>rift.com</v>
      </c>
    </row>
    <row r="551">
      <c r="A551" s="5" t="str">
        <f>IFERROR(__xludf.DUMMYFUNCTION("""COMPUTED_VALUE"""),"visualelectric.com")</f>
        <v>visualelectric.com</v>
      </c>
      <c r="B551" s="5" t="str">
        <f>IFERROR(__xludf.DUMMYFUNCTION("""COMPUTED_VALUE"""),"safara.com")</f>
        <v>safara.com</v>
      </c>
    </row>
    <row r="552">
      <c r="A552" s="5" t="str">
        <f>IFERROR(__xludf.DUMMYFUNCTION("""COMPUTED_VALUE"""),"zafran.io")</f>
        <v>zafran.io</v>
      </c>
      <c r="B552" s="5" t="str">
        <f>IFERROR(__xludf.DUMMYFUNCTION("""COMPUTED_VALUE"""),"zefir.fr")</f>
        <v>zefir.fr</v>
      </c>
    </row>
    <row r="553">
      <c r="A553" s="5" t="str">
        <f>IFERROR(__xludf.DUMMYFUNCTION("""COMPUTED_VALUE"""),"summerhealth.com")</f>
        <v>summerhealth.com</v>
      </c>
      <c r="B553" s="6" t="str">
        <f>IFERROR(__xludf.DUMMYFUNCTION("""COMPUTED_VALUE"""),"studeo.app")</f>
        <v>studeo.app</v>
      </c>
    </row>
    <row r="554">
      <c r="A554" s="6" t="str">
        <f>IFERROR(__xludf.DUMMYFUNCTION("""COMPUTED_VALUE"""),"arcwise.app")</f>
        <v>arcwise.app</v>
      </c>
      <c r="B554" s="5" t="str">
        <f>IFERROR(__xludf.DUMMYFUNCTION("""COMPUTED_VALUE"""),"tacto.ai")</f>
        <v>tacto.ai</v>
      </c>
    </row>
    <row r="555">
      <c r="A555" s="5" t="str">
        <f>IFERROR(__xludf.DUMMYFUNCTION("""COMPUTED_VALUE"""),"joinhallway.com")</f>
        <v>joinhallway.com</v>
      </c>
      <c r="B555" s="5" t="str">
        <f>IFERROR(__xludf.DUMMYFUNCTION("""COMPUTED_VALUE"""),"tanda.io")</f>
        <v>tanda.io</v>
      </c>
    </row>
    <row r="556">
      <c r="A556" s="6" t="str">
        <f>IFERROR(__xludf.DUMMYFUNCTION("""COMPUTED_VALUE"""),"pace.group")</f>
        <v>pace.group</v>
      </c>
      <c r="B556" s="6" t="str">
        <f>IFERROR(__xludf.DUMMYFUNCTION("""COMPUTED_VALUE"""),"telda.app")</f>
        <v>telda.app</v>
      </c>
    </row>
    <row r="557">
      <c r="A557" s="5" t="str">
        <f>IFERROR(__xludf.DUMMYFUNCTION("""COMPUTED_VALUE"""),"rift.com")</f>
        <v>rift.com</v>
      </c>
      <c r="B557" s="5" t="str">
        <f>IFERROR(__xludf.DUMMYFUNCTION("""COMPUTED_VALUE"""),"wirescreen.ai")</f>
        <v>wirescreen.ai</v>
      </c>
    </row>
    <row r="558">
      <c r="A558" s="5" t="str">
        <f>IFERROR(__xludf.DUMMYFUNCTION("""COMPUTED_VALUE"""),"safara.com")</f>
        <v>safara.com</v>
      </c>
      <c r="B558" s="5" t="str">
        <f>IFERROR(__xludf.DUMMYFUNCTION("""COMPUTED_VALUE"""),"anterior.com")</f>
        <v>anterior.com</v>
      </c>
    </row>
    <row r="559">
      <c r="A559" s="5" t="str">
        <f>IFERROR(__xludf.DUMMYFUNCTION("""COMPUTED_VALUE"""),"zefir.fr")</f>
        <v>zefir.fr</v>
      </c>
      <c r="B559" s="5" t="str">
        <f>IFERROR(__xludf.DUMMYFUNCTION("""COMPUTED_VALUE"""),"brewbird.com")</f>
        <v>brewbird.com</v>
      </c>
    </row>
    <row r="560">
      <c r="A560" s="6" t="str">
        <f>IFERROR(__xludf.DUMMYFUNCTION("""COMPUTED_VALUE"""),"studeo.app")</f>
        <v>studeo.app</v>
      </c>
      <c r="B560" s="5" t="str">
        <f>IFERROR(__xludf.DUMMYFUNCTION("""COMPUTED_VALUE"""),"claim.co")</f>
        <v>claim.co</v>
      </c>
    </row>
    <row r="561">
      <c r="A561" s="5" t="str">
        <f>IFERROR(__xludf.DUMMYFUNCTION("""COMPUTED_VALUE"""),"tacto.ai")</f>
        <v>tacto.ai</v>
      </c>
      <c r="B561" s="5" t="str">
        <f>IFERROR(__xludf.DUMMYFUNCTION("""COMPUTED_VALUE"""),"decart.ai")</f>
        <v>decart.ai</v>
      </c>
    </row>
    <row r="562">
      <c r="A562" s="5" t="str">
        <f>IFERROR(__xludf.DUMMYFUNCTION("""COMPUTED_VALUE"""),"tanda.io")</f>
        <v>tanda.io</v>
      </c>
      <c r="B562" s="5" t="str">
        <f>IFERROR(__xludf.DUMMYFUNCTION("""COMPUTED_VALUE"""),"elevateapp.com")</f>
        <v>elevateapp.com</v>
      </c>
    </row>
    <row r="563">
      <c r="A563" s="6" t="str">
        <f>IFERROR(__xludf.DUMMYFUNCTION("""COMPUTED_VALUE"""),"telda.app")</f>
        <v>telda.app</v>
      </c>
      <c r="B563" s="5" t="str">
        <f>IFERROR(__xludf.DUMMYFUNCTION("""COMPUTED_VALUE"""),"elyn.io")</f>
        <v>elyn.io</v>
      </c>
    </row>
    <row r="564">
      <c r="A564" s="5" t="str">
        <f>IFERROR(__xludf.DUMMYFUNCTION("""COMPUTED_VALUE"""),"wirescreen.ai")</f>
        <v>wirescreen.ai</v>
      </c>
      <c r="B564" s="5" t="str">
        <f>IFERROR(__xludf.DUMMYFUNCTION("""COMPUTED_VALUE"""),"handshake.org")</f>
        <v>handshake.org</v>
      </c>
    </row>
    <row r="565">
      <c r="A565" s="5" t="str">
        <f>IFERROR(__xludf.DUMMYFUNCTION("""COMPUTED_VALUE"""),"anterior.com")</f>
        <v>anterior.com</v>
      </c>
      <c r="B565" s="5" t="str">
        <f>IFERROR(__xludf.DUMMYFUNCTION("""COMPUTED_VALUE"""),"machindustries.com")</f>
        <v>machindustries.com</v>
      </c>
    </row>
    <row r="566">
      <c r="A566" s="5" t="str">
        <f>IFERROR(__xludf.DUMMYFUNCTION("""COMPUTED_VALUE"""),"brewbird.com")</f>
        <v>brewbird.com</v>
      </c>
      <c r="B566" s="5" t="str">
        <f>IFERROR(__xludf.DUMMYFUNCTION("""COMPUTED_VALUE"""),"meeno.com")</f>
        <v>meeno.com</v>
      </c>
    </row>
    <row r="567">
      <c r="A567" s="5" t="str">
        <f>IFERROR(__xludf.DUMMYFUNCTION("""COMPUTED_VALUE"""),"claim.co")</f>
        <v>claim.co</v>
      </c>
      <c r="B567" s="6" t="str">
        <f>IFERROR(__xludf.DUMMYFUNCTION("""COMPUTED_VALUE"""),"neros.tech")</f>
        <v>neros.tech</v>
      </c>
    </row>
    <row r="568">
      <c r="A568" s="5" t="str">
        <f>IFERROR(__xludf.DUMMYFUNCTION("""COMPUTED_VALUE"""),"decart.ai")</f>
        <v>decart.ai</v>
      </c>
      <c r="B568" s="6" t="str">
        <f>IFERROR(__xludf.DUMMYFUNCTION("""COMPUTED_VALUE"""),"physicalintelligence.company")</f>
        <v>physicalintelligence.company</v>
      </c>
    </row>
    <row r="569">
      <c r="A569" s="5" t="str">
        <f>IFERROR(__xludf.DUMMYFUNCTION("""COMPUTED_VALUE"""),"elevateapp.com")</f>
        <v>elevateapp.com</v>
      </c>
      <c r="B569" s="5" t="str">
        <f>IFERROR(__xludf.DUMMYFUNCTION("""COMPUTED_VALUE"""),"protege.com")</f>
        <v>protege.com</v>
      </c>
    </row>
    <row r="570">
      <c r="A570" s="5" t="str">
        <f>IFERROR(__xludf.DUMMYFUNCTION("""COMPUTED_VALUE"""),"elyn.io")</f>
        <v>elyn.io</v>
      </c>
      <c r="B570" s="5" t="str">
        <f>IFERROR(__xludf.DUMMYFUNCTION("""COMPUTED_VALUE"""),"reflectorbital.com")</f>
        <v>reflectorbital.com</v>
      </c>
    </row>
    <row r="571">
      <c r="A571" s="5" t="str">
        <f>IFERROR(__xludf.DUMMYFUNCTION("""COMPUTED_VALUE"""),"handshake.org")</f>
        <v>handshake.org</v>
      </c>
      <c r="B571" s="5" t="str">
        <f>IFERROR(__xludf.DUMMYFUNCTION("""COMPUTED_VALUE"""),"skild.ai")</f>
        <v>skild.ai</v>
      </c>
    </row>
    <row r="572">
      <c r="A572" s="5" t="str">
        <f>IFERROR(__xludf.DUMMYFUNCTION("""COMPUTED_VALUE"""),"machindustries.com")</f>
        <v>machindustries.com</v>
      </c>
      <c r="B572" s="5" t="str">
        <f>IFERROR(__xludf.DUMMYFUNCTION("""COMPUTED_VALUE"""),"xaira.com")</f>
        <v>xaira.com</v>
      </c>
    </row>
    <row r="573">
      <c r="A573" s="5" t="str">
        <f>IFERROR(__xludf.DUMMYFUNCTION("""COMPUTED_VALUE"""),"meeno.com")</f>
        <v>meeno.com</v>
      </c>
      <c r="B573" s="6" t="str">
        <f>IFERROR(__xludf.DUMMYFUNCTION("""COMPUTED_VALUE"""),"roon.care")</f>
        <v>roon.care</v>
      </c>
    </row>
    <row r="574">
      <c r="A574" s="6" t="str">
        <f>IFERROR(__xludf.DUMMYFUNCTION("""COMPUTED_VALUE"""),"neros.tech")</f>
        <v>neros.tech</v>
      </c>
      <c r="B574" s="5" t="str">
        <f>IFERROR(__xludf.DUMMYFUNCTION("""COMPUTED_VALUE"""),"usetola.com")</f>
        <v>usetola.com</v>
      </c>
    </row>
    <row r="575">
      <c r="A575" s="6" t="str">
        <f>IFERROR(__xludf.DUMMYFUNCTION("""COMPUTED_VALUE"""),"physicalintelligence.company")</f>
        <v>physicalintelligence.company</v>
      </c>
      <c r="B575" s="6" t="str">
        <f>IFERROR(__xludf.DUMMYFUNCTION("""COMPUTED_VALUE"""),"getiris.app")</f>
        <v>getiris.app</v>
      </c>
    </row>
    <row r="576">
      <c r="A576" s="5" t="str">
        <f>IFERROR(__xludf.DUMMYFUNCTION("""COMPUTED_VALUE"""),"protege.com")</f>
        <v>protege.com</v>
      </c>
      <c r="B576" s="5" t="str">
        <f>IFERROR(__xludf.DUMMYFUNCTION("""COMPUTED_VALUE"""),"withotter.com")</f>
        <v>withotter.com</v>
      </c>
    </row>
    <row r="577">
      <c r="A577" s="5" t="str">
        <f>IFERROR(__xludf.DUMMYFUNCTION("""COMPUTED_VALUE"""),"reflectorbital.com")</f>
        <v>reflectorbital.com</v>
      </c>
      <c r="B577" s="5" t="str">
        <f>IFERROR(__xludf.DUMMYFUNCTION("""COMPUTED_VALUE"""),"commonroom.io")</f>
        <v>commonroom.io</v>
      </c>
    </row>
    <row r="578">
      <c r="A578" s="5" t="str">
        <f>IFERROR(__xludf.DUMMYFUNCTION("""COMPUTED_VALUE"""),"skild.ai")</f>
        <v>skild.ai</v>
      </c>
      <c r="B578" s="5" t="str">
        <f>IFERROR(__xludf.DUMMYFUNCTION("""COMPUTED_VALUE"""),"wiz.io")</f>
        <v>wiz.io</v>
      </c>
    </row>
    <row r="579">
      <c r="A579" s="5" t="str">
        <f>IFERROR(__xludf.DUMMYFUNCTION("""COMPUTED_VALUE"""),"xaira.com")</f>
        <v>xaira.com</v>
      </c>
      <c r="B579" s="5" t="str">
        <f>IFERROR(__xludf.DUMMYFUNCTION("""COMPUTED_VALUE"""),"tofuhq.com")</f>
        <v>tofuhq.com</v>
      </c>
    </row>
    <row r="580">
      <c r="A580" s="6" t="str">
        <f>IFERROR(__xludf.DUMMYFUNCTION("""COMPUTED_VALUE"""),"roon.care")</f>
        <v>roon.care</v>
      </c>
      <c r="B580" s="5" t="str">
        <f>IFERROR(__xludf.DUMMYFUNCTION("""COMPUTED_VALUE"""),"augmentcode.com")</f>
        <v>augmentcode.com</v>
      </c>
    </row>
    <row r="581">
      <c r="A581" s="5" t="str">
        <f>IFERROR(__xludf.DUMMYFUNCTION("""COMPUTED_VALUE"""),"usetola.com")</f>
        <v>usetola.com</v>
      </c>
      <c r="B581" s="6" t="str">
        <f>IFERROR(__xludf.DUMMYFUNCTION("""COMPUTED_VALUE"""),"linear.app")</f>
        <v>linear.app</v>
      </c>
    </row>
    <row r="582">
      <c r="A582" s="6" t="str">
        <f>IFERROR(__xludf.DUMMYFUNCTION("""COMPUTED_VALUE"""),"getiris.app")</f>
        <v>getiris.app</v>
      </c>
      <c r="B582" s="5" t="str">
        <f>IFERROR(__xludf.DUMMYFUNCTION("""COMPUTED_VALUE"""),"otterize.com")</f>
        <v>otterize.com</v>
      </c>
    </row>
    <row r="583">
      <c r="A583" s="5" t="str">
        <f>IFERROR(__xludf.DUMMYFUNCTION("""COMPUTED_VALUE"""),"withotter.com")</f>
        <v>withotter.com</v>
      </c>
      <c r="B583" s="5" t="str">
        <f>IFERROR(__xludf.DUMMYFUNCTION("""COMPUTED_VALUE"""),"vooma.ai")</f>
        <v>vooma.ai</v>
      </c>
    </row>
    <row r="584">
      <c r="A584" s="5" t="str">
        <f>IFERROR(__xludf.DUMMYFUNCTION("""COMPUTED_VALUE"""),"commonroom.io")</f>
        <v>commonroom.io</v>
      </c>
      <c r="B584" s="5" t="str">
        <f>IFERROR(__xludf.DUMMYFUNCTION("""COMPUTED_VALUE"""),"albertinvent.com")</f>
        <v>albertinvent.com</v>
      </c>
    </row>
    <row r="585">
      <c r="A585" s="5" t="str">
        <f>IFERROR(__xludf.DUMMYFUNCTION("""COMPUTED_VALUE"""),"wiz.io")</f>
        <v>wiz.io</v>
      </c>
      <c r="B585" s="5" t="str">
        <f>IFERROR(__xludf.DUMMYFUNCTION("""COMPUTED_VALUE"""),"atlar.com")</f>
        <v>atlar.com</v>
      </c>
    </row>
    <row r="586">
      <c r="A586" s="5" t="str">
        <f>IFERROR(__xludf.DUMMYFUNCTION("""COMPUTED_VALUE"""),"tofuhq.com")</f>
        <v>tofuhq.com</v>
      </c>
      <c r="B586" s="5" t="str">
        <f>IFERROR(__xludf.DUMMYFUNCTION("""COMPUTED_VALUE"""),"brighthire.ai")</f>
        <v>brighthire.ai</v>
      </c>
    </row>
    <row r="587">
      <c r="A587" s="5" t="str">
        <f>IFERROR(__xludf.DUMMYFUNCTION("""COMPUTED_VALUE"""),"augmentcode.com")</f>
        <v>augmentcode.com</v>
      </c>
      <c r="B587" s="5" t="str">
        <f>IFERROR(__xludf.DUMMYFUNCTION("""COMPUTED_VALUE"""),"ethon.ai")</f>
        <v>ethon.ai</v>
      </c>
    </row>
    <row r="588">
      <c r="A588" s="6" t="str">
        <f>IFERROR(__xludf.DUMMYFUNCTION("""COMPUTED_VALUE"""),"linear.app")</f>
        <v>linear.app</v>
      </c>
      <c r="B588" s="5" t="str">
        <f>IFERROR(__xludf.DUMMYFUNCTION("""COMPUTED_VALUE"""),"resistant.ai")</f>
        <v>resistant.ai</v>
      </c>
    </row>
    <row r="589">
      <c r="A589" s="5" t="str">
        <f>IFERROR(__xludf.DUMMYFUNCTION("""COMPUTED_VALUE"""),"otterize.com")</f>
        <v>otterize.com</v>
      </c>
      <c r="B589" s="5" t="str">
        <f>IFERROR(__xludf.DUMMYFUNCTION("""COMPUTED_VALUE"""),"subset.so")</f>
        <v>subset.so</v>
      </c>
    </row>
    <row r="590">
      <c r="A590" s="5" t="str">
        <f>IFERROR(__xludf.DUMMYFUNCTION("""COMPUTED_VALUE"""),"vooma.ai")</f>
        <v>vooma.ai</v>
      </c>
      <c r="B590" s="5" t="str">
        <f>IFERROR(__xludf.DUMMYFUNCTION("""COMPUTED_VALUE"""),"tessl.io")</f>
        <v>tessl.io</v>
      </c>
    </row>
    <row r="591">
      <c r="A591" s="5" t="str">
        <f>IFERROR(__xludf.DUMMYFUNCTION("""COMPUTED_VALUE"""),"albertinvent.com")</f>
        <v>albertinvent.com</v>
      </c>
      <c r="B591" s="5" t="str">
        <f>IFERROR(__xludf.DUMMYFUNCTION("""COMPUTED_VALUE"""),"datasnipper.com")</f>
        <v>datasnipper.com</v>
      </c>
    </row>
    <row r="592">
      <c r="A592" s="5" t="str">
        <f>IFERROR(__xludf.DUMMYFUNCTION("""COMPUTED_VALUE"""),"atlar.com")</f>
        <v>atlar.com</v>
      </c>
      <c r="B592" s="5" t="str">
        <f>IFERROR(__xludf.DUMMYFUNCTION("""COMPUTED_VALUE"""),"fireblocks.com")</f>
        <v>fireblocks.com</v>
      </c>
    </row>
    <row r="593">
      <c r="A593" s="5" t="str">
        <f>IFERROR(__xludf.DUMMYFUNCTION("""COMPUTED_VALUE"""),"brighthire.ai")</f>
        <v>brighthire.ai</v>
      </c>
      <c r="B593" s="5" t="str">
        <f>IFERROR(__xludf.DUMMYFUNCTION("""COMPUTED_VALUE"""),"gong.io")</f>
        <v>gong.io</v>
      </c>
    </row>
    <row r="594">
      <c r="A594" s="5" t="str">
        <f>IFERROR(__xludf.DUMMYFUNCTION("""COMPUTED_VALUE"""),"castle.io")</f>
        <v>castle.io</v>
      </c>
      <c r="B594" s="5" t="str">
        <f>IFERROR(__xludf.DUMMYFUNCTION("""COMPUTED_VALUE"""),"iterable.com")</f>
        <v>iterable.com</v>
      </c>
    </row>
    <row r="595">
      <c r="A595" s="5" t="str">
        <f>IFERROR(__xludf.DUMMYFUNCTION("""COMPUTED_VALUE"""),"ethon.ai")</f>
        <v>ethon.ai</v>
      </c>
      <c r="B595" s="5" t="str">
        <f>IFERROR(__xludf.DUMMYFUNCTION("""COMPUTED_VALUE"""),"lever.co")</f>
        <v>lever.co</v>
      </c>
    </row>
    <row r="596">
      <c r="A596" s="5" t="str">
        <f>IFERROR(__xludf.DUMMYFUNCTION("""COMPUTED_VALUE"""),"resistant.ai")</f>
        <v>resistant.ai</v>
      </c>
      <c r="B596" s="5" t="str">
        <f>IFERROR(__xludf.DUMMYFUNCTION("""COMPUTED_VALUE"""),"anrok.com")</f>
        <v>anrok.com</v>
      </c>
    </row>
    <row r="597">
      <c r="A597" s="5" t="str">
        <f>IFERROR(__xludf.DUMMYFUNCTION("""COMPUTED_VALUE"""),"subset.so")</f>
        <v>subset.so</v>
      </c>
      <c r="B597" s="5" t="str">
        <f>IFERROR(__xludf.DUMMYFUNCTION("""COMPUTED_VALUE"""),"codat.io")</f>
        <v>codat.io</v>
      </c>
    </row>
    <row r="598">
      <c r="A598" s="5" t="str">
        <f>IFERROR(__xludf.DUMMYFUNCTION("""COMPUTED_VALUE"""),"tessl.io")</f>
        <v>tessl.io</v>
      </c>
      <c r="B598" s="5" t="str">
        <f>IFERROR(__xludf.DUMMYFUNCTION("""COMPUTED_VALUE"""),"lithic.com")</f>
        <v>lithic.com</v>
      </c>
    </row>
    <row r="599">
      <c r="A599" s="5" t="str">
        <f>IFERROR(__xludf.DUMMYFUNCTION("""COMPUTED_VALUE"""),"datasnipper.com")</f>
        <v>datasnipper.com</v>
      </c>
      <c r="B599" s="5" t="str">
        <f>IFERROR(__xludf.DUMMYFUNCTION("""COMPUTED_VALUE"""),"monograph.io")</f>
        <v>monograph.io</v>
      </c>
    </row>
    <row r="600">
      <c r="A600" s="5" t="str">
        <f>IFERROR(__xludf.DUMMYFUNCTION("""COMPUTED_VALUE"""),"fireblocks.com")</f>
        <v>fireblocks.com</v>
      </c>
      <c r="B600" s="5" t="str">
        <f>IFERROR(__xludf.DUMMYFUNCTION("""COMPUTED_VALUE"""),"plaid.com")</f>
        <v>plaid.com</v>
      </c>
    </row>
    <row r="601">
      <c r="A601" s="5" t="str">
        <f>IFERROR(__xludf.DUMMYFUNCTION("""COMPUTED_VALUE"""),"gong.io")</f>
        <v>gong.io</v>
      </c>
      <c r="B601" s="5" t="str">
        <f>IFERROR(__xludf.DUMMYFUNCTION("""COMPUTED_VALUE"""),"pointfive.co")</f>
        <v>pointfive.co</v>
      </c>
    </row>
    <row r="602">
      <c r="A602" s="5" t="str">
        <f>IFERROR(__xludf.DUMMYFUNCTION("""COMPUTED_VALUE"""),"humanloop.com")</f>
        <v>humanloop.com</v>
      </c>
      <c r="B602" s="5" t="str">
        <f>IFERROR(__xludf.DUMMYFUNCTION("""COMPUTED_VALUE"""),"rightscale.com")</f>
        <v>rightscale.com</v>
      </c>
    </row>
    <row r="603">
      <c r="A603" s="5" t="str">
        <f>IFERROR(__xludf.DUMMYFUNCTION("""COMPUTED_VALUE"""),"iterable.com")</f>
        <v>iterable.com</v>
      </c>
      <c r="B603" s="5" t="str">
        <f>IFERROR(__xludf.DUMMYFUNCTION("""COMPUTED_VALUE"""),"taktile.com")</f>
        <v>taktile.com</v>
      </c>
    </row>
    <row r="604">
      <c r="A604" s="5" t="str">
        <f>IFERROR(__xludf.DUMMYFUNCTION("""COMPUTED_VALUE"""),"lever.co")</f>
        <v>lever.co</v>
      </c>
      <c r="B604" s="5" t="str">
        <f>IFERROR(__xludf.DUMMYFUNCTION("""COMPUTED_VALUE"""),"algolia.com")</f>
        <v>algolia.com</v>
      </c>
    </row>
    <row r="605">
      <c r="A605" s="5" t="str">
        <f>IFERROR(__xludf.DUMMYFUNCTION("""COMPUTED_VALUE"""),"anrok.com")</f>
        <v>anrok.com</v>
      </c>
      <c r="B605" s="5" t="str">
        <f>IFERROR(__xludf.DUMMYFUNCTION("""COMPUTED_VALUE"""),"alkemics.com")</f>
        <v>alkemics.com</v>
      </c>
    </row>
    <row r="606">
      <c r="A606" s="5" t="str">
        <f>IFERROR(__xludf.DUMMYFUNCTION("""COMPUTED_VALUE"""),"codat.io")</f>
        <v>codat.io</v>
      </c>
      <c r="B606" s="5" t="str">
        <f>IFERROR(__xludf.DUMMYFUNCTION("""COMPUTED_VALUE"""),"apexhq.ai")</f>
        <v>apexhq.ai</v>
      </c>
    </row>
    <row r="607">
      <c r="A607" s="5" t="str">
        <f>IFERROR(__xludf.DUMMYFUNCTION("""COMPUTED_VALUE"""),"lithic.com")</f>
        <v>lithic.com</v>
      </c>
      <c r="B607" s="5" t="str">
        <f>IFERROR(__xludf.DUMMYFUNCTION("""COMPUTED_VALUE"""),"arthur.ai")</f>
        <v>arthur.ai</v>
      </c>
    </row>
    <row r="608">
      <c r="A608" s="5" t="str">
        <f>IFERROR(__xludf.DUMMYFUNCTION("""COMPUTED_VALUE"""),"monograph.io")</f>
        <v>monograph.io</v>
      </c>
      <c r="B608" s="5" t="str">
        <f>IFERROR(__xludf.DUMMYFUNCTION("""COMPUTED_VALUE"""),"useascend.com")</f>
        <v>useascend.com</v>
      </c>
    </row>
    <row r="609">
      <c r="A609" s="5" t="str">
        <f>IFERROR(__xludf.DUMMYFUNCTION("""COMPUTED_VALUE"""),"plaid.com")</f>
        <v>plaid.com</v>
      </c>
      <c r="B609" s="5" t="str">
        <f>IFERROR(__xludf.DUMMYFUNCTION("""COMPUTED_VALUE"""),"attackiq.com")</f>
        <v>attackiq.com</v>
      </c>
    </row>
    <row r="610">
      <c r="A610" s="5" t="str">
        <f>IFERROR(__xludf.DUMMYFUNCTION("""COMPUTED_VALUE"""),"pointfive.co")</f>
        <v>pointfive.co</v>
      </c>
      <c r="B610" s="5" t="str">
        <f>IFERROR(__xludf.DUMMYFUNCTION("""COMPUTED_VALUE"""),"beamery.com")</f>
        <v>beamery.com</v>
      </c>
    </row>
    <row r="611">
      <c r="A611" s="5" t="str">
        <f>IFERROR(__xludf.DUMMYFUNCTION("""COMPUTED_VALUE"""),"rightscale.com")</f>
        <v>rightscale.com</v>
      </c>
      <c r="B611" s="6" t="str">
        <f>IFERROR(__xludf.DUMMYFUNCTION("""COMPUTED_VALUE"""),"birdie.care")</f>
        <v>birdie.care</v>
      </c>
    </row>
    <row r="612">
      <c r="A612" s="5" t="str">
        <f>IFERROR(__xludf.DUMMYFUNCTION("""COMPUTED_VALUE"""),"taktile.com")</f>
        <v>taktile.com</v>
      </c>
      <c r="B612" s="5" t="str">
        <f>IFERROR(__xludf.DUMMYFUNCTION("""COMPUTED_VALUE"""),"joinblvd.com")</f>
        <v>joinblvd.com</v>
      </c>
    </row>
    <row r="613">
      <c r="A613" s="5" t="str">
        <f>IFERROR(__xludf.DUMMYFUNCTION("""COMPUTED_VALUE"""),"algolia.com")</f>
        <v>algolia.com</v>
      </c>
      <c r="B613" s="5" t="str">
        <f>IFERROR(__xludf.DUMMYFUNCTION("""COMPUTED_VALUE"""),"brincdrones.com")</f>
        <v>brincdrones.com</v>
      </c>
    </row>
    <row r="614">
      <c r="A614" s="5" t="str">
        <f>IFERROR(__xludf.DUMMYFUNCTION("""COMPUTED_VALUE"""),"alkemics.com")</f>
        <v>alkemics.com</v>
      </c>
      <c r="B614" s="6" t="str">
        <f>IFERROR(__xludf.DUMMYFUNCTION("""COMPUTED_VALUE"""),"cargo.one")</f>
        <v>cargo.one</v>
      </c>
    </row>
    <row r="615">
      <c r="A615" s="5" t="str">
        <f>IFERROR(__xludf.DUMMYFUNCTION("""COMPUTED_VALUE"""),"apexhq.ai")</f>
        <v>apexhq.ai</v>
      </c>
      <c r="B615" s="5" t="str">
        <f>IFERROR(__xludf.DUMMYFUNCTION("""COMPUTED_VALUE"""),"causaly.com")</f>
        <v>causaly.com</v>
      </c>
    </row>
    <row r="616">
      <c r="A616" s="5" t="str">
        <f>IFERROR(__xludf.DUMMYFUNCTION("""COMPUTED_VALUE"""),"arthur.ai")</f>
        <v>arthur.ai</v>
      </c>
      <c r="B616" s="5" t="str">
        <f>IFERROR(__xludf.DUMMYFUNCTION("""COMPUTED_VALUE"""),"checkhq.com")</f>
        <v>checkhq.com</v>
      </c>
    </row>
    <row r="617">
      <c r="A617" s="5" t="str">
        <f>IFERROR(__xludf.DUMMYFUNCTION("""COMPUTED_VALUE"""),"useascend.com")</f>
        <v>useascend.com</v>
      </c>
      <c r="B617" s="6" t="str">
        <f>IFERROR(__xludf.DUMMYFUNCTION("""COMPUTED_VALUE"""),"clickhouse.tech")</f>
        <v>clickhouse.tech</v>
      </c>
    </row>
    <row r="618">
      <c r="A618" s="5" t="str">
        <f>IFERROR(__xludf.DUMMYFUNCTION("""COMPUTED_VALUE"""),"attackiq.com")</f>
        <v>attackiq.com</v>
      </c>
      <c r="B618" s="5" t="str">
        <f>IFERROR(__xludf.DUMMYFUNCTION("""COMPUTED_VALUE"""),"clumio.com")</f>
        <v>clumio.com</v>
      </c>
    </row>
    <row r="619">
      <c r="A619" s="5" t="str">
        <f>IFERROR(__xludf.DUMMYFUNCTION("""COMPUTED_VALUE"""),"beamery.com")</f>
        <v>beamery.com</v>
      </c>
      <c r="B619" s="5" t="str">
        <f>IFERROR(__xludf.DUMMYFUNCTION("""COMPUTED_VALUE"""),"cockroachlabs.com")</f>
        <v>cockroachlabs.com</v>
      </c>
    </row>
    <row r="620">
      <c r="A620" s="6" t="str">
        <f>IFERROR(__xludf.DUMMYFUNCTION("""COMPUTED_VALUE"""),"birdie.care")</f>
        <v>birdie.care</v>
      </c>
      <c r="B620" s="5" t="str">
        <f>IFERROR(__xludf.DUMMYFUNCTION("""COMPUTED_VALUE"""),"meetcocoon.com")</f>
        <v>meetcocoon.com</v>
      </c>
    </row>
    <row r="621">
      <c r="A621" s="5" t="str">
        <f>IFERROR(__xludf.DUMMYFUNCTION("""COMPUTED_VALUE"""),"joinblvd.com")</f>
        <v>joinblvd.com</v>
      </c>
      <c r="B621" s="5" t="str">
        <f>IFERROR(__xludf.DUMMYFUNCTION("""COMPUTED_VALUE"""),"cohere.com")</f>
        <v>cohere.com</v>
      </c>
    </row>
    <row r="622">
      <c r="A622" s="5" t="str">
        <f>IFERROR(__xludf.DUMMYFUNCTION("""COMPUTED_VALUE"""),"brincdrones.com")</f>
        <v>brincdrones.com</v>
      </c>
      <c r="B622" s="5" t="str">
        <f>IFERROR(__xludf.DUMMYFUNCTION("""COMPUTED_VALUE"""),"crossingminds.com")</f>
        <v>crossingminds.com</v>
      </c>
    </row>
    <row r="623">
      <c r="A623" s="6" t="str">
        <f>IFERROR(__xludf.DUMMYFUNCTION("""COMPUTED_VALUE"""),"cargo.one")</f>
        <v>cargo.one</v>
      </c>
      <c r="B623" s="5" t="str">
        <f>IFERROR(__xludf.DUMMYFUNCTION("""COMPUTED_VALUE"""),"cutover.com")</f>
        <v>cutover.com</v>
      </c>
    </row>
    <row r="624">
      <c r="A624" s="5" t="str">
        <f>IFERROR(__xludf.DUMMYFUNCTION("""COMPUTED_VALUE"""),"causaly.com")</f>
        <v>causaly.com</v>
      </c>
      <c r="B624" s="5" t="str">
        <f>IFERROR(__xludf.DUMMYFUNCTION("""COMPUTED_VALUE"""),"deepnote.com")</f>
        <v>deepnote.com</v>
      </c>
    </row>
    <row r="625">
      <c r="A625" s="5" t="str">
        <f>IFERROR(__xludf.DUMMYFUNCTION("""COMPUTED_VALUE"""),"checkhq.com")</f>
        <v>checkhq.com</v>
      </c>
      <c r="B625" s="5" t="str">
        <f>IFERROR(__xludf.DUMMYFUNCTION("""COMPUTED_VALUE"""),"deepscribe.ai")</f>
        <v>deepscribe.ai</v>
      </c>
    </row>
    <row r="626">
      <c r="A626" s="6" t="str">
        <f>IFERROR(__xludf.DUMMYFUNCTION("""COMPUTED_VALUE"""),"clickhouse.tech")</f>
        <v>clickhouse.tech</v>
      </c>
      <c r="B626" s="5" t="str">
        <f>IFERROR(__xludf.DUMMYFUNCTION("""COMPUTED_VALUE"""),"expel.io")</f>
        <v>expel.io</v>
      </c>
    </row>
    <row r="627">
      <c r="A627" s="5" t="str">
        <f>IFERROR(__xludf.DUMMYFUNCTION("""COMPUTED_VALUE"""),"clumio.com")</f>
        <v>clumio.com</v>
      </c>
      <c r="B627" s="5" t="str">
        <f>IFERROR(__xludf.DUMMYFUNCTION("""COMPUTED_VALUE"""),"figma.com")</f>
        <v>figma.com</v>
      </c>
    </row>
    <row r="628">
      <c r="A628" s="5" t="str">
        <f>IFERROR(__xludf.DUMMYFUNCTION("""COMPUTED_VALUE"""),"cockroachlabs.com")</f>
        <v>cockroachlabs.com</v>
      </c>
      <c r="B628" s="5" t="str">
        <f>IFERROR(__xludf.DUMMYFUNCTION("""COMPUTED_VALUE"""),"onefootprint.com")</f>
        <v>onefootprint.com</v>
      </c>
    </row>
    <row r="629">
      <c r="A629" s="5" t="str">
        <f>IFERROR(__xludf.DUMMYFUNCTION("""COMPUTED_VALUE"""),"meetcocoon.com")</f>
        <v>meetcocoon.com</v>
      </c>
      <c r="B629" s="5" t="str">
        <f>IFERROR(__xludf.DUMMYFUNCTION("""COMPUTED_VALUE"""),"gremlin.com")</f>
        <v>gremlin.com</v>
      </c>
    </row>
    <row r="630">
      <c r="A630" s="5" t="str">
        <f>IFERROR(__xludf.DUMMYFUNCTION("""COMPUTED_VALUE"""),"cohere.com")</f>
        <v>cohere.com</v>
      </c>
      <c r="B630" s="5" t="str">
        <f>IFERROR(__xludf.DUMMYFUNCTION("""COMPUTED_VALUE"""),"hyperline.co")</f>
        <v>hyperline.co</v>
      </c>
    </row>
    <row r="631">
      <c r="A631" s="5" t="str">
        <f>IFERROR(__xludf.DUMMYFUNCTION("""COMPUTED_VALUE"""),"crossingminds.com")</f>
        <v>crossingminds.com</v>
      </c>
      <c r="B631" s="6" t="str">
        <f>IFERROR(__xludf.DUMMYFUNCTION("""COMPUTED_VALUE"""),"linx.security")</f>
        <v>linx.security</v>
      </c>
    </row>
    <row r="632">
      <c r="A632" s="5" t="str">
        <f>IFERROR(__xludf.DUMMYFUNCTION("""COMPUTED_VALUE"""),"cutover.com")</f>
        <v>cutover.com</v>
      </c>
      <c r="B632" s="5" t="str">
        <f>IFERROR(__xludf.DUMMYFUNCTION("""COMPUTED_VALUE"""),"mistral.ai")</f>
        <v>mistral.ai</v>
      </c>
    </row>
    <row r="633">
      <c r="A633" s="5" t="str">
        <f>IFERROR(__xludf.DUMMYFUNCTION("""COMPUTED_VALUE"""),"deepnote.com")</f>
        <v>deepnote.com</v>
      </c>
      <c r="B633" s="5" t="str">
        <f>IFERROR(__xludf.DUMMYFUNCTION("""COMPUTED_VALUE"""),"nacelle.com")</f>
        <v>nacelle.com</v>
      </c>
    </row>
    <row r="634">
      <c r="A634" s="5" t="str">
        <f>IFERROR(__xludf.DUMMYFUNCTION("""COMPUTED_VALUE"""),"deepscribe.ai")</f>
        <v>deepscribe.ai</v>
      </c>
      <c r="B634" s="5" t="str">
        <f>IFERROR(__xludf.DUMMYFUNCTION("""COMPUTED_VALUE"""),"okendo.io")</f>
        <v>okendo.io</v>
      </c>
    </row>
    <row r="635">
      <c r="A635" s="5" t="str">
        <f>IFERROR(__xludf.DUMMYFUNCTION("""COMPUTED_VALUE"""),"draftwise.com")</f>
        <v>draftwise.com</v>
      </c>
      <c r="B635" s="5" t="str">
        <f>IFERROR(__xludf.DUMMYFUNCTION("""COMPUTED_VALUE"""),"pave.com")</f>
        <v>pave.com</v>
      </c>
    </row>
    <row r="636">
      <c r="A636" s="5" t="str">
        <f>IFERROR(__xludf.DUMMYFUNCTION("""COMPUTED_VALUE"""),"expel.io")</f>
        <v>expel.io</v>
      </c>
      <c r="B636" s="5" t="str">
        <f>IFERROR(__xludf.DUMMYFUNCTION("""COMPUTED_VALUE"""),"usepepper.com")</f>
        <v>usepepper.com</v>
      </c>
    </row>
    <row r="637">
      <c r="A637" s="5" t="str">
        <f>IFERROR(__xludf.DUMMYFUNCTION("""COMPUTED_VALUE"""),"figma.com")</f>
        <v>figma.com</v>
      </c>
      <c r="B637" s="5" t="str">
        <f>IFERROR(__xludf.DUMMYFUNCTION("""COMPUTED_VALUE"""),"plain.com")</f>
        <v>plain.com</v>
      </c>
    </row>
    <row r="638">
      <c r="A638" s="5" t="str">
        <f>IFERROR(__xludf.DUMMYFUNCTION("""COMPUTED_VALUE"""),"onefootprint.com")</f>
        <v>onefootprint.com</v>
      </c>
      <c r="B638" s="5" t="str">
        <f>IFERROR(__xludf.DUMMYFUNCTION("""COMPUTED_VALUE"""),"reclaim.ai")</f>
        <v>reclaim.ai</v>
      </c>
    </row>
    <row r="639">
      <c r="A639" s="5" t="str">
        <f>IFERROR(__xludf.DUMMYFUNCTION("""COMPUTED_VALUE"""),"gremlin.com")</f>
        <v>gremlin.com</v>
      </c>
      <c r="B639" s="5" t="str">
        <f>IFERROR(__xludf.DUMMYFUNCTION("""COMPUTED_VALUE"""),"safetyculture.com")</f>
        <v>safetyculture.com</v>
      </c>
    </row>
    <row r="640">
      <c r="A640" s="5" t="str">
        <f>IFERROR(__xludf.DUMMYFUNCTION("""COMPUTED_VALUE"""),"hyperline.co")</f>
        <v>hyperline.co</v>
      </c>
      <c r="B640" s="5" t="str">
        <f>IFERROR(__xludf.DUMMYFUNCTION("""COMPUTED_VALUE"""),"spendesk.com")</f>
        <v>spendesk.com</v>
      </c>
    </row>
    <row r="641">
      <c r="A641" s="6" t="str">
        <f>IFERROR(__xludf.DUMMYFUNCTION("""COMPUTED_VALUE"""),"linx.security")</f>
        <v>linx.security</v>
      </c>
      <c r="B641" s="5" t="str">
        <f>IFERROR(__xludf.DUMMYFUNCTION("""COMPUTED_VALUE"""),"stytch.com")</f>
        <v>stytch.com</v>
      </c>
    </row>
    <row r="642">
      <c r="A642" s="5" t="str">
        <f>IFERROR(__xludf.DUMMYFUNCTION("""COMPUTED_VALUE"""),"mistral.ai")</f>
        <v>mistral.ai</v>
      </c>
      <c r="B642" s="6" t="str">
        <f>IFERROR(__xludf.DUMMYFUNCTION("""COMPUTED_VALUE"""),"sublime.security")</f>
        <v>sublime.security</v>
      </c>
    </row>
    <row r="643">
      <c r="A643" s="5" t="str">
        <f>IFERROR(__xludf.DUMMYFUNCTION("""COMPUTED_VALUE"""),"nacelle.com")</f>
        <v>nacelle.com</v>
      </c>
      <c r="B643" s="5" t="str">
        <f>IFERROR(__xludf.DUMMYFUNCTION("""COMPUTED_VALUE"""),"tekion.com")</f>
        <v>tekion.com</v>
      </c>
    </row>
    <row r="644">
      <c r="A644" s="5" t="str">
        <f>IFERROR(__xludf.DUMMYFUNCTION("""COMPUTED_VALUE"""),"okendo.io")</f>
        <v>okendo.io</v>
      </c>
      <c r="B644" s="5" t="str">
        <f>IFERROR(__xludf.DUMMYFUNCTION("""COMPUTED_VALUE"""),"toolbx.com")</f>
        <v>toolbx.com</v>
      </c>
    </row>
    <row r="645">
      <c r="A645" s="5" t="str">
        <f>IFERROR(__xludf.DUMMYFUNCTION("""COMPUTED_VALUE"""),"pave.com")</f>
        <v>pave.com</v>
      </c>
      <c r="B645" s="5" t="str">
        <f>IFERROR(__xludf.DUMMYFUNCTION("""COMPUTED_VALUE"""),"workbounce.com")</f>
        <v>workbounce.com</v>
      </c>
    </row>
    <row r="646">
      <c r="A646" s="5" t="str">
        <f>IFERROR(__xludf.DUMMYFUNCTION("""COMPUTED_VALUE"""),"usepepper.com")</f>
        <v>usepepper.com</v>
      </c>
      <c r="B646" s="5" t="str">
        <f>IFERROR(__xludf.DUMMYFUNCTION("""COMPUTED_VALUE"""),"xata.io")</f>
        <v>xata.io</v>
      </c>
    </row>
    <row r="647">
      <c r="A647" s="5" t="str">
        <f>IFERROR(__xludf.DUMMYFUNCTION("""COMPUTED_VALUE"""),"plain.com")</f>
        <v>plain.com</v>
      </c>
      <c r="B647" s="5" t="str">
        <f>IFERROR(__xludf.DUMMYFUNCTION("""COMPUTED_VALUE"""),"elementl.com")</f>
        <v>elementl.com</v>
      </c>
    </row>
    <row r="648">
      <c r="A648" s="5" t="str">
        <f>IFERROR(__xludf.DUMMYFUNCTION("""COMPUTED_VALUE"""),"reclaim.ai")</f>
        <v>reclaim.ai</v>
      </c>
      <c r="B648" s="5" t="str">
        <f>IFERROR(__xludf.DUMMYFUNCTION("""COMPUTED_VALUE"""),"outbrain.com")</f>
        <v>outbrain.com</v>
      </c>
    </row>
    <row r="649">
      <c r="A649" s="5" t="str">
        <f>IFERROR(__xludf.DUMMYFUNCTION("""COMPUTED_VALUE"""),"safetyculture.com")</f>
        <v>safetyculture.com</v>
      </c>
      <c r="B649" s="5" t="str">
        <f>IFERROR(__xludf.DUMMYFUNCTION("""COMPUTED_VALUE"""),"phaidra.ai")</f>
        <v>phaidra.ai</v>
      </c>
    </row>
    <row r="650">
      <c r="A650" s="5" t="str">
        <f>IFERROR(__xludf.DUMMYFUNCTION("""COMPUTED_VALUE"""),"spendesk.com")</f>
        <v>spendesk.com</v>
      </c>
      <c r="B650" s="5" t="str">
        <f>IFERROR(__xludf.DUMMYFUNCTION("""COMPUTED_VALUE"""),"sofiasalud.com")</f>
        <v>sofiasalud.com</v>
      </c>
    </row>
    <row r="651">
      <c r="A651" s="5" t="str">
        <f>IFERROR(__xludf.DUMMYFUNCTION("""COMPUTED_VALUE"""),"stytch.com")</f>
        <v>stytch.com</v>
      </c>
      <c r="B651" s="5" t="str">
        <f>IFERROR(__xludf.DUMMYFUNCTION("""COMPUTED_VALUE"""),"sylvera.com")</f>
        <v>sylvera.com</v>
      </c>
    </row>
    <row r="652">
      <c r="A652" s="6" t="str">
        <f>IFERROR(__xludf.DUMMYFUNCTION("""COMPUTED_VALUE"""),"sublime.security")</f>
        <v>sublime.security</v>
      </c>
      <c r="B652" s="5" t="str">
        <f>IFERROR(__xludf.DUMMYFUNCTION("""COMPUTED_VALUE"""),"en.tacto.ai")</f>
        <v>en.tacto.ai</v>
      </c>
    </row>
    <row r="653">
      <c r="A653" s="5" t="str">
        <f>IFERROR(__xludf.DUMMYFUNCTION("""COMPUTED_VALUE"""),"tekion.com")</f>
        <v>tekion.com</v>
      </c>
      <c r="B653" s="5" t="str">
        <f>IFERROR(__xludf.DUMMYFUNCTION("""COMPUTED_VALUE"""),"weaviate.io")</f>
        <v>weaviate.io</v>
      </c>
    </row>
    <row r="654">
      <c r="A654" s="5" t="str">
        <f>IFERROR(__xludf.DUMMYFUNCTION("""COMPUTED_VALUE"""),"toolbx.com")</f>
        <v>toolbx.com</v>
      </c>
      <c r="B654" s="5" t="str">
        <f>IFERROR(__xludf.DUMMYFUNCTION("""COMPUTED_VALUE"""),"montonio.com")</f>
        <v>montonio.com</v>
      </c>
    </row>
    <row r="655">
      <c r="A655" s="5" t="str">
        <f>IFERROR(__xludf.DUMMYFUNCTION("""COMPUTED_VALUE"""),"workbounce.com")</f>
        <v>workbounce.com</v>
      </c>
      <c r="B655" s="5" t="str">
        <f>IFERROR(__xludf.DUMMYFUNCTION("""COMPUTED_VALUE"""),"openx.com")</f>
        <v>openx.com</v>
      </c>
    </row>
    <row r="656">
      <c r="A656" s="5" t="str">
        <f>IFERROR(__xludf.DUMMYFUNCTION("""COMPUTED_VALUE"""),"xata.io")</f>
        <v>xata.io</v>
      </c>
      <c r="B656" s="5" t="str">
        <f>IFERROR(__xludf.DUMMYFUNCTION("""COMPUTED_VALUE"""),"savvywealth.com")</f>
        <v>savvywealth.com</v>
      </c>
    </row>
    <row r="657">
      <c r="A657" s="5" t="str">
        <f>IFERROR(__xludf.DUMMYFUNCTION("""COMPUTED_VALUE"""),"elementl.com")</f>
        <v>elementl.com</v>
      </c>
      <c r="B657" s="5" t="str">
        <f>IFERROR(__xludf.DUMMYFUNCTION("""COMPUTED_VALUE"""),"swile.co")</f>
        <v>swile.co</v>
      </c>
    </row>
    <row r="658">
      <c r="A658" s="5" t="str">
        <f>IFERROR(__xludf.DUMMYFUNCTION("""COMPUTED_VALUE"""),"outbrain.com")</f>
        <v>outbrain.com</v>
      </c>
      <c r="B658" s="5" t="str">
        <f>IFERROR(__xludf.DUMMYFUNCTION("""COMPUTED_VALUE"""),"vizcom.ai")</f>
        <v>vizcom.ai</v>
      </c>
    </row>
    <row r="659">
      <c r="A659" s="5" t="str">
        <f>IFERROR(__xludf.DUMMYFUNCTION("""COMPUTED_VALUE"""),"phaidra.ai")</f>
        <v>phaidra.ai</v>
      </c>
      <c r="B659" s="5" t="str">
        <f>IFERROR(__xludf.DUMMYFUNCTION("""COMPUTED_VALUE"""),"wetravel.com")</f>
        <v>wetravel.com</v>
      </c>
    </row>
    <row r="660">
      <c r="A660" s="5" t="str">
        <f>IFERROR(__xludf.DUMMYFUNCTION("""COMPUTED_VALUE"""),"sofiasalud.com")</f>
        <v>sofiasalud.com</v>
      </c>
      <c r="B660" s="5" t="str">
        <f>IFERROR(__xludf.DUMMYFUNCTION("""COMPUTED_VALUE"""),"ramp.com")</f>
        <v>ramp.com</v>
      </c>
    </row>
    <row r="661">
      <c r="A661" s="5" t="str">
        <f>IFERROR(__xludf.DUMMYFUNCTION("""COMPUTED_VALUE"""),"sylvera.com")</f>
        <v>sylvera.com</v>
      </c>
      <c r="B661" s="5" t="str">
        <f>IFERROR(__xludf.DUMMYFUNCTION("""COMPUTED_VALUE"""),"konghq.com")</f>
        <v>konghq.com</v>
      </c>
    </row>
    <row r="662">
      <c r="A662" s="5" t="str">
        <f>IFERROR(__xludf.DUMMYFUNCTION("""COMPUTED_VALUE"""),"en.tacto.ai")</f>
        <v>en.tacto.ai</v>
      </c>
      <c r="B662" s="5" t="str">
        <f>IFERROR(__xludf.DUMMYFUNCTION("""COMPUTED_VALUE"""),"personio.com")</f>
        <v>personio.com</v>
      </c>
    </row>
    <row r="663">
      <c r="A663" s="5" t="str">
        <f>IFERROR(__xludf.DUMMYFUNCTION("""COMPUTED_VALUE"""),"weaviate.io")</f>
        <v>weaviate.io</v>
      </c>
      <c r="B663" s="5" t="str">
        <f>IFERROR(__xludf.DUMMYFUNCTION("""COMPUTED_VALUE"""),"servicetitan.com")</f>
        <v>servicetitan.com</v>
      </c>
    </row>
    <row r="664">
      <c r="A664" s="5" t="str">
        <f>IFERROR(__xludf.DUMMYFUNCTION("""COMPUTED_VALUE"""),"montonio.com")</f>
        <v>montonio.com</v>
      </c>
      <c r="B664" s="5" t="str">
        <f>IFERROR(__xludf.DUMMYFUNCTION("""COMPUTED_VALUE"""),"transcend.io")</f>
        <v>transcend.io</v>
      </c>
    </row>
    <row r="665">
      <c r="A665" s="5" t="str">
        <f>IFERROR(__xludf.DUMMYFUNCTION("""COMPUTED_VALUE"""),"openx.com")</f>
        <v>openx.com</v>
      </c>
      <c r="B665" s="5" t="str">
        <f>IFERROR(__xludf.DUMMYFUNCTION("""COMPUTED_VALUE"""),"abacus.ai")</f>
        <v>abacus.ai</v>
      </c>
    </row>
    <row r="666">
      <c r="A666" s="5" t="str">
        <f>IFERROR(__xludf.DUMMYFUNCTION("""COMPUTED_VALUE"""),"savvywealth.com")</f>
        <v>savvywealth.com</v>
      </c>
      <c r="B666" s="5" t="str">
        <f>IFERROR(__xludf.DUMMYFUNCTION("""COMPUTED_VALUE"""),"adaptive-ml.com")</f>
        <v>adaptive-ml.com</v>
      </c>
    </row>
    <row r="667">
      <c r="A667" s="5" t="str">
        <f>IFERROR(__xludf.DUMMYFUNCTION("""COMPUTED_VALUE"""),"swile.co")</f>
        <v>swile.co</v>
      </c>
      <c r="B667" s="5" t="str">
        <f>IFERROR(__xludf.DUMMYFUNCTION("""COMPUTED_VALUE"""),"applyboard.com")</f>
        <v>applyboard.com</v>
      </c>
    </row>
    <row r="668">
      <c r="A668" s="5" t="str">
        <f>IFERROR(__xludf.DUMMYFUNCTION("""COMPUTED_VALUE"""),"vizcom.ai")</f>
        <v>vizcom.ai</v>
      </c>
      <c r="B668" s="5" t="str">
        <f>IFERROR(__xludf.DUMMYFUNCTION("""COMPUTED_VALUE"""),"behavox.com")</f>
        <v>behavox.com</v>
      </c>
    </row>
    <row r="669">
      <c r="A669" s="5" t="str">
        <f>IFERROR(__xludf.DUMMYFUNCTION("""COMPUTED_VALUE"""),"wetravel.com")</f>
        <v>wetravel.com</v>
      </c>
      <c r="B669" s="5" t="str">
        <f>IFERROR(__xludf.DUMMYFUNCTION("""COMPUTED_VALUE"""),"brightgo.com")</f>
        <v>brightgo.com</v>
      </c>
    </row>
    <row r="670">
      <c r="A670" s="5" t="str">
        <f>IFERROR(__xludf.DUMMYFUNCTION("""COMPUTED_VALUE"""),"ramp.com")</f>
        <v>ramp.com</v>
      </c>
      <c r="B670" s="5" t="str">
        <f>IFERROR(__xludf.DUMMYFUNCTION("""COMPUTED_VALUE"""),"coalitioninc.com")</f>
        <v>coalitioninc.com</v>
      </c>
    </row>
    <row r="671">
      <c r="A671" s="5" t="str">
        <f>IFERROR(__xludf.DUMMYFUNCTION("""COMPUTED_VALUE"""),"konghq.com")</f>
        <v>konghq.com</v>
      </c>
      <c r="B671" s="5" t="str">
        <f>IFERROR(__xludf.DUMMYFUNCTION("""COMPUTED_VALUE"""),"collibra.com")</f>
        <v>collibra.com</v>
      </c>
    </row>
    <row r="672">
      <c r="A672" s="5" t="str">
        <f>IFERROR(__xludf.DUMMYFUNCTION("""COMPUTED_VALUE"""),"personio.com")</f>
        <v>personio.com</v>
      </c>
      <c r="B672" s="5" t="str">
        <f>IFERROR(__xludf.DUMMYFUNCTION("""COMPUTED_VALUE"""),"complyadvantage.com")</f>
        <v>complyadvantage.com</v>
      </c>
    </row>
    <row r="673">
      <c r="A673" s="5" t="str">
        <f>IFERROR(__xludf.DUMMYFUNCTION("""COMPUTED_VALUE"""),"servicetitan.com")</f>
        <v>servicetitan.com</v>
      </c>
      <c r="B673" s="5" t="str">
        <f>IFERROR(__xludf.DUMMYFUNCTION("""COMPUTED_VALUE"""),"covariant.ai")</f>
        <v>covariant.ai</v>
      </c>
    </row>
    <row r="674">
      <c r="A674" s="5" t="str">
        <f>IFERROR(__xludf.DUMMYFUNCTION("""COMPUTED_VALUE"""),"transcend.io")</f>
        <v>transcend.io</v>
      </c>
      <c r="B674" s="6" t="str">
        <f>IFERROR(__xludf.DUMMYFUNCTION("""COMPUTED_VALUE"""),"cradle.bio")</f>
        <v>cradle.bio</v>
      </c>
    </row>
    <row r="675">
      <c r="A675" s="5" t="str">
        <f>IFERROR(__xludf.DUMMYFUNCTION("""COMPUTED_VALUE"""),"abacus.ai")</f>
        <v>abacus.ai</v>
      </c>
      <c r="B675" s="5" t="str">
        <f>IFERROR(__xludf.DUMMYFUNCTION("""COMPUTED_VALUE"""),"cultureamp.com")</f>
        <v>cultureamp.com</v>
      </c>
    </row>
    <row r="676">
      <c r="A676" s="5" t="str">
        <f>IFERROR(__xludf.DUMMYFUNCTION("""COMPUTED_VALUE"""),"adaptive-ml.com")</f>
        <v>adaptive-ml.com</v>
      </c>
      <c r="B676" s="5" t="str">
        <f>IFERROR(__xludf.DUMMYFUNCTION("""COMPUTED_VALUE"""),"edited.com")</f>
        <v>edited.com</v>
      </c>
    </row>
    <row r="677">
      <c r="A677" s="5" t="str">
        <f>IFERROR(__xludf.DUMMYFUNCTION("""COMPUTED_VALUE"""),"applyboard.com")</f>
        <v>applyboard.com</v>
      </c>
      <c r="B677" s="5" t="str">
        <f>IFERROR(__xludf.DUMMYFUNCTION("""COMPUTED_VALUE"""),"evervault.com")</f>
        <v>evervault.com</v>
      </c>
    </row>
    <row r="678">
      <c r="A678" s="5" t="str">
        <f>IFERROR(__xludf.DUMMYFUNCTION("""COMPUTED_VALUE"""),"behavox.com")</f>
        <v>behavox.com</v>
      </c>
      <c r="B678" s="5" t="str">
        <f>IFERROR(__xludf.DUMMYFUNCTION("""COMPUTED_VALUE"""),"fonoa.com")</f>
        <v>fonoa.com</v>
      </c>
    </row>
    <row r="679">
      <c r="A679" s="5" t="str">
        <f>IFERROR(__xludf.DUMMYFUNCTION("""COMPUTED_VALUE"""),"brightgo.com")</f>
        <v>brightgo.com</v>
      </c>
      <c r="B679" s="5" t="str">
        <f>IFERROR(__xludf.DUMMYFUNCTION("""COMPUTED_VALUE"""),"instabase.com")</f>
        <v>instabase.com</v>
      </c>
    </row>
    <row r="680">
      <c r="A680" s="5" t="str">
        <f>IFERROR(__xludf.DUMMYFUNCTION("""COMPUTED_VALUE"""),"coalitioninc.com")</f>
        <v>coalitioninc.com</v>
      </c>
      <c r="B680" s="5" t="str">
        <f>IFERROR(__xludf.DUMMYFUNCTION("""COMPUTED_VALUE"""),"lookout.com")</f>
        <v>lookout.com</v>
      </c>
    </row>
    <row r="681">
      <c r="A681" s="5" t="str">
        <f>IFERROR(__xludf.DUMMYFUNCTION("""COMPUTED_VALUE"""),"collibra.com")</f>
        <v>collibra.com</v>
      </c>
      <c r="B681" s="5" t="str">
        <f>IFERROR(__xludf.DUMMYFUNCTION("""COMPUTED_VALUE"""),"loop.com")</f>
        <v>loop.com</v>
      </c>
    </row>
    <row r="682">
      <c r="A682" s="5" t="str">
        <f>IFERROR(__xludf.DUMMYFUNCTION("""COMPUTED_VALUE"""),"complyadvantage.com")</f>
        <v>complyadvantage.com</v>
      </c>
      <c r="B682" s="5" t="str">
        <f>IFERROR(__xludf.DUMMYFUNCTION("""COMPUTED_VALUE"""),"keeptruckin.com")</f>
        <v>keeptruckin.com</v>
      </c>
    </row>
    <row r="683">
      <c r="A683" s="5" t="str">
        <f>IFERROR(__xludf.DUMMYFUNCTION("""COMPUTED_VALUE"""),"covariant.ai")</f>
        <v>covariant.ai</v>
      </c>
      <c r="B683" s="5" t="str">
        <f>IFERROR(__xludf.DUMMYFUNCTION("""COMPUTED_VALUE"""),"novus.com")</f>
        <v>novus.com</v>
      </c>
    </row>
    <row r="684">
      <c r="A684" s="6" t="str">
        <f>IFERROR(__xludf.DUMMYFUNCTION("""COMPUTED_VALUE"""),"cradle.bio")</f>
        <v>cradle.bio</v>
      </c>
      <c r="B684" s="5" t="str">
        <f>IFERROR(__xludf.DUMMYFUNCTION("""COMPUTED_VALUE"""),"pentaho.com")</f>
        <v>pentaho.com</v>
      </c>
    </row>
    <row r="685">
      <c r="A685" s="5" t="str">
        <f>IFERROR(__xludf.DUMMYFUNCTION("""COMPUTED_VALUE"""),"cultureamp.com")</f>
        <v>cultureamp.com</v>
      </c>
      <c r="B685" s="5" t="str">
        <f>IFERROR(__xludf.DUMMYFUNCTION("""COMPUTED_VALUE"""),"pitch.com")</f>
        <v>pitch.com</v>
      </c>
    </row>
    <row r="686">
      <c r="A686" s="5" t="str">
        <f>IFERROR(__xludf.DUMMYFUNCTION("""COMPUTED_VALUE"""),"edited.com")</f>
        <v>edited.com</v>
      </c>
      <c r="B686" s="5" t="str">
        <f>IFERROR(__xludf.DUMMYFUNCTION("""COMPUTED_VALUE"""),"pomelo.la")</f>
        <v>pomelo.la</v>
      </c>
    </row>
    <row r="687">
      <c r="A687" s="5" t="str">
        <f>IFERROR(__xludf.DUMMYFUNCTION("""COMPUTED_VALUE"""),"evervault.com")</f>
        <v>evervault.com</v>
      </c>
      <c r="B687" s="5" t="str">
        <f>IFERROR(__xludf.DUMMYFUNCTION("""COMPUTED_VALUE"""),"productboard.com")</f>
        <v>productboard.com</v>
      </c>
    </row>
    <row r="688">
      <c r="A688" s="5" t="str">
        <f>IFERROR(__xludf.DUMMYFUNCTION("""COMPUTED_VALUE"""),"fonoa.com")</f>
        <v>fonoa.com</v>
      </c>
      <c r="B688" s="5" t="str">
        <f>IFERROR(__xludf.DUMMYFUNCTION("""COMPUTED_VALUE"""),"quantive.com")</f>
        <v>quantive.com</v>
      </c>
    </row>
    <row r="689">
      <c r="A689" s="5" t="str">
        <f>IFERROR(__xludf.DUMMYFUNCTION("""COMPUTED_VALUE"""),"instabase.com")</f>
        <v>instabase.com</v>
      </c>
      <c r="B689" s="5" t="str">
        <f>IFERROR(__xludf.DUMMYFUNCTION("""COMPUTED_VALUE"""),"readyset.io")</f>
        <v>readyset.io</v>
      </c>
    </row>
    <row r="690">
      <c r="A690" s="5" t="str">
        <f>IFERROR(__xludf.DUMMYFUNCTION("""COMPUTED_VALUE"""),"lookout.com")</f>
        <v>lookout.com</v>
      </c>
      <c r="B690" s="5" t="str">
        <f>IFERROR(__xludf.DUMMYFUNCTION("""COMPUTED_VALUE"""),"remote.com")</f>
        <v>remote.com</v>
      </c>
    </row>
    <row r="691">
      <c r="A691" s="5" t="str">
        <f>IFERROR(__xludf.DUMMYFUNCTION("""COMPUTED_VALUE"""),"loop.com")</f>
        <v>loop.com</v>
      </c>
      <c r="B691" s="5" t="str">
        <f>IFERROR(__xludf.DUMMYFUNCTION("""COMPUTED_VALUE"""),"revenuecat.com")</f>
        <v>revenuecat.com</v>
      </c>
    </row>
    <row r="692">
      <c r="A692" s="5" t="str">
        <f>IFERROR(__xludf.DUMMYFUNCTION("""COMPUTED_VALUE"""),"keeptruckin.com")</f>
        <v>keeptruckin.com</v>
      </c>
      <c r="B692" s="5" t="str">
        <f>IFERROR(__xludf.DUMMYFUNCTION("""COMPUTED_VALUE"""),"scale.com")</f>
        <v>scale.com</v>
      </c>
    </row>
    <row r="693">
      <c r="A693" s="5" t="str">
        <f>IFERROR(__xludf.DUMMYFUNCTION("""COMPUTED_VALUE"""),"novus.com")</f>
        <v>novus.com</v>
      </c>
      <c r="B693" s="5" t="str">
        <f>IFERROR(__xludf.DUMMYFUNCTION("""COMPUTED_VALUE"""),"seedlegals.com")</f>
        <v>seedlegals.com</v>
      </c>
    </row>
    <row r="694">
      <c r="A694" s="5" t="str">
        <f>IFERROR(__xludf.DUMMYFUNCTION("""COMPUTED_VALUE"""),"pentaho.com")</f>
        <v>pentaho.com</v>
      </c>
      <c r="B694" s="5" t="str">
        <f>IFERROR(__xludf.DUMMYFUNCTION("""COMPUTED_VALUE"""),"shopmonkey.io")</f>
        <v>shopmonkey.io</v>
      </c>
    </row>
    <row r="695">
      <c r="A695" s="5" t="str">
        <f>IFERROR(__xludf.DUMMYFUNCTION("""COMPUTED_VALUE"""),"pitch.com")</f>
        <v>pitch.com</v>
      </c>
      <c r="B695" s="5" t="str">
        <f>IFERROR(__xludf.DUMMYFUNCTION("""COMPUTED_VALUE"""),"silverfin.com")</f>
        <v>silverfin.com</v>
      </c>
    </row>
    <row r="696">
      <c r="A696" s="5" t="str">
        <f>IFERROR(__xludf.DUMMYFUNCTION("""COMPUTED_VALUE"""),"pomelo.la")</f>
        <v>pomelo.la</v>
      </c>
      <c r="B696" s="5" t="str">
        <f>IFERROR(__xludf.DUMMYFUNCTION("""COMPUTED_VALUE"""),"socialbakers.com")</f>
        <v>socialbakers.com</v>
      </c>
    </row>
    <row r="697">
      <c r="A697" s="5" t="str">
        <f>IFERROR(__xludf.DUMMYFUNCTION("""COMPUTED_VALUE"""),"productboard.com")</f>
        <v>productboard.com</v>
      </c>
      <c r="B697" s="5" t="str">
        <f>IFERROR(__xludf.DUMMYFUNCTION("""COMPUTED_VALUE"""),"starburstdata.com")</f>
        <v>starburstdata.com</v>
      </c>
    </row>
    <row r="698">
      <c r="A698" s="5" t="str">
        <f>IFERROR(__xludf.DUMMYFUNCTION("""COMPUTED_VALUE"""),"quantive.com")</f>
        <v>quantive.com</v>
      </c>
      <c r="B698" s="5" t="str">
        <f>IFERROR(__xludf.DUMMYFUNCTION("""COMPUTED_VALUE"""),"strapi.io")</f>
        <v>strapi.io</v>
      </c>
    </row>
    <row r="699">
      <c r="A699" s="5" t="str">
        <f>IFERROR(__xludf.DUMMYFUNCTION("""COMPUTED_VALUE"""),"readyset.io")</f>
        <v>readyset.io</v>
      </c>
      <c r="B699" s="5" t="str">
        <f>IFERROR(__xludf.DUMMYFUNCTION("""COMPUTED_VALUE"""),"thatch.ai")</f>
        <v>thatch.ai</v>
      </c>
    </row>
    <row r="700">
      <c r="A700" s="5" t="str">
        <f>IFERROR(__xludf.DUMMYFUNCTION("""COMPUTED_VALUE"""),"remote.com")</f>
        <v>remote.com</v>
      </c>
      <c r="B700" s="5" t="str">
        <f>IFERROR(__xludf.DUMMYFUNCTION("""COMPUTED_VALUE"""),"typeform.com")</f>
        <v>typeform.com</v>
      </c>
    </row>
    <row r="701">
      <c r="A701" s="5" t="str">
        <f>IFERROR(__xludf.DUMMYFUNCTION("""COMPUTED_VALUE"""),"revenuecat.com")</f>
        <v>revenuecat.com</v>
      </c>
      <c r="B701" s="5" t="str">
        <f>IFERROR(__xludf.DUMMYFUNCTION("""COMPUTED_VALUE"""),"upollo.ai")</f>
        <v>upollo.ai</v>
      </c>
    </row>
    <row r="702">
      <c r="A702" s="5" t="str">
        <f>IFERROR(__xludf.DUMMYFUNCTION("""COMPUTED_VALUE"""),"scale.com")</f>
        <v>scale.com</v>
      </c>
      <c r="B702" s="5" t="str">
        <f>IFERROR(__xludf.DUMMYFUNCTION("""COMPUTED_VALUE"""),"valdera.com")</f>
        <v>valdera.com</v>
      </c>
    </row>
    <row r="703">
      <c r="A703" s="5" t="str">
        <f>IFERROR(__xludf.DUMMYFUNCTION("""COMPUTED_VALUE"""),"seedlegals.com")</f>
        <v>seedlegals.com</v>
      </c>
      <c r="B703" s="5" t="str">
        <f>IFERROR(__xludf.DUMMYFUNCTION("""COMPUTED_VALUE"""),"wordsmith.ai")</f>
        <v>wordsmith.ai</v>
      </c>
    </row>
    <row r="704">
      <c r="A704" s="5" t="str">
        <f>IFERROR(__xludf.DUMMYFUNCTION("""COMPUTED_VALUE"""),"shopmonkey.io")</f>
        <v>shopmonkey.io</v>
      </c>
      <c r="B704" s="5" t="str">
        <f>IFERROR(__xludf.DUMMYFUNCTION("""COMPUTED_VALUE"""),"worldover.io")</f>
        <v>worldover.io</v>
      </c>
    </row>
    <row r="705">
      <c r="A705" s="5" t="str">
        <f>IFERROR(__xludf.DUMMYFUNCTION("""COMPUTED_VALUE"""),"silverfin.com")</f>
        <v>silverfin.com</v>
      </c>
      <c r="B705" s="5" t="str">
        <f>IFERROR(__xludf.DUMMYFUNCTION("""COMPUTED_VALUE"""),"arista.com")</f>
        <v>arista.com</v>
      </c>
    </row>
    <row r="706">
      <c r="A706" s="5" t="str">
        <f>IFERROR(__xludf.DUMMYFUNCTION("""COMPUTED_VALUE"""),"socialbakers.com")</f>
        <v>socialbakers.com</v>
      </c>
      <c r="B706" s="5" t="str">
        <f>IFERROR(__xludf.DUMMYFUNCTION("""COMPUTED_VALUE"""),"centrify.com")</f>
        <v>centrify.com</v>
      </c>
    </row>
    <row r="707">
      <c r="A707" s="5" t="str">
        <f>IFERROR(__xludf.DUMMYFUNCTION("""COMPUTED_VALUE"""),"starburstdata.com")</f>
        <v>starburstdata.com</v>
      </c>
      <c r="B707" s="5" t="str">
        <f>IFERROR(__xludf.DUMMYFUNCTION("""COMPUTED_VALUE"""),"elastic.co")</f>
        <v>elastic.co</v>
      </c>
    </row>
    <row r="708">
      <c r="A708" s="5" t="str">
        <f>IFERROR(__xludf.DUMMYFUNCTION("""COMPUTED_VALUE"""),"strapi.io")</f>
        <v>strapi.io</v>
      </c>
      <c r="B708" s="5" t="str">
        <f>IFERROR(__xludf.DUMMYFUNCTION("""COMPUTED_VALUE"""),"flatfair.co.uk")</f>
        <v>flatfair.co.uk</v>
      </c>
    </row>
    <row r="709">
      <c r="A709" s="5" t="str">
        <f>IFERROR(__xludf.DUMMYFUNCTION("""COMPUTED_VALUE"""),"thatch.ai")</f>
        <v>thatch.ai</v>
      </c>
      <c r="B709" s="5" t="str">
        <f>IFERROR(__xludf.DUMMYFUNCTION("""COMPUTED_VALUE"""),"nexos.ai")</f>
        <v>nexos.ai</v>
      </c>
    </row>
    <row r="710">
      <c r="A710" s="5" t="str">
        <f>IFERROR(__xludf.DUMMYFUNCTION("""COMPUTED_VALUE"""),"typeform.com")</f>
        <v>typeform.com</v>
      </c>
      <c r="B710" s="5" t="str">
        <f>IFERROR(__xludf.DUMMYFUNCTION("""COMPUTED_VALUE"""),"novacredit.com")</f>
        <v>novacredit.com</v>
      </c>
    </row>
    <row r="711">
      <c r="A711" s="5" t="str">
        <f>IFERROR(__xludf.DUMMYFUNCTION("""COMPUTED_VALUE"""),"upollo.ai")</f>
        <v>upollo.ai</v>
      </c>
      <c r="B711" s="5" t="str">
        <f>IFERROR(__xludf.DUMMYFUNCTION("""COMPUTED_VALUE"""),"signalsciences.com")</f>
        <v>signalsciences.com</v>
      </c>
    </row>
    <row r="712">
      <c r="A712" s="5" t="str">
        <f>IFERROR(__xludf.DUMMYFUNCTION("""COMPUTED_VALUE"""),"valdera.com")</f>
        <v>valdera.com</v>
      </c>
      <c r="B712" s="5" t="str">
        <f>IFERROR(__xludf.DUMMYFUNCTION("""COMPUTED_VALUE"""),"superlinked.com")</f>
        <v>superlinked.com</v>
      </c>
    </row>
    <row r="713">
      <c r="A713" s="5" t="str">
        <f>IFERROR(__xludf.DUMMYFUNCTION("""COMPUTED_VALUE"""),"wordsmith.ai")</f>
        <v>wordsmith.ai</v>
      </c>
      <c r="B713" s="5" t="str">
        <f>IFERROR(__xludf.DUMMYFUNCTION("""COMPUTED_VALUE"""),"twelvelabs.io")</f>
        <v>twelvelabs.io</v>
      </c>
    </row>
    <row r="714">
      <c r="A714" s="5" t="str">
        <f>IFERROR(__xludf.DUMMYFUNCTION("""COMPUTED_VALUE"""),"worldover.io")</f>
        <v>worldover.io</v>
      </c>
      <c r="B714" s="5" t="str">
        <f>IFERROR(__xludf.DUMMYFUNCTION("""COMPUTED_VALUE"""),"getapron.com")</f>
        <v>getapron.com</v>
      </c>
    </row>
    <row r="715">
      <c r="A715" s="5" t="str">
        <f>IFERROR(__xludf.DUMMYFUNCTION("""COMPUTED_VALUE"""),"arista.com")</f>
        <v>arista.com</v>
      </c>
      <c r="B715" s="5" t="str">
        <f>IFERROR(__xludf.DUMMYFUNCTION("""COMPUTED_VALUE"""),"bighealth.com")</f>
        <v>bighealth.com</v>
      </c>
    </row>
    <row r="716">
      <c r="A716" s="5" t="str">
        <f>IFERROR(__xludf.DUMMYFUNCTION("""COMPUTED_VALUE"""),"centrify.com")</f>
        <v>centrify.com</v>
      </c>
      <c r="B716" s="5" t="str">
        <f>IFERROR(__xludf.DUMMYFUNCTION("""COMPUTED_VALUE"""),"codesignal.com")</f>
        <v>codesignal.com</v>
      </c>
    </row>
    <row r="717">
      <c r="A717" s="5" t="str">
        <f>IFERROR(__xludf.DUMMYFUNCTION("""COMPUTED_VALUE"""),"elastic.co")</f>
        <v>elastic.co</v>
      </c>
      <c r="B717" s="5" t="str">
        <f>IFERROR(__xludf.DUMMYFUNCTION("""COMPUTED_VALUE"""),"kayrros.com")</f>
        <v>kayrros.com</v>
      </c>
    </row>
    <row r="718">
      <c r="A718" s="5" t="str">
        <f>IFERROR(__xludf.DUMMYFUNCTION("""COMPUTED_VALUE"""),"flatfair.co.uk")</f>
        <v>flatfair.co.uk</v>
      </c>
      <c r="B718" s="6" t="str">
        <f>IFERROR(__xludf.DUMMYFUNCTION("""COMPUTED_VALUE"""),"aurora.tech")</f>
        <v>aurora.tech</v>
      </c>
    </row>
    <row r="719">
      <c r="A719" s="5" t="str">
        <f>IFERROR(__xludf.DUMMYFUNCTION("""COMPUTED_VALUE"""),"nexos.ai")</f>
        <v>nexos.ai</v>
      </c>
      <c r="B719" s="5" t="str">
        <f>IFERROR(__xludf.DUMMYFUNCTION("""COMPUTED_VALUE"""),"beamimpact.com")</f>
        <v>beamimpact.com</v>
      </c>
    </row>
    <row r="720">
      <c r="A720" s="5" t="str">
        <f>IFERROR(__xludf.DUMMYFUNCTION("""COMPUTED_VALUE"""),"novacredit.com")</f>
        <v>novacredit.com</v>
      </c>
      <c r="B720" s="5" t="str">
        <f>IFERROR(__xludf.DUMMYFUNCTION("""COMPUTED_VALUE"""),"bitpay.com")</f>
        <v>bitpay.com</v>
      </c>
    </row>
    <row r="721">
      <c r="A721" s="5" t="str">
        <f>IFERROR(__xludf.DUMMYFUNCTION("""COMPUTED_VALUE"""),"signalsciences.com")</f>
        <v>signalsciences.com</v>
      </c>
      <c r="B721" s="5" t="str">
        <f>IFERROR(__xludf.DUMMYFUNCTION("""COMPUTED_VALUE"""),"capitolis.com")</f>
        <v>capitolis.com</v>
      </c>
    </row>
    <row r="722">
      <c r="A722" s="5" t="str">
        <f>IFERROR(__xludf.DUMMYFUNCTION("""COMPUTED_VALUE"""),"superlinked.com")</f>
        <v>superlinked.com</v>
      </c>
      <c r="B722" s="5" t="str">
        <f>IFERROR(__xludf.DUMMYFUNCTION("""COMPUTED_VALUE"""),"captions.ai")</f>
        <v>captions.ai</v>
      </c>
    </row>
    <row r="723">
      <c r="A723" s="5" t="str">
        <f>IFERROR(__xludf.DUMMYFUNCTION("""COMPUTED_VALUE"""),"twelvelabs.io")</f>
        <v>twelvelabs.io</v>
      </c>
      <c r="B723" s="5" t="str">
        <f>IFERROR(__xludf.DUMMYFUNCTION("""COMPUTED_VALUE"""),"climate.com")</f>
        <v>climate.com</v>
      </c>
    </row>
    <row r="724">
      <c r="A724" s="5" t="str">
        <f>IFERROR(__xludf.DUMMYFUNCTION("""COMPUTED_VALUE"""),"getapron.com")</f>
        <v>getapron.com</v>
      </c>
      <c r="B724" s="5" t="str">
        <f>IFERROR(__xludf.DUMMYFUNCTION("""COMPUTED_VALUE"""),"codecademy.com")</f>
        <v>codecademy.com</v>
      </c>
    </row>
    <row r="725">
      <c r="A725" s="5" t="str">
        <f>IFERROR(__xludf.DUMMYFUNCTION("""COMPUTED_VALUE"""),"bighealth.com")</f>
        <v>bighealth.com</v>
      </c>
      <c r="B725" s="5" t="str">
        <f>IFERROR(__xludf.DUMMYFUNCTION("""COMPUTED_VALUE"""),"deepl.com")</f>
        <v>deepl.com</v>
      </c>
    </row>
    <row r="726">
      <c r="A726" s="5" t="str">
        <f>IFERROR(__xludf.DUMMYFUNCTION("""COMPUTED_VALUE"""),"codesignal.com")</f>
        <v>codesignal.com</v>
      </c>
      <c r="B726" s="5" t="str">
        <f>IFERROR(__xludf.DUMMYFUNCTION("""COMPUTED_VALUE"""),"discordapp.com")</f>
        <v>discordapp.com</v>
      </c>
    </row>
    <row r="727">
      <c r="A727" s="5" t="str">
        <f>IFERROR(__xludf.DUMMYFUNCTION("""COMPUTED_VALUE"""),"kayrros.com")</f>
        <v>kayrros.com</v>
      </c>
      <c r="B727" s="5" t="str">
        <f>IFERROR(__xludf.DUMMYFUNCTION("""COMPUTED_VALUE"""),"dotproduct.xyz")</f>
        <v>dotproduct.xyz</v>
      </c>
    </row>
    <row r="728">
      <c r="A728" s="6" t="str">
        <f>IFERROR(__xludf.DUMMYFUNCTION("""COMPUTED_VALUE"""),"aurora.tech")</f>
        <v>aurora.tech</v>
      </c>
      <c r="B728" s="5" t="str">
        <f>IFERROR(__xludf.DUMMYFUNCTION("""COMPUTED_VALUE"""),"gatsbyjs.com")</f>
        <v>gatsbyjs.com</v>
      </c>
    </row>
    <row r="729">
      <c r="A729" s="5" t="str">
        <f>IFERROR(__xludf.DUMMYFUNCTION("""COMPUTED_VALUE"""),"beamimpact.com")</f>
        <v>beamimpact.com</v>
      </c>
      <c r="B729" s="5" t="str">
        <f>IFERROR(__xludf.DUMMYFUNCTION("""COMPUTED_VALUE"""),"humu.com")</f>
        <v>humu.com</v>
      </c>
    </row>
    <row r="730">
      <c r="A730" s="5" t="str">
        <f>IFERROR(__xludf.DUMMYFUNCTION("""COMPUTED_VALUE"""),"bitpay.com")</f>
        <v>bitpay.com</v>
      </c>
      <c r="B730" s="5" t="str">
        <f>IFERROR(__xludf.DUMMYFUNCTION("""COMPUTED_VALUE"""),"izettle.com")</f>
        <v>izettle.com</v>
      </c>
    </row>
    <row r="731">
      <c r="A731" s="5" t="str">
        <f>IFERROR(__xludf.DUMMYFUNCTION("""COMPUTED_VALUE"""),"capitolis.com")</f>
        <v>capitolis.com</v>
      </c>
      <c r="B731" s="5" t="str">
        <f>IFERROR(__xludf.DUMMYFUNCTION("""COMPUTED_VALUE"""),"lightning.ai")</f>
        <v>lightning.ai</v>
      </c>
    </row>
    <row r="732">
      <c r="A732" s="5" t="str">
        <f>IFERROR(__xludf.DUMMYFUNCTION("""COMPUTED_VALUE"""),"captions.ai")</f>
        <v>captions.ai</v>
      </c>
      <c r="B732" s="5" t="str">
        <f>IFERROR(__xludf.DUMMYFUNCTION("""COMPUTED_VALUE"""),"navabi.tv")</f>
        <v>navabi.tv</v>
      </c>
    </row>
    <row r="733">
      <c r="A733" s="5" t="str">
        <f>IFERROR(__xludf.DUMMYFUNCTION("""COMPUTED_VALUE"""),"climate.com")</f>
        <v>climate.com</v>
      </c>
      <c r="B733" s="5" t="str">
        <f>IFERROR(__xludf.DUMMYFUNCTION("""COMPUTED_VALUE"""),"multiverse.io")</f>
        <v>multiverse.io</v>
      </c>
    </row>
    <row r="734">
      <c r="A734" s="5" t="str">
        <f>IFERROR(__xludf.DUMMYFUNCTION("""COMPUTED_VALUE"""),"codecademy.com")</f>
        <v>codecademy.com</v>
      </c>
      <c r="B734" s="5" t="str">
        <f>IFERROR(__xludf.DUMMYFUNCTION("""COMPUTED_VALUE"""),"natoma.id")</f>
        <v>natoma.id</v>
      </c>
    </row>
    <row r="735">
      <c r="A735" s="5" t="str">
        <f>IFERROR(__xludf.DUMMYFUNCTION("""COMPUTED_VALUE"""),"deepl.com")</f>
        <v>deepl.com</v>
      </c>
      <c r="B735" s="5" t="str">
        <f>IFERROR(__xludf.DUMMYFUNCTION("""COMPUTED_VALUE"""),"classcompanion.com")</f>
        <v>classcompanion.com</v>
      </c>
    </row>
    <row r="736">
      <c r="A736" s="5" t="str">
        <f>IFERROR(__xludf.DUMMYFUNCTION("""COMPUTED_VALUE"""),"discordapp.com")</f>
        <v>discordapp.com</v>
      </c>
      <c r="B736" s="5" t="str">
        <f>IFERROR(__xludf.DUMMYFUNCTION("""COMPUTED_VALUE"""),"coverwallet.com")</f>
        <v>coverwallet.com</v>
      </c>
    </row>
    <row r="737">
      <c r="A737" s="5" t="str">
        <f>IFERROR(__xludf.DUMMYFUNCTION("""COMPUTED_VALUE"""),"dotproduct.xyz")</f>
        <v>dotproduct.xyz</v>
      </c>
      <c r="B737" s="5" t="str">
        <f>IFERROR(__xludf.DUMMYFUNCTION("""COMPUTED_VALUE"""),"pilot.com")</f>
        <v>pilot.com</v>
      </c>
    </row>
    <row r="738">
      <c r="A738" s="5" t="str">
        <f>IFERROR(__xludf.DUMMYFUNCTION("""COMPUTED_VALUE"""),"duffel.com")</f>
        <v>duffel.com</v>
      </c>
      <c r="B738" s="5" t="str">
        <f>IFERROR(__xludf.DUMMYFUNCTION("""COMPUTED_VALUE"""),"sanlo.io")</f>
        <v>sanlo.io</v>
      </c>
    </row>
    <row r="739">
      <c r="A739" s="5" t="str">
        <f>IFERROR(__xludf.DUMMYFUNCTION("""COMPUTED_VALUE"""),"gatsbyjs.com")</f>
        <v>gatsbyjs.com</v>
      </c>
      <c r="B739" s="5" t="str">
        <f>IFERROR(__xludf.DUMMYFUNCTION("""COMPUTED_VALUE"""),"trello.com")</f>
        <v>trello.com</v>
      </c>
    </row>
    <row r="740">
      <c r="A740" s="5" t="str">
        <f>IFERROR(__xludf.DUMMYFUNCTION("""COMPUTED_VALUE"""),"humu.com")</f>
        <v>humu.com</v>
      </c>
      <c r="B740" s="6" t="str">
        <f>IFERROR(__xludf.DUMMYFUNCTION("""COMPUTED_VALUE"""),"alan.eu")</f>
        <v>alan.eu</v>
      </c>
    </row>
    <row r="741">
      <c r="A741" s="5" t="str">
        <f>IFERROR(__xludf.DUMMYFUNCTION("""COMPUTED_VALUE"""),"izettle.com")</f>
        <v>izettle.com</v>
      </c>
      <c r="B741" s="6" t="str">
        <f>IFERROR(__xludf.DUMMYFUNCTION("""COMPUTED_VALUE"""),"hoop.app")</f>
        <v>hoop.app</v>
      </c>
    </row>
    <row r="742">
      <c r="A742" s="5" t="str">
        <f>IFERROR(__xludf.DUMMYFUNCTION("""COMPUTED_VALUE"""),"lightning.ai")</f>
        <v>lightning.ai</v>
      </c>
      <c r="B742" s="6" t="str">
        <f>IFERROR(__xludf.DUMMYFUNCTION("""COMPUTED_VALUE"""),"loc.tax")</f>
        <v>loc.tax</v>
      </c>
    </row>
    <row r="743">
      <c r="A743" s="5" t="str">
        <f>IFERROR(__xludf.DUMMYFUNCTION("""COMPUTED_VALUE"""),"navabi.tv")</f>
        <v>navabi.tv</v>
      </c>
      <c r="B743" s="5" t="str">
        <f>IFERROR(__xludf.DUMMYFUNCTION("""COMPUTED_VALUE"""),"oanda.com")</f>
        <v>oanda.com</v>
      </c>
    </row>
    <row r="744">
      <c r="A744" s="5" t="str">
        <f>IFERROR(__xludf.DUMMYFUNCTION("""COMPUTED_VALUE"""),"multiverse.io")</f>
        <v>multiverse.io</v>
      </c>
      <c r="B744" s="6" t="str">
        <f>IFERROR(__xludf.DUMMYFUNCTION("""COMPUTED_VALUE"""),"rooser.eu")</f>
        <v>rooser.eu</v>
      </c>
    </row>
    <row r="745">
      <c r="A745" s="5" t="str">
        <f>IFERROR(__xludf.DUMMYFUNCTION("""COMPUTED_VALUE"""),"natoma.id")</f>
        <v>natoma.id</v>
      </c>
      <c r="B745" s="5" t="str">
        <f>IFERROR(__xludf.DUMMYFUNCTION("""COMPUTED_VALUE"""),"sourceful.com")</f>
        <v>sourceful.com</v>
      </c>
    </row>
    <row r="746">
      <c r="A746" s="5" t="str">
        <f>IFERROR(__xludf.DUMMYFUNCTION("""COMPUTED_VALUE"""),"classcompanion.com")</f>
        <v>classcompanion.com</v>
      </c>
      <c r="B746" s="5" t="str">
        <f>IFERROR(__xludf.DUMMYFUNCTION("""COMPUTED_VALUE"""),"squarespace.com")</f>
        <v>squarespace.com</v>
      </c>
    </row>
    <row r="747">
      <c r="A747" s="5" t="str">
        <f>IFERROR(__xludf.DUMMYFUNCTION("""COMPUTED_VALUE"""),"coverwallet.com")</f>
        <v>coverwallet.com</v>
      </c>
      <c r="B747" s="5" t="str">
        <f>IFERROR(__xludf.DUMMYFUNCTION("""COMPUTED_VALUE"""),"superconductive.com")</f>
        <v>superconductive.com</v>
      </c>
    </row>
    <row r="748">
      <c r="A748" s="5" t="str">
        <f>IFERROR(__xludf.DUMMYFUNCTION("""COMPUTED_VALUE"""),"pilot.com")</f>
        <v>pilot.com</v>
      </c>
      <c r="B748" s="5" t="str">
        <f>IFERROR(__xludf.DUMMYFUNCTION("""COMPUTED_VALUE"""),"temporal.io")</f>
        <v>temporal.io</v>
      </c>
    </row>
    <row r="749">
      <c r="A749" s="5" t="str">
        <f>IFERROR(__xludf.DUMMYFUNCTION("""COMPUTED_VALUE"""),"sanlo.io")</f>
        <v>sanlo.io</v>
      </c>
      <c r="B749" s="5" t="str">
        <f>IFERROR(__xludf.DUMMYFUNCTION("""COMPUTED_VALUE"""),"purestorage.com")</f>
        <v>purestorage.com</v>
      </c>
    </row>
    <row r="750">
      <c r="A750" s="5" t="str">
        <f>IFERROR(__xludf.DUMMYFUNCTION("""COMPUTED_VALUE"""),"trello.com")</f>
        <v>trello.com</v>
      </c>
      <c r="B750" s="5" t="str">
        <f>IFERROR(__xludf.DUMMYFUNCTION("""COMPUTED_VALUE"""),"getbuilt.com")</f>
        <v>getbuilt.com</v>
      </c>
    </row>
    <row r="751">
      <c r="A751" s="6" t="str">
        <f>IFERROR(__xludf.DUMMYFUNCTION("""COMPUTED_VALUE"""),"alan.eu")</f>
        <v>alan.eu</v>
      </c>
      <c r="B751" s="5" t="str">
        <f>IFERROR(__xludf.DUMMYFUNCTION("""COMPUTED_VALUE"""),"creditbenchmark.com")</f>
        <v>creditbenchmark.com</v>
      </c>
    </row>
    <row r="752">
      <c r="A752" s="6" t="str">
        <f>IFERROR(__xludf.DUMMYFUNCTION("""COMPUTED_VALUE"""),"hoop.app")</f>
        <v>hoop.app</v>
      </c>
      <c r="B752" s="5" t="str">
        <f>IFERROR(__xludf.DUMMYFUNCTION("""COMPUTED_VALUE"""),"nexthink.com")</f>
        <v>nexthink.com</v>
      </c>
    </row>
    <row r="753">
      <c r="A753" s="6" t="str">
        <f>IFERROR(__xludf.DUMMYFUNCTION("""COMPUTED_VALUE"""),"loc.tax")</f>
        <v>loc.tax</v>
      </c>
      <c r="B753" s="5" t="str">
        <f>IFERROR(__xludf.DUMMYFUNCTION("""COMPUTED_VALUE"""),"sesolabor.com")</f>
        <v>sesolabor.com</v>
      </c>
    </row>
    <row r="754">
      <c r="A754" s="5" t="str">
        <f>IFERROR(__xludf.DUMMYFUNCTION("""COMPUTED_VALUE"""),"oanda.com")</f>
        <v>oanda.com</v>
      </c>
      <c r="B754" s="5" t="str">
        <f>IFERROR(__xludf.DUMMYFUNCTION("""COMPUTED_VALUE"""),"adyen.com")</f>
        <v>adyen.com</v>
      </c>
    </row>
    <row r="755">
      <c r="A755" s="6" t="str">
        <f>IFERROR(__xludf.DUMMYFUNCTION("""COMPUTED_VALUE"""),"rooser.eu")</f>
        <v>rooser.eu</v>
      </c>
      <c r="B755" s="5" t="str">
        <f>IFERROR(__xludf.DUMMYFUNCTION("""COMPUTED_VALUE"""),"boku.com")</f>
        <v>boku.com</v>
      </c>
    </row>
    <row r="756">
      <c r="A756" s="5" t="str">
        <f>IFERROR(__xludf.DUMMYFUNCTION("""COMPUTED_VALUE"""),"sourceful.com")</f>
        <v>sourceful.com</v>
      </c>
      <c r="B756" s="5" t="str">
        <f>IFERROR(__xludf.DUMMYFUNCTION("""COMPUTED_VALUE"""),"cartesia.ai")</f>
        <v>cartesia.ai</v>
      </c>
    </row>
    <row r="757">
      <c r="A757" s="5" t="str">
        <f>IFERROR(__xludf.DUMMYFUNCTION("""COMPUTED_VALUE"""),"squarespace.com")</f>
        <v>squarespace.com</v>
      </c>
      <c r="B757" s="5" t="str">
        <f>IFERROR(__xludf.DUMMYFUNCTION("""COMPUTED_VALUE"""),"gruppomol.it")</f>
        <v>gruppomol.it</v>
      </c>
    </row>
    <row r="758">
      <c r="A758" s="5" t="str">
        <f>IFERROR(__xludf.DUMMYFUNCTION("""COMPUTED_VALUE"""),"superconductive.com")</f>
        <v>superconductive.com</v>
      </c>
      <c r="B758" s="5" t="str">
        <f>IFERROR(__xludf.DUMMYFUNCTION("""COMPUTED_VALUE"""),"ankorstore.com")</f>
        <v>ankorstore.com</v>
      </c>
    </row>
    <row r="759">
      <c r="A759" s="5" t="str">
        <f>IFERROR(__xludf.DUMMYFUNCTION("""COMPUTED_VALUE"""),"temporal.io")</f>
        <v>temporal.io</v>
      </c>
      <c r="B759" s="5" t="str">
        <f>IFERROR(__xludf.DUMMYFUNCTION("""COMPUTED_VALUE"""),"auxmoney.com")</f>
        <v>auxmoney.com</v>
      </c>
    </row>
    <row r="760">
      <c r="A760" s="5" t="str">
        <f>IFERROR(__xludf.DUMMYFUNCTION("""COMPUTED_VALUE"""),"purestorage.com")</f>
        <v>purestorage.com</v>
      </c>
      <c r="B760" s="5" t="str">
        <f>IFERROR(__xludf.DUMMYFUNCTION("""COMPUTED_VALUE"""),"empathy.com")</f>
        <v>empathy.com</v>
      </c>
    </row>
    <row r="761">
      <c r="A761" s="5" t="str">
        <f>IFERROR(__xludf.DUMMYFUNCTION("""COMPUTED_VALUE"""),"getbuilt.com")</f>
        <v>getbuilt.com</v>
      </c>
      <c r="B761" s="5" t="str">
        <f>IFERROR(__xludf.DUMMYFUNCTION("""COMPUTED_VALUE"""),"fundingcircle.com")</f>
        <v>fundingcircle.com</v>
      </c>
    </row>
    <row r="762">
      <c r="A762" s="5" t="str">
        <f>IFERROR(__xludf.DUMMYFUNCTION("""COMPUTED_VALUE"""),"creditbenchmark.com")</f>
        <v>creditbenchmark.com</v>
      </c>
      <c r="B762" s="6" t="str">
        <f>IFERROR(__xludf.DUMMYFUNCTION("""COMPUTED_VALUE"""),"gather.town")</f>
        <v>gather.town</v>
      </c>
    </row>
    <row r="763">
      <c r="A763" s="5" t="str">
        <f>IFERROR(__xludf.DUMMYFUNCTION("""COMPUTED_VALUE"""),"nexthink.com")</f>
        <v>nexthink.com</v>
      </c>
      <c r="B763" s="5" t="str">
        <f>IFERROR(__xludf.DUMMYFUNCTION("""COMPUTED_VALUE"""),"geophy.com")</f>
        <v>geophy.com</v>
      </c>
    </row>
    <row r="764">
      <c r="A764" s="5" t="str">
        <f>IFERROR(__xludf.DUMMYFUNCTION("""COMPUTED_VALUE"""),"sesolabor.com")</f>
        <v>sesolabor.com</v>
      </c>
      <c r="B764" s="5" t="str">
        <f>IFERROR(__xludf.DUMMYFUNCTION("""COMPUTED_VALUE"""),"getharley.com")</f>
        <v>getharley.com</v>
      </c>
    </row>
    <row r="765">
      <c r="A765" s="5" t="str">
        <f>IFERROR(__xludf.DUMMYFUNCTION("""COMPUTED_VALUE"""),"adyen.com")</f>
        <v>adyen.com</v>
      </c>
      <c r="B765" s="6" t="str">
        <f>IFERROR(__xludf.DUMMYFUNCTION("""COMPUTED_VALUE"""),"harmonic.fun")</f>
        <v>harmonic.fun</v>
      </c>
    </row>
    <row r="766">
      <c r="A766" s="5" t="str">
        <f>IFERROR(__xludf.DUMMYFUNCTION("""COMPUTED_VALUE"""),"boku.com")</f>
        <v>boku.com</v>
      </c>
      <c r="B766" s="5" t="str">
        <f>IFERROR(__xludf.DUMMYFUNCTION("""COMPUTED_VALUE"""),"jumboprivacy.com")</f>
        <v>jumboprivacy.com</v>
      </c>
    </row>
    <row r="767">
      <c r="A767" s="5" t="str">
        <f>IFERROR(__xludf.DUMMYFUNCTION("""COMPUTED_VALUE"""),"cartesia.ai")</f>
        <v>cartesia.ai</v>
      </c>
      <c r="B767" s="5" t="str">
        <f>IFERROR(__xludf.DUMMYFUNCTION("""COMPUTED_VALUE"""),"linktr.ee")</f>
        <v>linktr.ee</v>
      </c>
    </row>
    <row r="768">
      <c r="A768" s="5" t="str">
        <f>IFERROR(__xludf.DUMMYFUNCTION("""COMPUTED_VALUE"""),"gruppomol.it")</f>
        <v>gruppomol.it</v>
      </c>
      <c r="B768" s="6" t="str">
        <f>IFERROR(__xludf.DUMMYFUNCTION("""COMPUTED_VALUE"""),"matera.eu")</f>
        <v>matera.eu</v>
      </c>
    </row>
    <row r="769">
      <c r="A769" s="5" t="str">
        <f>IFERROR(__xludf.DUMMYFUNCTION("""COMPUTED_VALUE"""),"ankorstore.com")</f>
        <v>ankorstore.com</v>
      </c>
      <c r="B769" s="5" t="str">
        <f>IFERROR(__xludf.DUMMYFUNCTION("""COMPUTED_VALUE"""),"myheritage.com")</f>
        <v>myheritage.com</v>
      </c>
    </row>
    <row r="770">
      <c r="A770" s="5" t="str">
        <f>IFERROR(__xludf.DUMMYFUNCTION("""COMPUTED_VALUE"""),"auxmoney.com")</f>
        <v>auxmoney.com</v>
      </c>
      <c r="B770" s="5" t="str">
        <f>IFERROR(__xludf.DUMMYFUNCTION("""COMPUTED_VALUE"""),"newfrontinsurance.com")</f>
        <v>newfrontinsurance.com</v>
      </c>
    </row>
    <row r="771">
      <c r="A771" s="5" t="str">
        <f>IFERROR(__xludf.DUMMYFUNCTION("""COMPUTED_VALUE"""),"empathy.com")</f>
        <v>empathy.com</v>
      </c>
      <c r="B771" s="5" t="str">
        <f>IFERROR(__xludf.DUMMYFUNCTION("""COMPUTED_VALUE"""),"usenourish.com")</f>
        <v>usenourish.com</v>
      </c>
    </row>
    <row r="772">
      <c r="A772" s="5" t="str">
        <f>IFERROR(__xludf.DUMMYFUNCTION("""COMPUTED_VALUE"""),"fundingcircle.com")</f>
        <v>fundingcircle.com</v>
      </c>
      <c r="B772" s="5" t="str">
        <f>IFERROR(__xludf.DUMMYFUNCTION("""COMPUTED_VALUE"""),"robinhood.com")</f>
        <v>robinhood.com</v>
      </c>
    </row>
    <row r="773">
      <c r="A773" s="6" t="str">
        <f>IFERROR(__xludf.DUMMYFUNCTION("""COMPUTED_VALUE"""),"gather.town")</f>
        <v>gather.town</v>
      </c>
      <c r="B773" s="5" t="str">
        <f>IFERROR(__xludf.DUMMYFUNCTION("""COMPUTED_VALUE"""),"siro.ai")</f>
        <v>siro.ai</v>
      </c>
    </row>
    <row r="774">
      <c r="A774" s="5" t="str">
        <f>IFERROR(__xludf.DUMMYFUNCTION("""COMPUTED_VALUE"""),"geophy.com")</f>
        <v>geophy.com</v>
      </c>
      <c r="B774" s="5" t="str">
        <f>IFERROR(__xludf.DUMMYFUNCTION("""COMPUTED_VALUE"""),"vouch.us")</f>
        <v>vouch.us</v>
      </c>
    </row>
    <row r="775">
      <c r="A775" s="5" t="str">
        <f>IFERROR(__xludf.DUMMYFUNCTION("""COMPUTED_VALUE"""),"getharley.com")</f>
        <v>getharley.com</v>
      </c>
      <c r="B775" s="5" t="str">
        <f>IFERROR(__xludf.DUMMYFUNCTION("""COMPUTED_VALUE"""),"wise.com")</f>
        <v>wise.com</v>
      </c>
    </row>
    <row r="776">
      <c r="A776" s="6" t="str">
        <f>IFERROR(__xludf.DUMMYFUNCTION("""COMPUTED_VALUE"""),"harmonic.fun")</f>
        <v>harmonic.fun</v>
      </c>
      <c r="B776" s="5" t="str">
        <f>IFERROR(__xludf.DUMMYFUNCTION("""COMPUTED_VALUE"""),"mysql.com")</f>
        <v>mysql.com</v>
      </c>
    </row>
    <row r="777">
      <c r="A777" s="5" t="str">
        <f>IFERROR(__xludf.DUMMYFUNCTION("""COMPUTED_VALUE"""),"jumboprivacy.com")</f>
        <v>jumboprivacy.com</v>
      </c>
      <c r="B777" s="5" t="str">
        <f>IFERROR(__xludf.DUMMYFUNCTION("""COMPUTED_VALUE"""),"slack.com")</f>
        <v>slack.com</v>
      </c>
    </row>
    <row r="778">
      <c r="A778" s="5" t="str">
        <f>IFERROR(__xludf.DUMMYFUNCTION("""COMPUTED_VALUE"""),"linktr.ee")</f>
        <v>linktr.ee</v>
      </c>
      <c r="B778" s="5" t="str">
        <f>IFERROR(__xludf.DUMMYFUNCTION("""COMPUTED_VALUE"""),"mimecast.com")</f>
        <v>mimecast.com</v>
      </c>
    </row>
    <row r="779">
      <c r="A779" s="6" t="str">
        <f>IFERROR(__xludf.DUMMYFUNCTION("""COMPUTED_VALUE"""),"matera.eu")</f>
        <v>matera.eu</v>
      </c>
      <c r="B779" s="5" t="str">
        <f>IFERROR(__xludf.DUMMYFUNCTION("""COMPUTED_VALUE"""),"threadai.com")</f>
        <v>threadai.com</v>
      </c>
    </row>
    <row r="780">
      <c r="A780" s="5" t="str">
        <f>IFERROR(__xludf.DUMMYFUNCTION("""COMPUTED_VALUE"""),"myheritage.com")</f>
        <v>myheritage.com</v>
      </c>
      <c r="B780" s="5" t="str">
        <f>IFERROR(__xludf.DUMMYFUNCTION("""COMPUTED_VALUE"""),"adzuna.com")</f>
        <v>adzuna.com</v>
      </c>
    </row>
    <row r="781">
      <c r="A781" s="5" t="str">
        <f>IFERROR(__xludf.DUMMYFUNCTION("""COMPUTED_VALUE"""),"newfrontinsurance.com")</f>
        <v>newfrontinsurance.com</v>
      </c>
      <c r="B781" s="5" t="str">
        <f>IFERROR(__xludf.DUMMYFUNCTION("""COMPUTED_VALUE"""),"allarahealth.com")</f>
        <v>allarahealth.com</v>
      </c>
    </row>
    <row r="782">
      <c r="A782" s="5" t="str">
        <f>IFERROR(__xludf.DUMMYFUNCTION("""COMPUTED_VALUE"""),"usenourish.com")</f>
        <v>usenourish.com</v>
      </c>
      <c r="B782" s="5" t="str">
        <f>IFERROR(__xludf.DUMMYFUNCTION("""COMPUTED_VALUE"""),"argent.xyz")</f>
        <v>argent.xyz</v>
      </c>
    </row>
    <row r="783">
      <c r="A783" s="5" t="str">
        <f>IFERROR(__xludf.DUMMYFUNCTION("""COMPUTED_VALUE"""),"robinhood.com")</f>
        <v>robinhood.com</v>
      </c>
      <c r="B783" s="6" t="str">
        <f>IFERROR(__xludf.DUMMYFUNCTION("""COMPUTED_VALUE"""),"atlantic.money")</f>
        <v>atlantic.money</v>
      </c>
    </row>
    <row r="784">
      <c r="A784" s="5" t="str">
        <f>IFERROR(__xludf.DUMMYFUNCTION("""COMPUTED_VALUE"""),"siro.ai")</f>
        <v>siro.ai</v>
      </c>
      <c r="B784" s="5" t="str">
        <f>IFERROR(__xludf.DUMMYFUNCTION("""COMPUTED_VALUE"""),"citymapper.com")</f>
        <v>citymapper.com</v>
      </c>
    </row>
    <row r="785">
      <c r="A785" s="5" t="str">
        <f>IFERROR(__xludf.DUMMYFUNCTION("""COMPUTED_VALUE"""),"vouch.us")</f>
        <v>vouch.us</v>
      </c>
      <c r="B785" s="5" t="str">
        <f>IFERROR(__xludf.DUMMYFUNCTION("""COMPUTED_VALUE"""),"cord.com")</f>
        <v>cord.com</v>
      </c>
    </row>
    <row r="786">
      <c r="A786" s="5" t="str">
        <f>IFERROR(__xludf.DUMMYFUNCTION("""COMPUTED_VALUE"""),"wise.com")</f>
        <v>wise.com</v>
      </c>
      <c r="B786" s="5" t="str">
        <f>IFERROR(__xludf.DUMMYFUNCTION("""COMPUTED_VALUE"""),"sdsa.ai")</f>
        <v>sdsa.ai</v>
      </c>
    </row>
    <row r="787">
      <c r="A787" s="5" t="str">
        <f>IFERROR(__xludf.DUMMYFUNCTION("""COMPUTED_VALUE"""),"mysql.com")</f>
        <v>mysql.com</v>
      </c>
      <c r="B787" s="5" t="str">
        <f>IFERROR(__xludf.DUMMYFUNCTION("""COMPUTED_VALUE"""),"factual.com")</f>
        <v>factual.com</v>
      </c>
    </row>
    <row r="788">
      <c r="A788" s="5" t="str">
        <f>IFERROR(__xludf.DUMMYFUNCTION("""COMPUTED_VALUE"""),"slack.com")</f>
        <v>slack.com</v>
      </c>
      <c r="B788" s="6" t="str">
        <f>IFERROR(__xludf.DUMMYFUNCTION("""COMPUTED_VALUE"""),"landing.flagship.shop")</f>
        <v>landing.flagship.shop</v>
      </c>
    </row>
    <row r="789">
      <c r="A789" s="5" t="str">
        <f>IFERROR(__xludf.DUMMYFUNCTION("""COMPUTED_VALUE"""),"mimecast.com")</f>
        <v>mimecast.com</v>
      </c>
      <c r="B789" s="5" t="str">
        <f>IFERROR(__xludf.DUMMYFUNCTION("""COMPUTED_VALUE"""),"ongoody.com")</f>
        <v>ongoody.com</v>
      </c>
    </row>
    <row r="790">
      <c r="A790" s="5" t="str">
        <f>IFERROR(__xludf.DUMMYFUNCTION("""COMPUTED_VALUE"""),"threadai.com")</f>
        <v>threadai.com</v>
      </c>
      <c r="B790" s="5" t="str">
        <f>IFERROR(__xludf.DUMMYFUNCTION("""COMPUTED_VALUE"""),"joshwoodcolour.com")</f>
        <v>joshwoodcolour.com</v>
      </c>
    </row>
    <row r="791">
      <c r="A791" s="5" t="str">
        <f>IFERROR(__xludf.DUMMYFUNCTION("""COMPUTED_VALUE"""),"adzuna.com")</f>
        <v>adzuna.com</v>
      </c>
      <c r="B791" s="5" t="str">
        <f>IFERROR(__xludf.DUMMYFUNCTION("""COMPUTED_VALUE"""),"join-jump.com")</f>
        <v>join-jump.com</v>
      </c>
    </row>
    <row r="792">
      <c r="A792" s="5" t="str">
        <f>IFERROR(__xludf.DUMMYFUNCTION("""COMPUTED_VALUE"""),"allarahealth.com")</f>
        <v>allarahealth.com</v>
      </c>
      <c r="B792" s="5" t="str">
        <f>IFERROR(__xludf.DUMMYFUNCTION("""COMPUTED_VALUE"""),"justpark.com")</f>
        <v>justpark.com</v>
      </c>
    </row>
    <row r="793">
      <c r="A793" s="5" t="str">
        <f>IFERROR(__xludf.DUMMYFUNCTION("""COMPUTED_VALUE"""),"argent.xyz")</f>
        <v>argent.xyz</v>
      </c>
      <c r="B793" s="5" t="str">
        <f>IFERROR(__xludf.DUMMYFUNCTION("""COMPUTED_VALUE"""),"king.com")</f>
        <v>king.com</v>
      </c>
    </row>
    <row r="794">
      <c r="A794" s="6" t="str">
        <f>IFERROR(__xludf.DUMMYFUNCTION("""COMPUTED_VALUE"""),"atlantic.money")</f>
        <v>atlantic.money</v>
      </c>
      <c r="B794" s="5" t="str">
        <f>IFERROR(__xludf.DUMMYFUNCTION("""COMPUTED_VALUE"""),"kry.se")</f>
        <v>kry.se</v>
      </c>
    </row>
    <row r="795">
      <c r="A795" s="5" t="str">
        <f>IFERROR(__xludf.DUMMYFUNCTION("""COMPUTED_VALUE"""),"citymapper.com")</f>
        <v>citymapper.com</v>
      </c>
      <c r="B795" s="5" t="str">
        <f>IFERROR(__xludf.DUMMYFUNCTION("""COMPUTED_VALUE"""),"revolut.com")</f>
        <v>revolut.com</v>
      </c>
    </row>
    <row r="796">
      <c r="A796" s="5" t="str">
        <f>IFERROR(__xludf.DUMMYFUNCTION("""COMPUTED_VALUE"""),"cord.com")</f>
        <v>cord.com</v>
      </c>
      <c r="B796" s="5" t="str">
        <f>IFERROR(__xludf.DUMMYFUNCTION("""COMPUTED_VALUE"""),"roli.com")</f>
        <v>roli.com</v>
      </c>
    </row>
    <row r="797">
      <c r="A797" s="5" t="str">
        <f>IFERROR(__xludf.DUMMYFUNCTION("""COMPUTED_VALUE"""),"sdsa.ai")</f>
        <v>sdsa.ai</v>
      </c>
      <c r="B797" s="5" t="str">
        <f>IFERROR(__xludf.DUMMYFUNCTION("""COMPUTED_VALUE"""),"taxfix.de")</f>
        <v>taxfix.de</v>
      </c>
    </row>
    <row r="798">
      <c r="A798" s="5" t="str">
        <f>IFERROR(__xludf.DUMMYFUNCTION("""COMPUTED_VALUE"""),"factual.com")</f>
        <v>factual.com</v>
      </c>
      <c r="B798" s="5" t="str">
        <f>IFERROR(__xludf.DUMMYFUNCTION("""COMPUTED_VALUE"""),"vetted.ai")</f>
        <v>vetted.ai</v>
      </c>
    </row>
    <row r="799">
      <c r="A799" s="6" t="str">
        <f>IFERROR(__xludf.DUMMYFUNCTION("""COMPUTED_VALUE"""),"landing.flagship.shop")</f>
        <v>landing.flagship.shop</v>
      </c>
      <c r="B799" s="5" t="str">
        <f>IFERROR(__xludf.DUMMYFUNCTION("""COMPUTED_VALUE"""),"wealthfront.com")</f>
        <v>wealthfront.com</v>
      </c>
    </row>
    <row r="800">
      <c r="A800" s="5" t="str">
        <f>IFERROR(__xludf.DUMMYFUNCTION("""COMPUTED_VALUE"""),"ongoody.com")</f>
        <v>ongoody.com</v>
      </c>
      <c r="B800" s="5" t="str">
        <f>IFERROR(__xludf.DUMMYFUNCTION("""COMPUTED_VALUE"""),"adfin.com")</f>
        <v>adfin.com</v>
      </c>
    </row>
    <row r="801">
      <c r="A801" s="5" t="str">
        <f>IFERROR(__xludf.DUMMYFUNCTION("""COMPUTED_VALUE"""),"joshwoodcolour.com")</f>
        <v>joshwoodcolour.com</v>
      </c>
      <c r="B801" s="5" t="str">
        <f>IFERROR(__xludf.DUMMYFUNCTION("""COMPUTED_VALUE"""),"raisin.com")</f>
        <v>raisin.com</v>
      </c>
    </row>
    <row r="802">
      <c r="A802" s="5" t="str">
        <f>IFERROR(__xludf.DUMMYFUNCTION("""COMPUTED_VALUE"""),"join-jump.com")</f>
        <v>join-jump.com</v>
      </c>
      <c r="B802" s="5" t="str">
        <f>IFERROR(__xludf.DUMMYFUNCTION("""COMPUTED_VALUE"""),"tebi.co")</f>
        <v>tebi.co</v>
      </c>
    </row>
    <row r="803">
      <c r="A803" s="5" t="str">
        <f>IFERROR(__xludf.DUMMYFUNCTION("""COMPUTED_VALUE"""),"justpark.com")</f>
        <v>justpark.com</v>
      </c>
      <c r="B803" s="5" t="str">
        <f>IFERROR(__xludf.DUMMYFUNCTION("""COMPUTED_VALUE"""),"asos.com")</f>
        <v>asos.com</v>
      </c>
    </row>
    <row r="804">
      <c r="A804" s="5" t="str">
        <f>IFERROR(__xludf.DUMMYFUNCTION("""COMPUTED_VALUE"""),"king.com")</f>
        <v>king.com</v>
      </c>
      <c r="B804" s="5" t="str">
        <f>IFERROR(__xludf.DUMMYFUNCTION("""COMPUTED_VALUE"""),"playbackbone.com")</f>
        <v>playbackbone.com</v>
      </c>
    </row>
    <row r="805">
      <c r="A805" s="5" t="str">
        <f>IFERROR(__xludf.DUMMYFUNCTION("""COMPUTED_VALUE"""),"kry.se")</f>
        <v>kry.se</v>
      </c>
      <c r="B805" s="5" t="str">
        <f>IFERROR(__xludf.DUMMYFUNCTION("""COMPUTED_VALUE"""),"betfair.com")</f>
        <v>betfair.com</v>
      </c>
    </row>
    <row r="806">
      <c r="A806" s="5" t="str">
        <f>IFERROR(__xludf.DUMMYFUNCTION("""COMPUTED_VALUE"""),"revolut.com")</f>
        <v>revolut.com</v>
      </c>
      <c r="B806" s="5" t="str">
        <f>IFERROR(__xludf.DUMMYFUNCTION("""COMPUTED_VALUE"""),"bird.co")</f>
        <v>bird.co</v>
      </c>
    </row>
    <row r="807">
      <c r="A807" s="5" t="str">
        <f>IFERROR(__xludf.DUMMYFUNCTION("""COMPUTED_VALUE"""),"roli.com")</f>
        <v>roli.com</v>
      </c>
      <c r="B807" s="5" t="str">
        <f>IFERROR(__xludf.DUMMYFUNCTION("""COMPUTED_VALUE"""),"blablacar.com")</f>
        <v>blablacar.com</v>
      </c>
    </row>
    <row r="808">
      <c r="A808" s="5" t="str">
        <f>IFERROR(__xludf.DUMMYFUNCTION("""COMPUTED_VALUE"""),"taxfix.de")</f>
        <v>taxfix.de</v>
      </c>
      <c r="B808" s="5" t="str">
        <f>IFERROR(__xludf.DUMMYFUNCTION("""COMPUTED_VALUE"""),"bloomandwild.com")</f>
        <v>bloomandwild.com</v>
      </c>
    </row>
    <row r="809">
      <c r="A809" s="5" t="str">
        <f>IFERROR(__xludf.DUMMYFUNCTION("""COMPUTED_VALUE"""),"vetted.ai")</f>
        <v>vetted.ai</v>
      </c>
      <c r="B809" s="5" t="str">
        <f>IFERROR(__xludf.DUMMYFUNCTION("""COMPUTED_VALUE"""),"captaintrain.com")</f>
        <v>captaintrain.com</v>
      </c>
    </row>
    <row r="810">
      <c r="A810" s="5" t="str">
        <f>IFERROR(__xludf.DUMMYFUNCTION("""COMPUTED_VALUE"""),"wealthfront.com")</f>
        <v>wealthfront.com</v>
      </c>
      <c r="B810" s="5" t="str">
        <f>IFERROR(__xludf.DUMMYFUNCTION("""COMPUTED_VALUE"""),"getcatch.com")</f>
        <v>getcatch.com</v>
      </c>
    </row>
    <row r="811">
      <c r="A811" s="5" t="str">
        <f>IFERROR(__xludf.DUMMYFUNCTION("""COMPUTED_VALUE"""),"adfin.com")</f>
        <v>adfin.com</v>
      </c>
      <c r="B811" s="5" t="str">
        <f>IFERROR(__xludf.DUMMYFUNCTION("""COMPUTED_VALUE"""),"cowboy.com")</f>
        <v>cowboy.com</v>
      </c>
    </row>
    <row r="812">
      <c r="A812" s="5" t="str">
        <f>IFERROR(__xludf.DUMMYFUNCTION("""COMPUTED_VALUE"""),"raisin.com")</f>
        <v>raisin.com</v>
      </c>
      <c r="B812" s="6" t="str">
        <f>IFERROR(__xludf.DUMMYFUNCTION("""COMPUTED_VALUE"""),"daydream.ing")</f>
        <v>daydream.ing</v>
      </c>
    </row>
    <row r="813">
      <c r="A813" s="5" t="str">
        <f>IFERROR(__xludf.DUMMYFUNCTION("""COMPUTED_VALUE"""),"tebi.co")</f>
        <v>tebi.co</v>
      </c>
      <c r="B813" s="5" t="str">
        <f>IFERROR(__xludf.DUMMYFUNCTION("""COMPUTED_VALUE"""),"deliveroo.co.uk")</f>
        <v>deliveroo.co.uk</v>
      </c>
    </row>
    <row r="814">
      <c r="A814" s="5" t="str">
        <f>IFERROR(__xludf.DUMMYFUNCTION("""COMPUTED_VALUE"""),"asos.com")</f>
        <v>asos.com</v>
      </c>
      <c r="B814" s="5" t="str">
        <f>IFERROR(__xludf.DUMMYFUNCTION("""COMPUTED_VALUE"""),"dreamgames.com")</f>
        <v>dreamgames.com</v>
      </c>
    </row>
    <row r="815">
      <c r="A815" s="5" t="str">
        <f>IFERROR(__xludf.DUMMYFUNCTION("""COMPUTED_VALUE"""),"playbackbone.com")</f>
        <v>playbackbone.com</v>
      </c>
      <c r="B815" s="5" t="str">
        <f>IFERROR(__xludf.DUMMYFUNCTION("""COMPUTED_VALUE"""),"drivy.com")</f>
        <v>drivy.com</v>
      </c>
    </row>
    <row r="816">
      <c r="A816" s="5" t="str">
        <f>IFERROR(__xludf.DUMMYFUNCTION("""COMPUTED_VALUE"""),"betfair.com")</f>
        <v>betfair.com</v>
      </c>
      <c r="B816" s="5" t="str">
        <f>IFERROR(__xludf.DUMMYFUNCTION("""COMPUTED_VALUE"""),"etsy.com")</f>
        <v>etsy.com</v>
      </c>
    </row>
    <row r="817">
      <c r="A817" s="5" t="str">
        <f>IFERROR(__xludf.DUMMYFUNCTION("""COMPUTED_VALUE"""),"bird.co")</f>
        <v>bird.co</v>
      </c>
      <c r="B817" s="5" t="str">
        <f>IFERROR(__xludf.DUMMYFUNCTION("""COMPUTED_VALUE"""),"facebook.com")</f>
        <v>facebook.com</v>
      </c>
    </row>
    <row r="818">
      <c r="A818" s="5" t="str">
        <f>IFERROR(__xludf.DUMMYFUNCTION("""COMPUTED_VALUE"""),"blablacar.com")</f>
        <v>blablacar.com</v>
      </c>
      <c r="B818" s="5" t="str">
        <f>IFERROR(__xludf.DUMMYFUNCTION("""COMPUTED_VALUE"""),"farfetch.com")</f>
        <v>farfetch.com</v>
      </c>
    </row>
    <row r="819">
      <c r="A819" s="5" t="str">
        <f>IFERROR(__xludf.DUMMYFUNCTION("""COMPUTED_VALUE"""),"bloomandwild.com")</f>
        <v>bloomandwild.com</v>
      </c>
      <c r="B819" s="5" t="str">
        <f>IFERROR(__xludf.DUMMYFUNCTION("""COMPUTED_VALUE"""),"flipboard.com")</f>
        <v>flipboard.com</v>
      </c>
    </row>
    <row r="820">
      <c r="A820" s="5" t="str">
        <f>IFERROR(__xludf.DUMMYFUNCTION("""COMPUTED_VALUE"""),"captaintrain.com")</f>
        <v>captaintrain.com</v>
      </c>
      <c r="B820" s="5" t="str">
        <f>IFERROR(__xludf.DUMMYFUNCTION("""COMPUTED_VALUE"""),"glossier.com")</f>
        <v>glossier.com</v>
      </c>
    </row>
    <row r="821">
      <c r="A821" s="5" t="str">
        <f>IFERROR(__xludf.DUMMYFUNCTION("""COMPUTED_VALUE"""),"getcatch.com")</f>
        <v>getcatch.com</v>
      </c>
      <c r="B821" s="5" t="str">
        <f>IFERROR(__xludf.DUMMYFUNCTION("""COMPUTED_VALUE"""),"grailed.com")</f>
        <v>grailed.com</v>
      </c>
    </row>
    <row r="822">
      <c r="A822" s="5" t="str">
        <f>IFERROR(__xludf.DUMMYFUNCTION("""COMPUTED_VALUE"""),"cowboy.com")</f>
        <v>cowboy.com</v>
      </c>
      <c r="B822" s="6" t="str">
        <f>IFERROR(__xludf.DUMMYFUNCTION("""COMPUTED_VALUE"""),"greg.app")</f>
        <v>greg.app</v>
      </c>
    </row>
    <row r="823">
      <c r="A823" s="6" t="str">
        <f>IFERROR(__xludf.DUMMYFUNCTION("""COMPUTED_VALUE"""),"daydream.ing")</f>
        <v>daydream.ing</v>
      </c>
      <c r="B823" s="5" t="str">
        <f>IFERROR(__xludf.DUMMYFUNCTION("""COMPUTED_VALUE"""),"hutchgames.com")</f>
        <v>hutchgames.com</v>
      </c>
    </row>
    <row r="824">
      <c r="A824" s="5" t="str">
        <f>IFERROR(__xludf.DUMMYFUNCTION("""COMPUTED_VALUE"""),"deliveroo.co.uk")</f>
        <v>deliveroo.co.uk</v>
      </c>
      <c r="B824" s="5" t="str">
        <f>IFERROR(__xludf.DUMMYFUNCTION("""COMPUTED_VALUE"""),"ideogram.ai")</f>
        <v>ideogram.ai</v>
      </c>
    </row>
    <row r="825">
      <c r="A825" s="5" t="str">
        <f>IFERROR(__xludf.DUMMYFUNCTION("""COMPUTED_VALUE"""),"dreamgames.com")</f>
        <v>dreamgames.com</v>
      </c>
      <c r="B825" s="5" t="str">
        <f>IFERROR(__xludf.DUMMYFUNCTION("""COMPUTED_VALUE"""),"immersivegamebox.com")</f>
        <v>immersivegamebox.com</v>
      </c>
    </row>
    <row r="826">
      <c r="A826" s="5" t="str">
        <f>IFERROR(__xludf.DUMMYFUNCTION("""COMPUTED_VALUE"""),"drivy.com")</f>
        <v>drivy.com</v>
      </c>
      <c r="B826" s="5" t="str">
        <f>IFERROR(__xludf.DUMMYFUNCTION("""COMPUTED_VALUE"""),"justworks.com")</f>
        <v>justworks.com</v>
      </c>
    </row>
    <row r="827">
      <c r="A827" s="5" t="str">
        <f>IFERROR(__xludf.DUMMYFUNCTION("""COMPUTED_VALUE"""),"etsy.com")</f>
        <v>etsy.com</v>
      </c>
      <c r="B827" s="5" t="str">
        <f>IFERROR(__xludf.DUMMYFUNCTION("""COMPUTED_VALUE"""),"last.fm")</f>
        <v>last.fm</v>
      </c>
    </row>
    <row r="828">
      <c r="A828" s="5" t="str">
        <f>IFERROR(__xludf.DUMMYFUNCTION("""COMPUTED_VALUE"""),"facebook.com")</f>
        <v>facebook.com</v>
      </c>
      <c r="B828" s="5" t="str">
        <f>IFERROR(__xludf.DUMMYFUNCTION("""COMPUTED_VALUE"""),"getmercantile.com")</f>
        <v>getmercantile.com</v>
      </c>
    </row>
    <row r="829">
      <c r="A829" s="5" t="str">
        <f>IFERROR(__xludf.DUMMYFUNCTION("""COMPUTED_VALUE"""),"farfetch.com")</f>
        <v>farfetch.com</v>
      </c>
      <c r="B829" s="5" t="str">
        <f>IFERROR(__xludf.DUMMYFUNCTION("""COMPUTED_VALUE"""),"metromile.com")</f>
        <v>metromile.com</v>
      </c>
    </row>
    <row r="830">
      <c r="A830" s="5" t="str">
        <f>IFERROR(__xludf.DUMMYFUNCTION("""COMPUTED_VALUE"""),"flipboard.com")</f>
        <v>flipboard.com</v>
      </c>
      <c r="B830" s="5" t="str">
        <f>IFERROR(__xludf.DUMMYFUNCTION("""COMPUTED_VALUE"""),"moleskine.com")</f>
        <v>moleskine.com</v>
      </c>
    </row>
    <row r="831">
      <c r="A831" s="5" t="str">
        <f>IFERROR(__xludf.DUMMYFUNCTION("""COMPUTED_VALUE"""),"glossier.com")</f>
        <v>glossier.com</v>
      </c>
      <c r="B831" s="5" t="str">
        <f>IFERROR(__xludf.DUMMYFUNCTION("""COMPUTED_VALUE"""),"moo.com")</f>
        <v>moo.com</v>
      </c>
    </row>
    <row r="832">
      <c r="A832" s="5" t="str">
        <f>IFERROR(__xludf.DUMMYFUNCTION("""COMPUTED_VALUE"""),"grailed.com")</f>
        <v>grailed.com</v>
      </c>
      <c r="B832" s="5" t="str">
        <f>IFERROR(__xludf.DUMMYFUNCTION("""COMPUTED_VALUE"""),"motorway.co.uk")</f>
        <v>motorway.co.uk</v>
      </c>
    </row>
    <row r="833">
      <c r="A833" s="6" t="str">
        <f>IFERROR(__xludf.DUMMYFUNCTION("""COMPUTED_VALUE"""),"greg.app")</f>
        <v>greg.app</v>
      </c>
      <c r="B833" s="5" t="str">
        <f>IFERROR(__xludf.DUMMYFUNCTION("""COMPUTED_VALUE"""),"twoo.com")</f>
        <v>twoo.com</v>
      </c>
    </row>
    <row r="834">
      <c r="A834" s="5" t="str">
        <f>IFERROR(__xludf.DUMMYFUNCTION("""COMPUTED_VALUE"""),"hutchgames.com")</f>
        <v>hutchgames.com</v>
      </c>
      <c r="B834" s="5" t="str">
        <f>IFERROR(__xludf.DUMMYFUNCTION("""COMPUTED_VALUE"""),"notonthehighstreet.com")</f>
        <v>notonthehighstreet.com</v>
      </c>
    </row>
    <row r="835">
      <c r="A835" s="5" t="str">
        <f>IFERROR(__xludf.DUMMYFUNCTION("""COMPUTED_VALUE"""),"ideogram.ai")</f>
        <v>ideogram.ai</v>
      </c>
      <c r="B835" s="5" t="str">
        <f>IFERROR(__xludf.DUMMYFUNCTION("""COMPUTED_VALUE"""),"onefinestay.com")</f>
        <v>onefinestay.com</v>
      </c>
    </row>
    <row r="836">
      <c r="A836" s="5" t="str">
        <f>IFERROR(__xludf.DUMMYFUNCTION("""COMPUTED_VALUE"""),"immersivegamebox.com")</f>
        <v>immersivegamebox.com</v>
      </c>
      <c r="B836" s="5" t="str">
        <f>IFERROR(__xludf.DUMMYFUNCTION("""COMPUTED_VALUE"""),"patreon.com")</f>
        <v>patreon.com</v>
      </c>
    </row>
    <row r="837">
      <c r="A837" s="5" t="str">
        <f>IFERROR(__xludf.DUMMYFUNCTION("""COMPUTED_VALUE"""),"justworks.com")</f>
        <v>justworks.com</v>
      </c>
      <c r="B837" s="5" t="str">
        <f>IFERROR(__xludf.DUMMYFUNCTION("""COMPUTED_VALUE"""),"peanut-app.io")</f>
        <v>peanut-app.io</v>
      </c>
    </row>
    <row r="838">
      <c r="A838" s="5" t="str">
        <f>IFERROR(__xludf.DUMMYFUNCTION("""COMPUTED_VALUE"""),"last.fm")</f>
        <v>last.fm</v>
      </c>
      <c r="B838" s="5" t="str">
        <f>IFERROR(__xludf.DUMMYFUNCTION("""COMPUTED_VALUE"""),"photobox.com")</f>
        <v>photobox.com</v>
      </c>
    </row>
    <row r="839">
      <c r="A839" s="5" t="str">
        <f>IFERROR(__xludf.DUMMYFUNCTION("""COMPUTED_VALUE"""),"getmercantile.com")</f>
        <v>getmercantile.com</v>
      </c>
      <c r="B839" s="5" t="str">
        <f>IFERROR(__xludf.DUMMYFUNCTION("""COMPUTED_VALUE"""),"pinatafarm.com")</f>
        <v>pinatafarm.com</v>
      </c>
    </row>
    <row r="840">
      <c r="A840" s="5" t="str">
        <f>IFERROR(__xludf.DUMMYFUNCTION("""COMPUTED_VALUE"""),"metromile.com")</f>
        <v>metromile.com</v>
      </c>
      <c r="B840" s="5" t="str">
        <f>IFERROR(__xludf.DUMMYFUNCTION("""COMPUTED_VALUE"""),"printify.com")</f>
        <v>printify.com</v>
      </c>
    </row>
    <row r="841">
      <c r="A841" s="5" t="str">
        <f>IFERROR(__xludf.DUMMYFUNCTION("""COMPUTED_VALUE"""),"moleskine.com")</f>
        <v>moleskine.com</v>
      </c>
      <c r="B841" s="5" t="str">
        <f>IFERROR(__xludf.DUMMYFUNCTION("""COMPUTED_VALUE"""),"privalia.com")</f>
        <v>privalia.com</v>
      </c>
    </row>
    <row r="842">
      <c r="A842" s="5" t="str">
        <f>IFERROR(__xludf.DUMMYFUNCTION("""COMPUTED_VALUE"""),"moo.com")</f>
        <v>moo.com</v>
      </c>
      <c r="B842" s="5" t="str">
        <f>IFERROR(__xludf.DUMMYFUNCTION("""COMPUTED_VALUE"""),"prodigyfinance.com")</f>
        <v>prodigyfinance.com</v>
      </c>
    </row>
    <row r="843">
      <c r="A843" s="5" t="str">
        <f>IFERROR(__xludf.DUMMYFUNCTION("""COMPUTED_VALUE"""),"motorway.co.uk")</f>
        <v>motorway.co.uk</v>
      </c>
      <c r="B843" s="5" t="str">
        <f>IFERROR(__xludf.DUMMYFUNCTION("""COMPUTED_VALUE"""),"qapa.fr")</f>
        <v>qapa.fr</v>
      </c>
    </row>
    <row r="844">
      <c r="A844" s="5" t="str">
        <f>IFERROR(__xludf.DUMMYFUNCTION("""COMPUTED_VALUE"""),"twoo.com")</f>
        <v>twoo.com</v>
      </c>
      <c r="B844" s="5" t="str">
        <f>IFERROR(__xludf.DUMMYFUNCTION("""COMPUTED_VALUE"""),"rebtel.com")</f>
        <v>rebtel.com</v>
      </c>
    </row>
    <row r="845">
      <c r="A845" s="5" t="str">
        <f>IFERROR(__xludf.DUMMYFUNCTION("""COMPUTED_VALUE"""),"notonthehighstreet.com")</f>
        <v>notonthehighstreet.com</v>
      </c>
      <c r="B845" s="5" t="str">
        <f>IFERROR(__xludf.DUMMYFUNCTION("""COMPUTED_VALUE"""),"rec.net")</f>
        <v>rec.net</v>
      </c>
    </row>
    <row r="846">
      <c r="A846" s="5" t="str">
        <f>IFERROR(__xludf.DUMMYFUNCTION("""COMPUTED_VALUE"""),"onefinestay.com")</f>
        <v>onefinestay.com</v>
      </c>
      <c r="B846" s="5" t="str">
        <f>IFERROR(__xludf.DUMMYFUNCTION("""COMPUTED_VALUE"""),"roblox.com")</f>
        <v>roblox.com</v>
      </c>
    </row>
    <row r="847">
      <c r="A847" s="5" t="str">
        <f>IFERROR(__xludf.DUMMYFUNCTION("""COMPUTED_VALUE"""),"patreon.com")</f>
        <v>patreon.com</v>
      </c>
      <c r="B847" s="5" t="str">
        <f>IFERROR(__xludf.DUMMYFUNCTION("""COMPUTED_VALUE"""),"rohlik.cz")</f>
        <v>rohlik.cz</v>
      </c>
    </row>
    <row r="848">
      <c r="A848" s="5" t="str">
        <f>IFERROR(__xludf.DUMMYFUNCTION("""COMPUTED_VALUE"""),"peanut-app.io")</f>
        <v>peanut-app.io</v>
      </c>
      <c r="B848" s="5" t="str">
        <f>IFERROR(__xludf.DUMMYFUNCTION("""COMPUTED_VALUE"""),"scoopforwork.com")</f>
        <v>scoopforwork.com</v>
      </c>
    </row>
    <row r="849">
      <c r="A849" s="5" t="str">
        <f>IFERROR(__xludf.DUMMYFUNCTION("""COMPUTED_VALUE"""),"photobox.com")</f>
        <v>photobox.com</v>
      </c>
      <c r="B849" s="5" t="str">
        <f>IFERROR(__xludf.DUMMYFUNCTION("""COMPUTED_VALUE"""),"secondhome.io")</f>
        <v>secondhome.io</v>
      </c>
    </row>
    <row r="850">
      <c r="A850" s="5" t="str">
        <f>IFERROR(__xludf.DUMMYFUNCTION("""COMPUTED_VALUE"""),"pinatafarm.com")</f>
        <v>pinatafarm.com</v>
      </c>
      <c r="B850" s="5" t="str">
        <f>IFERROR(__xludf.DUMMYFUNCTION("""COMPUTED_VALUE"""),"secretescapes.com")</f>
        <v>secretescapes.com</v>
      </c>
    </row>
    <row r="851">
      <c r="A851" s="5" t="str">
        <f>IFERROR(__xludf.DUMMYFUNCTION("""COMPUTED_VALUE"""),"printify.com")</f>
        <v>printify.com</v>
      </c>
      <c r="B851" s="5" t="str">
        <f>IFERROR(__xludf.DUMMYFUNCTION("""COMPUTED_VALUE"""),"seedcamp.com")</f>
        <v>seedcamp.com</v>
      </c>
    </row>
    <row r="852">
      <c r="A852" s="5" t="str">
        <f>IFERROR(__xludf.DUMMYFUNCTION("""COMPUTED_VALUE"""),"privalia.com")</f>
        <v>privalia.com</v>
      </c>
      <c r="B852" s="5" t="str">
        <f>IFERROR(__xludf.DUMMYFUNCTION("""COMPUTED_VALUE"""),"shapeways.com")</f>
        <v>shapeways.com</v>
      </c>
    </row>
    <row r="853">
      <c r="A853" s="5" t="str">
        <f>IFERROR(__xludf.DUMMYFUNCTION("""COMPUTED_VALUE"""),"prodigyfinance.com")</f>
        <v>prodigyfinance.com</v>
      </c>
      <c r="B853" s="5" t="str">
        <f>IFERROR(__xludf.DUMMYFUNCTION("""COMPUTED_VALUE"""),"skype.com")</f>
        <v>skype.com</v>
      </c>
    </row>
    <row r="854">
      <c r="A854" s="5" t="str">
        <f>IFERROR(__xludf.DUMMYFUNCTION("""COMPUTED_VALUE"""),"qapa.fr")</f>
        <v>qapa.fr</v>
      </c>
      <c r="B854" s="5" t="str">
        <f>IFERROR(__xludf.DUMMYFUNCTION("""COMPUTED_VALUE"""),"stackoverflow.com")</f>
        <v>stackoverflow.com</v>
      </c>
    </row>
    <row r="855">
      <c r="A855" s="5" t="str">
        <f>IFERROR(__xludf.DUMMYFUNCTION("""COMPUTED_VALUE"""),"rebtel.com")</f>
        <v>rebtel.com</v>
      </c>
      <c r="B855" s="5" t="str">
        <f>IFERROR(__xludf.DUMMYFUNCTION("""COMPUTED_VALUE"""),"supercell.com")</f>
        <v>supercell.com</v>
      </c>
    </row>
    <row r="856">
      <c r="A856" s="5" t="str">
        <f>IFERROR(__xludf.DUMMYFUNCTION("""COMPUTED_VALUE"""),"rec.net")</f>
        <v>rec.net</v>
      </c>
      <c r="B856" s="5" t="str">
        <f>IFERROR(__xludf.DUMMYFUNCTION("""COMPUTED_VALUE"""),"superevilmegacorp.com")</f>
        <v>superevilmegacorp.com</v>
      </c>
    </row>
    <row r="857">
      <c r="A857" s="5" t="str">
        <f>IFERROR(__xludf.DUMMYFUNCTION("""COMPUTED_VALUE"""),"roblox.com")</f>
        <v>roblox.com</v>
      </c>
      <c r="B857" s="5" t="str">
        <f>IFERROR(__xludf.DUMMYFUNCTION("""COMPUTED_VALUE"""),"tactilegames.com")</f>
        <v>tactilegames.com</v>
      </c>
    </row>
    <row r="858">
      <c r="A858" s="5" t="str">
        <f>IFERROR(__xludf.DUMMYFUNCTION("""COMPUTED_VALUE"""),"rohlik.cz")</f>
        <v>rohlik.cz</v>
      </c>
      <c r="B858" s="6" t="str">
        <f>IFERROR(__xludf.DUMMYFUNCTION("""COMPUTED_VALUE"""),"teatime.games")</f>
        <v>teatime.games</v>
      </c>
    </row>
    <row r="859">
      <c r="A859" s="5" t="str">
        <f>IFERROR(__xludf.DUMMYFUNCTION("""COMPUTED_VALUE"""),"scoopforwork.com")</f>
        <v>scoopforwork.com</v>
      </c>
      <c r="B859" s="5" t="str">
        <f>IFERROR(__xludf.DUMMYFUNCTION("""COMPUTED_VALUE"""),"temaetfs.com")</f>
        <v>temaetfs.com</v>
      </c>
    </row>
    <row r="860">
      <c r="A860" s="5" t="str">
        <f>IFERROR(__xludf.DUMMYFUNCTION("""COMPUTED_VALUE"""),"secondhome.io")</f>
        <v>secondhome.io</v>
      </c>
      <c r="B860" s="5" t="str">
        <f>IFERROR(__xludf.DUMMYFUNCTION("""COMPUTED_VALUE"""),"businessoffashion.com")</f>
        <v>businessoffashion.com</v>
      </c>
    </row>
    <row r="861">
      <c r="A861" s="5" t="str">
        <f>IFERROR(__xludf.DUMMYFUNCTION("""COMPUTED_VALUE"""),"secretescapes.com")</f>
        <v>secretescapes.com</v>
      </c>
      <c r="B861" s="5" t="str">
        <f>IFERROR(__xludf.DUMMYFUNCTION("""COMPUTED_VALUE"""),"tiney.co")</f>
        <v>tiney.co</v>
      </c>
    </row>
    <row r="862">
      <c r="A862" s="5" t="str">
        <f>IFERROR(__xludf.DUMMYFUNCTION("""COMPUTED_VALUE"""),"seedcamp.com")</f>
        <v>seedcamp.com</v>
      </c>
      <c r="B862" s="5" t="str">
        <f>IFERROR(__xludf.DUMMYFUNCTION("""COMPUTED_VALUE"""),"trouva.com")</f>
        <v>trouva.com</v>
      </c>
    </row>
    <row r="863">
      <c r="A863" s="5" t="str">
        <f>IFERROR(__xludf.DUMMYFUNCTION("""COMPUTED_VALUE"""),"shapeways.com")</f>
        <v>shapeways.com</v>
      </c>
      <c r="B863" s="5" t="str">
        <f>IFERROR(__xludf.DUMMYFUNCTION("""COMPUTED_VALUE"""),"trustpilot.com")</f>
        <v>trustpilot.com</v>
      </c>
    </row>
    <row r="864">
      <c r="A864" s="5" t="str">
        <f>IFERROR(__xludf.DUMMYFUNCTION("""COMPUTED_VALUE"""),"skype.com")</f>
        <v>skype.com</v>
      </c>
      <c r="B864" s="5" t="str">
        <f>IFERROR(__xludf.DUMMYFUNCTION("""COMPUTED_VALUE"""),"ubiquity6.com")</f>
        <v>ubiquity6.com</v>
      </c>
    </row>
    <row r="865">
      <c r="A865" s="5" t="str">
        <f>IFERROR(__xludf.DUMMYFUNCTION("""COMPUTED_VALUE"""),"stackoverflow.com")</f>
        <v>stackoverflow.com</v>
      </c>
      <c r="B865" s="5" t="str">
        <f>IFERROR(__xludf.DUMMYFUNCTION("""COMPUTED_VALUE"""),"1stdibs.com")</f>
        <v>1stdibs.com</v>
      </c>
    </row>
    <row r="866">
      <c r="A866" s="5" t="str">
        <f>IFERROR(__xludf.DUMMYFUNCTION("""COMPUTED_VALUE"""),"supercell.com")</f>
        <v>supercell.com</v>
      </c>
      <c r="B866" s="5" t="str">
        <f>IFERROR(__xludf.DUMMYFUNCTION("""COMPUTED_VALUE"""),"aninebing.com")</f>
        <v>aninebing.com</v>
      </c>
    </row>
    <row r="867">
      <c r="A867" s="5" t="str">
        <f>IFERROR(__xludf.DUMMYFUNCTION("""COMPUTED_VALUE"""),"superevilmegacorp.com")</f>
        <v>superevilmegacorp.com</v>
      </c>
      <c r="B867" s="5" t="str">
        <f>IFERROR(__xludf.DUMMYFUNCTION("""COMPUTED_VALUE"""),"becausemarket.com")</f>
        <v>becausemarket.com</v>
      </c>
    </row>
    <row r="868">
      <c r="A868" s="5" t="str">
        <f>IFERROR(__xludf.DUMMYFUNCTION("""COMPUTED_VALUE"""),"tactilegames.com")</f>
        <v>tactilegames.com</v>
      </c>
      <c r="B868" s="5" t="str">
        <f>IFERROR(__xludf.DUMMYFUNCTION("""COMPUTED_VALUE"""),"bit-odd.com")</f>
        <v>bit-odd.com</v>
      </c>
    </row>
    <row r="869">
      <c r="A869" s="6" t="str">
        <f>IFERROR(__xludf.DUMMYFUNCTION("""COMPUTED_VALUE"""),"teatime.games")</f>
        <v>teatime.games</v>
      </c>
      <c r="B869" s="5" t="str">
        <f>IFERROR(__xludf.DUMMYFUNCTION("""COMPUTED_VALUE"""),"curtsyapp.com")</f>
        <v>curtsyapp.com</v>
      </c>
    </row>
    <row r="870">
      <c r="A870" s="5" t="str">
        <f>IFERROR(__xludf.DUMMYFUNCTION("""COMPUTED_VALUE"""),"temaetfs.com")</f>
        <v>temaetfs.com</v>
      </c>
      <c r="B870" s="5" t="str">
        <f>IFERROR(__xludf.DUMMYFUNCTION("""COMPUTED_VALUE"""),"goodeggs.com")</f>
        <v>goodeggs.com</v>
      </c>
    </row>
    <row r="871">
      <c r="A871" s="5" t="str">
        <f>IFERROR(__xludf.DUMMYFUNCTION("""COMPUTED_VALUE"""),"businessoffashion.com")</f>
        <v>businessoffashion.com</v>
      </c>
      <c r="B871" s="5" t="str">
        <f>IFERROR(__xludf.DUMMYFUNCTION("""COMPUTED_VALUE"""),"otrium.com")</f>
        <v>otrium.com</v>
      </c>
    </row>
    <row r="872">
      <c r="A872" s="5" t="str">
        <f>IFERROR(__xludf.DUMMYFUNCTION("""COMPUTED_VALUE"""),"tiney.co")</f>
        <v>tiney.co</v>
      </c>
      <c r="B872" s="5" t="str">
        <f>IFERROR(__xludf.DUMMYFUNCTION("""COMPUTED_VALUE"""),"supersolid.com")</f>
        <v>supersolid.com</v>
      </c>
    </row>
    <row r="873">
      <c r="A873" s="5" t="str">
        <f>IFERROR(__xludf.DUMMYFUNCTION("""COMPUTED_VALUE"""),"trouva.com")</f>
        <v>trouva.com</v>
      </c>
      <c r="B873" s="5" t="str">
        <f>IFERROR(__xludf.DUMMYFUNCTION("""COMPUTED_VALUE"""),"teemo.co")</f>
        <v>teemo.co</v>
      </c>
    </row>
    <row r="874">
      <c r="A874" s="5" t="str">
        <f>IFERROR(__xludf.DUMMYFUNCTION("""COMPUTED_VALUE"""),"trustpilot.com")</f>
        <v>trustpilot.com</v>
      </c>
      <c r="B874" s="5" t="str">
        <f>IFERROR(__xludf.DUMMYFUNCTION("""COMPUTED_VALUE"""),"bluebottlecoffee.com")</f>
        <v>bluebottlecoffee.com</v>
      </c>
    </row>
    <row r="875">
      <c r="A875" s="5" t="str">
        <f>IFERROR(__xludf.DUMMYFUNCTION("""COMPUTED_VALUE"""),"ubiquity6.com")</f>
        <v>ubiquity6.com</v>
      </c>
      <c r="B875" s="5" t="str">
        <f>IFERROR(__xludf.DUMMYFUNCTION("""COMPUTED_VALUE"""),"ciphercloud.com")</f>
        <v>ciphercloud.com</v>
      </c>
    </row>
    <row r="876">
      <c r="A876" s="5" t="str">
        <f>IFERROR(__xludf.DUMMYFUNCTION("""COMPUTED_VALUE"""),"1stdibs.com")</f>
        <v>1stdibs.com</v>
      </c>
      <c r="B876" s="5" t="str">
        <f>IFERROR(__xludf.DUMMYFUNCTION("""COMPUTED_VALUE"""),"getjuice.com")</f>
        <v>getjuice.com</v>
      </c>
    </row>
    <row r="877">
      <c r="A877" s="5" t="str">
        <f>IFERROR(__xludf.DUMMYFUNCTION("""COMPUTED_VALUE"""),"aninebing.com")</f>
        <v>aninebing.com</v>
      </c>
      <c r="B877" s="5" t="str">
        <f>IFERROR(__xludf.DUMMYFUNCTION("""COMPUTED_VALUE"""),"curbside.com")</f>
        <v>curbside.com</v>
      </c>
    </row>
    <row r="878">
      <c r="A878" s="5" t="str">
        <f>IFERROR(__xludf.DUMMYFUNCTION("""COMPUTED_VALUE"""),"becausemarket.com")</f>
        <v>becausemarket.com</v>
      </c>
      <c r="B878" s="5" t="str">
        <f>IFERROR(__xludf.DUMMYFUNCTION("""COMPUTED_VALUE"""),"withdouble.com")</f>
        <v>withdouble.com</v>
      </c>
    </row>
    <row r="879">
      <c r="A879" s="5" t="str">
        <f>IFERROR(__xludf.DUMMYFUNCTION("""COMPUTED_VALUE"""),"bit-odd.com")</f>
        <v>bit-odd.com</v>
      </c>
      <c r="B879" s="5" t="str">
        <f>IFERROR(__xludf.DUMMYFUNCTION("""COMPUTED_VALUE"""),"faceit.com")</f>
        <v>faceit.com</v>
      </c>
    </row>
    <row r="880">
      <c r="A880" s="5" t="str">
        <f>IFERROR(__xludf.DUMMYFUNCTION("""COMPUTED_VALUE"""),"curtsyapp.com")</f>
        <v>curtsyapp.com</v>
      </c>
      <c r="B880" s="5" t="str">
        <f>IFERROR(__xludf.DUMMYFUNCTION("""COMPUTED_VALUE"""),"goat.com")</f>
        <v>goat.com</v>
      </c>
    </row>
    <row r="881">
      <c r="A881" s="5" t="str">
        <f>IFERROR(__xludf.DUMMYFUNCTION("""COMPUTED_VALUE"""),"goodeggs.com")</f>
        <v>goodeggs.com</v>
      </c>
      <c r="B881" s="5" t="str">
        <f>IFERROR(__xludf.DUMMYFUNCTION("""COMPUTED_VALUE"""),"just-eat.com")</f>
        <v>just-eat.com</v>
      </c>
    </row>
    <row r="882">
      <c r="A882" s="5" t="str">
        <f>IFERROR(__xludf.DUMMYFUNCTION("""COMPUTED_VALUE"""),"otrium.com")</f>
        <v>otrium.com</v>
      </c>
      <c r="B882" s="5" t="str">
        <f>IFERROR(__xludf.DUMMYFUNCTION("""COMPUTED_VALUE"""),"withpersona.com")</f>
        <v>withpersona.com</v>
      </c>
    </row>
    <row r="883">
      <c r="A883" s="5" t="str">
        <f>IFERROR(__xludf.DUMMYFUNCTION("""COMPUTED_VALUE"""),"supersolid.com")</f>
        <v>supersolid.com</v>
      </c>
      <c r="B883" s="5" t="str">
        <f>IFERROR(__xludf.DUMMYFUNCTION("""COMPUTED_VALUE"""),"scienceexchange.com")</f>
        <v>scienceexchange.com</v>
      </c>
    </row>
    <row r="884">
      <c r="A884" s="5" t="str">
        <f>IFERROR(__xludf.DUMMYFUNCTION("""COMPUTED_VALUE"""),"teemo.co")</f>
        <v>teemo.co</v>
      </c>
      <c r="B884" s="6" t="str">
        <f>IFERROR(__xludf.DUMMYFUNCTION("""COMPUTED_VALUE"""),"solvo.finance")</f>
        <v>solvo.finance</v>
      </c>
    </row>
    <row r="885">
      <c r="A885" s="5" t="str">
        <f>IFERROR(__xludf.DUMMYFUNCTION("""COMPUTED_VALUE"""),"bluebottlecoffee.com")</f>
        <v>bluebottlecoffee.com</v>
      </c>
      <c r="B885" s="5" t="str">
        <f>IFERROR(__xludf.DUMMYFUNCTION("""COMPUTED_VALUE"""),"adallom.com")</f>
        <v>adallom.com</v>
      </c>
    </row>
    <row r="886">
      <c r="A886" s="5" t="str">
        <f>IFERROR(__xludf.DUMMYFUNCTION("""COMPUTED_VALUE"""),"ciphercloud.com")</f>
        <v>ciphercloud.com</v>
      </c>
      <c r="B886" s="5" t="str">
        <f>IFERROR(__xludf.DUMMYFUNCTION("""COMPUTED_VALUE"""),"armadainteractive.com")</f>
        <v>armadainteractive.com</v>
      </c>
    </row>
    <row r="887">
      <c r="A887" s="5" t="str">
        <f>IFERROR(__xludf.DUMMYFUNCTION("""COMPUTED_VALUE"""),"getjuice.com")</f>
        <v>getjuice.com</v>
      </c>
      <c r="B887" s="5" t="str">
        <f>IFERROR(__xludf.DUMMYFUNCTION("""COMPUTED_VALUE"""),"baller.tv")</f>
        <v>baller.tv</v>
      </c>
    </row>
    <row r="888">
      <c r="A888" s="5" t="str">
        <f>IFERROR(__xludf.DUMMYFUNCTION("""COMPUTED_VALUE"""),"curbside.com")</f>
        <v>curbside.com</v>
      </c>
      <c r="B888" s="5" t="str">
        <f>IFERROR(__xludf.DUMMYFUNCTION("""COMPUTED_VALUE"""),"beautypie.com")</f>
        <v>beautypie.com</v>
      </c>
    </row>
    <row r="889">
      <c r="A889" s="5" t="str">
        <f>IFERROR(__xludf.DUMMYFUNCTION("""COMPUTED_VALUE"""),"withdouble.com")</f>
        <v>withdouble.com</v>
      </c>
      <c r="B889" s="5" t="str">
        <f>IFERROR(__xludf.DUMMYFUNCTION("""COMPUTED_VALUE"""),"biggergames.com")</f>
        <v>biggergames.com</v>
      </c>
    </row>
    <row r="890">
      <c r="A890" s="5" t="str">
        <f>IFERROR(__xludf.DUMMYFUNCTION("""COMPUTED_VALUE"""),"faceit.com")</f>
        <v>faceit.com</v>
      </c>
      <c r="B890" s="5" t="str">
        <f>IFERROR(__xludf.DUMMYFUNCTION("""COMPUTED_VALUE"""),"brightback.com")</f>
        <v>brightback.com</v>
      </c>
    </row>
    <row r="891">
      <c r="A891" s="5" t="str">
        <f>IFERROR(__xludf.DUMMYFUNCTION("""COMPUTED_VALUE"""),"goat.com")</f>
        <v>goat.com</v>
      </c>
      <c r="B891" s="5" t="str">
        <f>IFERROR(__xludf.DUMMYFUNCTION("""COMPUTED_VALUE"""),"dropbox.com")</f>
        <v>dropbox.com</v>
      </c>
    </row>
    <row r="892">
      <c r="A892" s="5" t="str">
        <f>IFERROR(__xludf.DUMMYFUNCTION("""COMPUTED_VALUE"""),"just-eat.com")</f>
        <v>just-eat.com</v>
      </c>
      <c r="B892" s="5" t="str">
        <f>IFERROR(__xludf.DUMMYFUNCTION("""COMPUTED_VALUE"""),"lacoonsecurity.com")</f>
        <v>lacoonsecurity.com</v>
      </c>
    </row>
    <row r="893">
      <c r="A893" s="5" t="str">
        <f>IFERROR(__xludf.DUMMYFUNCTION("""COMPUTED_VALUE"""),"withpersona.com")</f>
        <v>withpersona.com</v>
      </c>
      <c r="B893" s="5" t="str">
        <f>IFERROR(__xludf.DUMMYFUNCTION("""COMPUTED_VALUE"""),"lovefilm.com")</f>
        <v>lovefilm.com</v>
      </c>
    </row>
    <row r="894">
      <c r="A894" s="5" t="str">
        <f>IFERROR(__xludf.DUMMYFUNCTION("""COMPUTED_VALUE"""),"scienceexchange.com")</f>
        <v>scienceexchange.com</v>
      </c>
      <c r="B894" s="5" t="str">
        <f>IFERROR(__xludf.DUMMYFUNCTION("""COMPUTED_VALUE"""),"trymonad.co")</f>
        <v>trymonad.co</v>
      </c>
    </row>
    <row r="895">
      <c r="A895" s="6" t="str">
        <f>IFERROR(__xludf.DUMMYFUNCTION("""COMPUTED_VALUE"""),"solvo.finance")</f>
        <v>solvo.finance</v>
      </c>
      <c r="B895" s="5" t="str">
        <f>IFERROR(__xludf.DUMMYFUNCTION("""COMPUTED_VALUE"""),"net-a-porter.com")</f>
        <v>net-a-porter.com</v>
      </c>
    </row>
    <row r="896">
      <c r="A896" s="5" t="str">
        <f>IFERROR(__xludf.DUMMYFUNCTION("""COMPUTED_VALUE"""),"adallom.com")</f>
        <v>adallom.com</v>
      </c>
      <c r="B896" s="5" t="str">
        <f>IFERROR(__xludf.DUMMYFUNCTION("""COMPUTED_VALUE"""),"ozon.ru")</f>
        <v>ozon.ru</v>
      </c>
    </row>
    <row r="897">
      <c r="A897" s="5" t="str">
        <f>IFERROR(__xludf.DUMMYFUNCTION("""COMPUTED_VALUE"""),"armadainteractive.com")</f>
        <v>armadainteractive.com</v>
      </c>
      <c r="B897" s="5" t="str">
        <f>IFERROR(__xludf.DUMMYFUNCTION("""COMPUTED_VALUE"""),"peoplevox.co.uk")</f>
        <v>peoplevox.co.uk</v>
      </c>
    </row>
    <row r="898">
      <c r="A898" s="5" t="str">
        <f>IFERROR(__xludf.DUMMYFUNCTION("""COMPUTED_VALUE"""),"baller.tv")</f>
        <v>baller.tv</v>
      </c>
      <c r="B898" s="5" t="str">
        <f>IFERROR(__xludf.DUMMYFUNCTION("""COMPUTED_VALUE"""),"playfish.com")</f>
        <v>playfish.com</v>
      </c>
    </row>
    <row r="899">
      <c r="A899" s="5" t="str">
        <f>IFERROR(__xludf.DUMMYFUNCTION("""COMPUTED_VALUE"""),"beautypie.com")</f>
        <v>beautypie.com</v>
      </c>
      <c r="B899" s="6" t="str">
        <f>IFERROR(__xludf.DUMMYFUNCTION("""COMPUTED_VALUE"""),"quill.chat")</f>
        <v>quill.chat</v>
      </c>
    </row>
    <row r="900">
      <c r="A900" s="5" t="str">
        <f>IFERROR(__xludf.DUMMYFUNCTION("""COMPUTED_VALUE"""),"biggergames.com")</f>
        <v>biggergames.com</v>
      </c>
      <c r="B900" s="5" t="str">
        <f>IFERROR(__xludf.DUMMYFUNCTION("""COMPUTED_VALUE"""),"quixotic.io")</f>
        <v>quixotic.io</v>
      </c>
    </row>
    <row r="901">
      <c r="A901" s="5" t="str">
        <f>IFERROR(__xludf.DUMMYFUNCTION("""COMPUTED_VALUE"""),"brightback.com")</f>
        <v>brightback.com</v>
      </c>
      <c r="B901" s="5" t="str">
        <f>IFERROR(__xludf.DUMMYFUNCTION("""COMPUTED_VALUE"""),"rpxcorp.com")</f>
        <v>rpxcorp.com</v>
      </c>
    </row>
    <row r="902">
      <c r="A902" s="5" t="str">
        <f>IFERROR(__xludf.DUMMYFUNCTION("""COMPUTED_VALUE"""),"dropbox.com")</f>
        <v>dropbox.com</v>
      </c>
      <c r="B902" s="5" t="str">
        <f>IFERROR(__xludf.DUMMYFUNCTION("""COMPUTED_VALUE"""),"swiftkey.net")</f>
        <v>swiftkey.net</v>
      </c>
    </row>
    <row r="903">
      <c r="A903" s="5" t="str">
        <f>IFERROR(__xludf.DUMMYFUNCTION("""COMPUTED_VALUE"""),"lacoonsecurity.com")</f>
        <v>lacoonsecurity.com</v>
      </c>
      <c r="B903" s="6" t="str">
        <f>IFERROR(__xludf.DUMMYFUNCTION("""COMPUTED_VALUE"""),"topi.tech")</f>
        <v>topi.tech</v>
      </c>
    </row>
    <row r="904">
      <c r="A904" s="5" t="str">
        <f>IFERROR(__xludf.DUMMYFUNCTION("""COMPUTED_VALUE"""),"lovefilm.com")</f>
        <v>lovefilm.com</v>
      </c>
      <c r="B904" s="5" t="str">
        <f>IFERROR(__xludf.DUMMYFUNCTION("""COMPUTED_VALUE"""),"trialpay.com")</f>
        <v>trialpay.com</v>
      </c>
    </row>
    <row r="905">
      <c r="A905" s="5" t="str">
        <f>IFERROR(__xludf.DUMMYFUNCTION("""COMPUTED_VALUE"""),"trymonad.co")</f>
        <v>trymonad.co</v>
      </c>
      <c r="B905" s="5" t="str">
        <f>IFERROR(__xludf.DUMMYFUNCTION("""COMPUTED_VALUE"""),"trolltech.com")</f>
        <v>trolltech.com</v>
      </c>
    </row>
    <row r="906">
      <c r="A906" s="5" t="str">
        <f>IFERROR(__xludf.DUMMYFUNCTION("""COMPUTED_VALUE"""),"net-a-porter.com")</f>
        <v>net-a-porter.com</v>
      </c>
      <c r="B906" s="5" t="str">
        <f>IFERROR(__xludf.DUMMYFUNCTION("""COMPUTED_VALUE"""),"accolade.com")</f>
        <v>accolade.com</v>
      </c>
    </row>
    <row r="907">
      <c r="A907" s="5" t="str">
        <f>IFERROR(__xludf.DUMMYFUNCTION("""COMPUTED_VALUE"""),"ozon.ru")</f>
        <v>ozon.ru</v>
      </c>
      <c r="B907" s="5" t="str">
        <f>IFERROR(__xludf.DUMMYFUNCTION("""COMPUTED_VALUE"""),"actifio.com")</f>
        <v>actifio.com</v>
      </c>
    </row>
    <row r="908">
      <c r="A908" s="5" t="str">
        <f>IFERROR(__xludf.DUMMYFUNCTION("""COMPUTED_VALUE"""),"peoplevox.co.uk")</f>
        <v>peoplevox.co.uk</v>
      </c>
      <c r="B908" s="5" t="str">
        <f>IFERROR(__xludf.DUMMYFUNCTION("""COMPUTED_VALUE"""),"affirm.com")</f>
        <v>affirm.com</v>
      </c>
    </row>
    <row r="909">
      <c r="A909" s="5" t="str">
        <f>IFERROR(__xludf.DUMMYFUNCTION("""COMPUTED_VALUE"""),"playfish.com")</f>
        <v>playfish.com</v>
      </c>
      <c r="B909" s="5" t="str">
        <f>IFERROR(__xludf.DUMMYFUNCTION("""COMPUTED_VALUE"""),"airbnb.com")</f>
        <v>airbnb.com</v>
      </c>
    </row>
    <row r="910">
      <c r="A910" s="6" t="str">
        <f>IFERROR(__xludf.DUMMYFUNCTION("""COMPUTED_VALUE"""),"quill.chat")</f>
        <v>quill.chat</v>
      </c>
      <c r="B910" s="5" t="str">
        <f>IFERROR(__xludf.DUMMYFUNCTION("""COMPUTED_VALUE"""),"allsetnow.com")</f>
        <v>allsetnow.com</v>
      </c>
    </row>
    <row r="911">
      <c r="A911" s="5" t="str">
        <f>IFERROR(__xludf.DUMMYFUNCTION("""COMPUTED_VALUE"""),"quixotic.io")</f>
        <v>quixotic.io</v>
      </c>
      <c r="B911" s="5" t="str">
        <f>IFERROR(__xludf.DUMMYFUNCTION("""COMPUTED_VALUE"""),"apptio.com")</f>
        <v>apptio.com</v>
      </c>
    </row>
    <row r="912">
      <c r="A912" s="5" t="str">
        <f>IFERROR(__xludf.DUMMYFUNCTION("""COMPUTED_VALUE"""),"rpxcorp.com")</f>
        <v>rpxcorp.com</v>
      </c>
      <c r="B912" s="5" t="str">
        <f>IFERROR(__xludf.DUMMYFUNCTION("""COMPUTED_VALUE"""),"arimo.com")</f>
        <v>arimo.com</v>
      </c>
    </row>
    <row r="913">
      <c r="A913" s="5" t="str">
        <f>IFERROR(__xludf.DUMMYFUNCTION("""COMPUTED_VALUE"""),"swiftkey.net")</f>
        <v>swiftkey.net</v>
      </c>
      <c r="B913" s="5" t="str">
        <f>IFERROR(__xludf.DUMMYFUNCTION("""COMPUTED_VALUE"""),"asana.com")</f>
        <v>asana.com</v>
      </c>
    </row>
    <row r="914">
      <c r="A914" s="6" t="str">
        <f>IFERROR(__xludf.DUMMYFUNCTION("""COMPUTED_VALUE"""),"topi.tech")</f>
        <v>topi.tech</v>
      </c>
      <c r="B914" s="5" t="str">
        <f>IFERROR(__xludf.DUMMYFUNCTION("""COMPUTED_VALUE"""),"asserts.ai")</f>
        <v>asserts.ai</v>
      </c>
    </row>
    <row r="915">
      <c r="A915" s="5" t="str">
        <f>IFERROR(__xludf.DUMMYFUNCTION("""COMPUTED_VALUE"""),"trialpay.com")</f>
        <v>trialpay.com</v>
      </c>
      <c r="B915" s="5" t="str">
        <f>IFERROR(__xludf.DUMMYFUNCTION("""COMPUTED_VALUE"""),"authy.com")</f>
        <v>authy.com</v>
      </c>
    </row>
    <row r="916">
      <c r="A916" s="5" t="str">
        <f>IFERROR(__xludf.DUMMYFUNCTION("""COMPUTED_VALUE"""),"trolltech.com")</f>
        <v>trolltech.com</v>
      </c>
      <c r="B916" s="5" t="str">
        <f>IFERROR(__xludf.DUMMYFUNCTION("""COMPUTED_VALUE"""),"automatic.com")</f>
        <v>automatic.com</v>
      </c>
    </row>
    <row r="917">
      <c r="A917" s="5" t="str">
        <f>IFERROR(__xludf.DUMMYFUNCTION("""COMPUTED_VALUE"""),"accolade.com")</f>
        <v>accolade.com</v>
      </c>
      <c r="B917" s="5" t="str">
        <f>IFERROR(__xludf.DUMMYFUNCTION("""COMPUTED_VALUE"""),"barefootnetworks.com")</f>
        <v>barefootnetworks.com</v>
      </c>
    </row>
    <row r="918">
      <c r="A918" s="5" t="str">
        <f>IFERROR(__xludf.DUMMYFUNCTION("""COMPUTED_VALUE"""),"actifio.com")</f>
        <v>actifio.com</v>
      </c>
      <c r="B918" s="5" t="str">
        <f>IFERROR(__xludf.DUMMYFUNCTION("""COMPUTED_VALUE"""),"bioagelabs.com")</f>
        <v>bioagelabs.com</v>
      </c>
    </row>
    <row r="919">
      <c r="A919" s="5" t="str">
        <f>IFERROR(__xludf.DUMMYFUNCTION("""COMPUTED_VALUE"""),"affirm.com")</f>
        <v>affirm.com</v>
      </c>
      <c r="B919" s="5" t="str">
        <f>IFERROR(__xludf.DUMMYFUNCTION("""COMPUTED_VALUE"""),"blockspring.com")</f>
        <v>blockspring.com</v>
      </c>
    </row>
    <row r="920">
      <c r="A920" s="5" t="str">
        <f>IFERROR(__xludf.DUMMYFUNCTION("""COMPUTED_VALUE"""),"airbnb.com")</f>
        <v>airbnb.com</v>
      </c>
      <c r="B920" s="5" t="str">
        <f>IFERROR(__xludf.DUMMYFUNCTION("""COMPUTED_VALUE"""),"box.com")</f>
        <v>box.com</v>
      </c>
    </row>
    <row r="921">
      <c r="A921" s="5" t="str">
        <f>IFERROR(__xludf.DUMMYFUNCTION("""COMPUTED_VALUE"""),"allsetnow.com")</f>
        <v>allsetnow.com</v>
      </c>
      <c r="B921" s="5" t="str">
        <f>IFERROR(__xludf.DUMMYFUNCTION("""COMPUTED_VALUE"""),"brkt.com")</f>
        <v>brkt.com</v>
      </c>
    </row>
    <row r="922">
      <c r="A922" s="5" t="str">
        <f>IFERROR(__xludf.DUMMYFUNCTION("""COMPUTED_VALUE"""),"apptio.com")</f>
        <v>apptio.com</v>
      </c>
      <c r="B922" s="5" t="str">
        <f>IFERROR(__xludf.DUMMYFUNCTION("""COMPUTED_VALUE"""),"bu.mp")</f>
        <v>bu.mp</v>
      </c>
    </row>
    <row r="923">
      <c r="A923" s="5" t="str">
        <f>IFERROR(__xludf.DUMMYFUNCTION("""COMPUTED_VALUE"""),"arimo.com")</f>
        <v>arimo.com</v>
      </c>
      <c r="B923" s="5" t="str">
        <f>IFERROR(__xludf.DUMMYFUNCTION("""COMPUTED_VALUE"""),"buzzfeed.com")</f>
        <v>buzzfeed.com</v>
      </c>
    </row>
    <row r="924">
      <c r="A924" s="5" t="str">
        <f>IFERROR(__xludf.DUMMYFUNCTION("""COMPUTED_VALUE"""),"asana.com")</f>
        <v>asana.com</v>
      </c>
      <c r="B924" s="5" t="str">
        <f>IFERROR(__xludf.DUMMYFUNCTION("""COMPUTED_VALUE"""),"camp4tx.com")</f>
        <v>camp4tx.com</v>
      </c>
    </row>
    <row r="925">
      <c r="A925" s="5" t="str">
        <f>IFERROR(__xludf.DUMMYFUNCTION("""COMPUTED_VALUE"""),"asserts.ai")</f>
        <v>asserts.ai</v>
      </c>
      <c r="B925" s="5" t="str">
        <f>IFERROR(__xludf.DUMMYFUNCTION("""COMPUTED_VALUE"""),"capital.xyz")</f>
        <v>capital.xyz</v>
      </c>
    </row>
    <row r="926">
      <c r="A926" s="5" t="str">
        <f>IFERROR(__xludf.DUMMYFUNCTION("""COMPUTED_VALUE"""),"authy.com")</f>
        <v>authy.com</v>
      </c>
      <c r="B926" s="5" t="str">
        <f>IFERROR(__xludf.DUMMYFUNCTION("""COMPUTED_VALUE"""),"cardiogram.com")</f>
        <v>cardiogram.com</v>
      </c>
    </row>
    <row r="927">
      <c r="A927" s="5" t="str">
        <f>IFERROR(__xludf.DUMMYFUNCTION("""COMPUTED_VALUE"""),"automatic.com")</f>
        <v>automatic.com</v>
      </c>
      <c r="B927" s="5" t="str">
        <f>IFERROR(__xludf.DUMMYFUNCTION("""COMPUTED_VALUE"""),"trycaviar.com")</f>
        <v>trycaviar.com</v>
      </c>
    </row>
    <row r="928">
      <c r="A928" s="5" t="str">
        <f>IFERROR(__xludf.DUMMYFUNCTION("""COMPUTED_VALUE"""),"barefootnetworks.com")</f>
        <v>barefootnetworks.com</v>
      </c>
      <c r="B928" s="5" t="str">
        <f>IFERROR(__xludf.DUMMYFUNCTION("""COMPUTED_VALUE"""),"beta.character.ai")</f>
        <v>beta.character.ai</v>
      </c>
    </row>
    <row r="929">
      <c r="A929" s="5" t="str">
        <f>IFERROR(__xludf.DUMMYFUNCTION("""COMPUTED_VALUE"""),"bioagelabs.com")</f>
        <v>bioagelabs.com</v>
      </c>
      <c r="B929" s="5" t="str">
        <f>IFERROR(__xludf.DUMMYFUNCTION("""COMPUTED_VALUE"""),"ciitizen.com")</f>
        <v>ciitizen.com</v>
      </c>
    </row>
    <row r="930">
      <c r="A930" s="5" t="str">
        <f>IFERROR(__xludf.DUMMYFUNCTION("""COMPUTED_VALUE"""),"blockspring.com")</f>
        <v>blockspring.com</v>
      </c>
      <c r="B930" s="5" t="str">
        <f>IFERROR(__xludf.DUMMYFUNCTION("""COMPUTED_VALUE"""),"clearstorydata.com")</f>
        <v>clearstorydata.com</v>
      </c>
    </row>
    <row r="931">
      <c r="A931" s="5" t="str">
        <f>IFERROR(__xludf.DUMMYFUNCTION("""COMPUTED_VALUE"""),"box.com")</f>
        <v>box.com</v>
      </c>
      <c r="B931" s="5" t="str">
        <f>IFERROR(__xludf.DUMMYFUNCTION("""COMPUTED_VALUE"""),"coinbase.com")</f>
        <v>coinbase.com</v>
      </c>
    </row>
    <row r="932">
      <c r="A932" s="5" t="str">
        <f>IFERROR(__xludf.DUMMYFUNCTION("""COMPUTED_VALUE"""),"brkt.com")</f>
        <v>brkt.com</v>
      </c>
      <c r="B932" s="5" t="str">
        <f>IFERROR(__xludf.DUMMYFUNCTION("""COMPUTED_VALUE"""),"cumulusnetworks.com")</f>
        <v>cumulusnetworks.com</v>
      </c>
    </row>
    <row r="933">
      <c r="A933" s="5" t="str">
        <f>IFERROR(__xludf.DUMMYFUNCTION("""COMPUTED_VALUE"""),"bu.mp")</f>
        <v>bu.mp</v>
      </c>
      <c r="B933" s="5" t="str">
        <f>IFERROR(__xludf.DUMMYFUNCTION("""COMPUTED_VALUE"""),"deepmap.ai")</f>
        <v>deepmap.ai</v>
      </c>
    </row>
    <row r="934">
      <c r="A934" s="5" t="str">
        <f>IFERROR(__xludf.DUMMYFUNCTION("""COMPUTED_VALUE"""),"buzzfeed.com")</f>
        <v>buzzfeed.com</v>
      </c>
      <c r="B934" s="5" t="str">
        <f>IFERROR(__xludf.DUMMYFUNCTION("""COMPUTED_VALUE"""),"digitalocean.com")</f>
        <v>digitalocean.com</v>
      </c>
    </row>
    <row r="935">
      <c r="A935" s="5" t="str">
        <f>IFERROR(__xludf.DUMMYFUNCTION("""COMPUTED_VALUE"""),"camp4tx.com")</f>
        <v>camp4tx.com</v>
      </c>
      <c r="B935" s="5" t="str">
        <f>IFERROR(__xludf.DUMMYFUNCTION("""COMPUTED_VALUE"""),"dishpatch.co.uk")</f>
        <v>dishpatch.co.uk</v>
      </c>
    </row>
    <row r="936">
      <c r="A936" s="5" t="str">
        <f>IFERROR(__xludf.DUMMYFUNCTION("""COMPUTED_VALUE"""),"capital.xyz")</f>
        <v>capital.xyz</v>
      </c>
      <c r="B936" s="5" t="str">
        <f>IFERROR(__xludf.DUMMYFUNCTION("""COMPUTED_VALUE"""),"dollarshaveclub.com")</f>
        <v>dollarshaveclub.com</v>
      </c>
    </row>
    <row r="937">
      <c r="A937" s="5" t="str">
        <f>IFERROR(__xludf.DUMMYFUNCTION("""COMPUTED_VALUE"""),"cardiogram.com")</f>
        <v>cardiogram.com</v>
      </c>
      <c r="B937" s="5" t="str">
        <f>IFERROR(__xludf.DUMMYFUNCTION("""COMPUTED_VALUE"""),"earn.com")</f>
        <v>earn.com</v>
      </c>
    </row>
    <row r="938">
      <c r="A938" s="5" t="str">
        <f>IFERROR(__xludf.DUMMYFUNCTION("""COMPUTED_VALUE"""),"trycaviar.com")</f>
        <v>trycaviar.com</v>
      </c>
      <c r="B938" s="5" t="str">
        <f>IFERROR(__xludf.DUMMYFUNCTION("""COMPUTED_VALUE"""),"eqrx.com")</f>
        <v>eqrx.com</v>
      </c>
    </row>
    <row r="939">
      <c r="A939" s="5" t="str">
        <f>IFERROR(__xludf.DUMMYFUNCTION("""COMPUTED_VALUE"""),"beta.character.ai")</f>
        <v>beta.character.ai</v>
      </c>
      <c r="B939" s="5" t="str">
        <f>IFERROR(__xludf.DUMMYFUNCTION("""COMPUTED_VALUE"""),"erasca.com")</f>
        <v>erasca.com</v>
      </c>
    </row>
    <row r="940">
      <c r="A940" s="5" t="str">
        <f>IFERROR(__xludf.DUMMYFUNCTION("""COMPUTED_VALUE"""),"ciitizen.com")</f>
        <v>ciitizen.com</v>
      </c>
      <c r="B940" s="5" t="str">
        <f>IFERROR(__xludf.DUMMYFUNCTION("""COMPUTED_VALUE"""),"fiftythree.com")</f>
        <v>fiftythree.com</v>
      </c>
    </row>
    <row r="941">
      <c r="A941" s="5" t="str">
        <f>IFERROR(__xludf.DUMMYFUNCTION("""COMPUTED_VALUE"""),"clearstorydata.com")</f>
        <v>clearstorydata.com</v>
      </c>
      <c r="B941" s="6" t="str">
        <f>IFERROR(__xludf.DUMMYFUNCTION("""COMPUTED_VALUE"""),"flutter.dev")</f>
        <v>flutter.dev</v>
      </c>
    </row>
    <row r="942">
      <c r="A942" s="5" t="str">
        <f>IFERROR(__xludf.DUMMYFUNCTION("""COMPUTED_VALUE"""),"coinbase.com")</f>
        <v>coinbase.com</v>
      </c>
      <c r="B942" s="5" t="str">
        <f>IFERROR(__xludf.DUMMYFUNCTION("""COMPUTED_VALUE"""),"fusionio.com")</f>
        <v>fusionio.com</v>
      </c>
    </row>
    <row r="943">
      <c r="A943" s="5" t="str">
        <f>IFERROR(__xludf.DUMMYFUNCTION("""COMPUTED_VALUE"""),"cumulusnetworks.com")</f>
        <v>cumulusnetworks.com</v>
      </c>
      <c r="B943" s="5" t="str">
        <f>IFERROR(__xludf.DUMMYFUNCTION("""COMPUTED_VALUE"""),"gainspeed.com")</f>
        <v>gainspeed.com</v>
      </c>
    </row>
    <row r="944">
      <c r="A944" s="5" t="str">
        <f>IFERROR(__xludf.DUMMYFUNCTION("""COMPUTED_VALUE"""),"deepmap.ai")</f>
        <v>deepmap.ai</v>
      </c>
      <c r="B944" s="5" t="str">
        <f>IFERROR(__xludf.DUMMYFUNCTION("""COMPUTED_VALUE"""),"genius.com")</f>
        <v>genius.com</v>
      </c>
    </row>
    <row r="945">
      <c r="A945" s="5" t="str">
        <f>IFERROR(__xludf.DUMMYFUNCTION("""COMPUTED_VALUE"""),"digitalocean.com")</f>
        <v>digitalocean.com</v>
      </c>
      <c r="B945" s="5" t="str">
        <f>IFERROR(__xludf.DUMMYFUNCTION("""COMPUTED_VALUE"""),"github.com")</f>
        <v>github.com</v>
      </c>
    </row>
    <row r="946">
      <c r="A946" s="5" t="str">
        <f>IFERROR(__xludf.DUMMYFUNCTION("""COMPUTED_VALUE"""),"dishpatch.co.uk")</f>
        <v>dishpatch.co.uk</v>
      </c>
      <c r="B946" s="5" t="str">
        <f>IFERROR(__xludf.DUMMYFUNCTION("""COMPUTED_VALUE"""),"gobble.com")</f>
        <v>gobble.com</v>
      </c>
    </row>
    <row r="947">
      <c r="A947" s="5" t="str">
        <f>IFERROR(__xludf.DUMMYFUNCTION("""COMPUTED_VALUE"""),"dollarshaveclub.com")</f>
        <v>dollarshaveclub.com</v>
      </c>
      <c r="B947" s="5" t="str">
        <f>IFERROR(__xludf.DUMMYFUNCTION("""COMPUTED_VALUE"""),"golden.com")</f>
        <v>golden.com</v>
      </c>
    </row>
    <row r="948">
      <c r="A948" s="5" t="str">
        <f>IFERROR(__xludf.DUMMYFUNCTION("""COMPUTED_VALUE"""),"earn.com")</f>
        <v>earn.com</v>
      </c>
      <c r="B948" s="5" t="str">
        <f>IFERROR(__xludf.DUMMYFUNCTION("""COMPUTED_VALUE"""),"granular.ag")</f>
        <v>granular.ag</v>
      </c>
    </row>
    <row r="949">
      <c r="A949" s="5" t="str">
        <f>IFERROR(__xludf.DUMMYFUNCTION("""COMPUTED_VALUE"""),"eqrx.com")</f>
        <v>eqrx.com</v>
      </c>
      <c r="B949" s="5" t="str">
        <f>IFERROR(__xludf.DUMMYFUNCTION("""COMPUTED_VALUE"""),"grep.ly")</f>
        <v>grep.ly</v>
      </c>
    </row>
    <row r="950">
      <c r="A950" s="5" t="str">
        <f>IFERROR(__xludf.DUMMYFUNCTION("""COMPUTED_VALUE"""),"erasca.com")</f>
        <v>erasca.com</v>
      </c>
      <c r="B950" s="5" t="str">
        <f>IFERROR(__xludf.DUMMYFUNCTION("""COMPUTED_VALUE"""),"groupon.com")</f>
        <v>groupon.com</v>
      </c>
    </row>
    <row r="951">
      <c r="A951" s="5" t="str">
        <f>IFERROR(__xludf.DUMMYFUNCTION("""COMPUTED_VALUE"""),"fiftythree.com")</f>
        <v>fiftythree.com</v>
      </c>
      <c r="B951" s="5" t="str">
        <f>IFERROR(__xludf.DUMMYFUNCTION("""COMPUTED_VALUE"""),"stuzo.com")</f>
        <v>stuzo.com</v>
      </c>
    </row>
    <row r="952">
      <c r="A952" s="6" t="str">
        <f>IFERROR(__xludf.DUMMYFUNCTION("""COMPUTED_VALUE"""),"flutter.dev")</f>
        <v>flutter.dev</v>
      </c>
      <c r="B952" s="5" t="str">
        <f>IFERROR(__xludf.DUMMYFUNCTION("""COMPUTED_VALUE"""),"hopin.com")</f>
        <v>hopin.com</v>
      </c>
    </row>
    <row r="953">
      <c r="A953" s="5" t="str">
        <f>IFERROR(__xludf.DUMMYFUNCTION("""COMPUTED_VALUE"""),"fusionio.com")</f>
        <v>fusionio.com</v>
      </c>
      <c r="B953" s="5" t="str">
        <f>IFERROR(__xludf.DUMMYFUNCTION("""COMPUTED_VALUE"""),"humanapi.co")</f>
        <v>humanapi.co</v>
      </c>
    </row>
    <row r="954">
      <c r="A954" s="5" t="str">
        <f>IFERROR(__xludf.DUMMYFUNCTION("""COMPUTED_VALUE"""),"gainspeed.com")</f>
        <v>gainspeed.com</v>
      </c>
      <c r="B954" s="5" t="str">
        <f>IFERROR(__xludf.DUMMYFUNCTION("""COMPUTED_VALUE"""),"icracked.com")</f>
        <v>icracked.com</v>
      </c>
    </row>
    <row r="955">
      <c r="A955" s="5" t="str">
        <f>IFERROR(__xludf.DUMMYFUNCTION("""COMPUTED_VALUE"""),"genius.com")</f>
        <v>genius.com</v>
      </c>
      <c r="B955" s="5" t="str">
        <f>IFERROR(__xludf.DUMMYFUNCTION("""COMPUTED_VALUE"""),"idrx.com")</f>
        <v>idrx.com</v>
      </c>
    </row>
    <row r="956">
      <c r="A956" s="5" t="str">
        <f>IFERROR(__xludf.DUMMYFUNCTION("""COMPUTED_VALUE"""),"github.com")</f>
        <v>github.com</v>
      </c>
      <c r="B956" s="5" t="str">
        <f>IFERROR(__xludf.DUMMYFUNCTION("""COMPUTED_VALUE"""),"imgur.com")</f>
        <v>imgur.com</v>
      </c>
    </row>
    <row r="957">
      <c r="A957" s="5" t="str">
        <f>IFERROR(__xludf.DUMMYFUNCTION("""COMPUTED_VALUE"""),"gobble.com")</f>
        <v>gobble.com</v>
      </c>
      <c r="B957" s="5" t="str">
        <f>IFERROR(__xludf.DUMMYFUNCTION("""COMPUTED_VALUE"""),"instacart.com")</f>
        <v>instacart.com</v>
      </c>
    </row>
    <row r="958">
      <c r="A958" s="5" t="str">
        <f>IFERROR(__xludf.DUMMYFUNCTION("""COMPUTED_VALUE"""),"golden.com")</f>
        <v>golden.com</v>
      </c>
      <c r="B958" s="5" t="str">
        <f>IFERROR(__xludf.DUMMYFUNCTION("""COMPUTED_VALUE"""),"instagram.com")</f>
        <v>instagram.com</v>
      </c>
    </row>
    <row r="959">
      <c r="A959" s="5" t="str">
        <f>IFERROR(__xludf.DUMMYFUNCTION("""COMPUTED_VALUE"""),"granular.ag")</f>
        <v>granular.ag</v>
      </c>
      <c r="B959" s="5" t="str">
        <f>IFERROR(__xludf.DUMMYFUNCTION("""COMPUTED_VALUE"""),"intrinsic.com")</f>
        <v>intrinsic.com</v>
      </c>
    </row>
    <row r="960">
      <c r="A960" s="5" t="str">
        <f>IFERROR(__xludf.DUMMYFUNCTION("""COMPUTED_VALUE"""),"grep.ly")</f>
        <v>grep.ly</v>
      </c>
      <c r="B960" s="5" t="str">
        <f>IFERROR(__xludf.DUMMYFUNCTION("""COMPUTED_VALUE"""),"julep.com")</f>
        <v>julep.com</v>
      </c>
    </row>
    <row r="961">
      <c r="A961" s="5" t="str">
        <f>IFERROR(__xludf.DUMMYFUNCTION("""COMPUTED_VALUE"""),"groupon.com")</f>
        <v>groupon.com</v>
      </c>
      <c r="B961" s="5" t="str">
        <f>IFERROR(__xludf.DUMMYFUNCTION("""COMPUTED_VALUE"""),"keybase.io")</f>
        <v>keybase.io</v>
      </c>
    </row>
    <row r="962">
      <c r="A962" s="5" t="str">
        <f>IFERROR(__xludf.DUMMYFUNCTION("""COMPUTED_VALUE"""),"stuzo.com")</f>
        <v>stuzo.com</v>
      </c>
      <c r="B962" s="6" t="str">
        <f>IFERROR(__xludf.DUMMYFUNCTION("""COMPUTED_VALUE"""),"knowable.fyi")</f>
        <v>knowable.fyi</v>
      </c>
    </row>
    <row r="963">
      <c r="A963" s="5" t="str">
        <f>IFERROR(__xludf.DUMMYFUNCTION("""COMPUTED_VALUE"""),"hopin.com")</f>
        <v>hopin.com</v>
      </c>
      <c r="B963" s="5" t="str">
        <f>IFERROR(__xludf.DUMMYFUNCTION("""COMPUTED_VALUE"""),"loom.com")</f>
        <v>loom.com</v>
      </c>
    </row>
    <row r="964">
      <c r="A964" s="5" t="str">
        <f>IFERROR(__xludf.DUMMYFUNCTION("""COMPUTED_VALUE"""),"humanapi.co")</f>
        <v>humanapi.co</v>
      </c>
      <c r="B964" s="5" t="str">
        <f>IFERROR(__xludf.DUMMYFUNCTION("""COMPUTED_VALUE"""),"lowkey.gg")</f>
        <v>lowkey.gg</v>
      </c>
    </row>
    <row r="965">
      <c r="A965" s="5" t="str">
        <f>IFERROR(__xludf.DUMMYFUNCTION("""COMPUTED_VALUE"""),"icracked.com")</f>
        <v>icracked.com</v>
      </c>
      <c r="B965" s="5" t="str">
        <f>IFERROR(__xludf.DUMMYFUNCTION("""COMPUTED_VALUE"""),"judgeholdings.com")</f>
        <v>judgeholdings.com</v>
      </c>
    </row>
    <row r="966">
      <c r="A966" s="5" t="str">
        <f>IFERROR(__xludf.DUMMYFUNCTION("""COMPUTED_VALUE"""),"idrx.com")</f>
        <v>idrx.com</v>
      </c>
      <c r="B966" s="5" t="str">
        <f>IFERROR(__xludf.DUMMYFUNCTION("""COMPUTED_VALUE"""),"lyft.com")</f>
        <v>lyft.com</v>
      </c>
    </row>
    <row r="967">
      <c r="A967" s="5" t="str">
        <f>IFERROR(__xludf.DUMMYFUNCTION("""COMPUTED_VALUE"""),"imgur.com")</f>
        <v>imgur.com</v>
      </c>
      <c r="B967" s="5" t="str">
        <f>IFERROR(__xludf.DUMMYFUNCTION("""COMPUTED_VALUE"""),"lytro.com")</f>
        <v>lytro.com</v>
      </c>
    </row>
    <row r="968">
      <c r="A968" s="5" t="str">
        <f>IFERROR(__xludf.DUMMYFUNCTION("""COMPUTED_VALUE"""),"instacart.com")</f>
        <v>instacart.com</v>
      </c>
      <c r="B968" s="5" t="str">
        <f>IFERROR(__xludf.DUMMYFUNCTION("""COMPUTED_VALUE"""),"memorahealth.com")</f>
        <v>memorahealth.com</v>
      </c>
    </row>
    <row r="969">
      <c r="A969" s="5" t="str">
        <f>IFERROR(__xludf.DUMMYFUNCTION("""COMPUTED_VALUE"""),"instagram.com")</f>
        <v>instagram.com</v>
      </c>
      <c r="B969" s="6" t="str">
        <f>IFERROR(__xludf.DUMMYFUNCTION("""COMPUTED_VALUE"""),"nautilus.bio")</f>
        <v>nautilus.bio</v>
      </c>
    </row>
    <row r="970">
      <c r="A970" s="5" t="str">
        <f>IFERROR(__xludf.DUMMYFUNCTION("""COMPUTED_VALUE"""),"intrinsic.com")</f>
        <v>intrinsic.com</v>
      </c>
      <c r="B970" s="5" t="str">
        <f>IFERROR(__xludf.DUMMYFUNCTION("""COMPUTED_VALUE"""),"vmware.com")</f>
        <v>vmware.com</v>
      </c>
    </row>
    <row r="971">
      <c r="A971" s="5" t="str">
        <f>IFERROR(__xludf.DUMMYFUNCTION("""COMPUTED_VALUE"""),"julep.com")</f>
        <v>julep.com</v>
      </c>
      <c r="B971" s="5" t="str">
        <f>IFERROR(__xludf.DUMMYFUNCTION("""COMPUTED_VALUE"""),"store.facebook.com")</f>
        <v>store.facebook.com</v>
      </c>
    </row>
    <row r="972">
      <c r="A972" s="5" t="str">
        <f>IFERROR(__xludf.DUMMYFUNCTION("""COMPUTED_VALUE"""),"keybase.io")</f>
        <v>keybase.io</v>
      </c>
      <c r="B972" s="5" t="str">
        <f>IFERROR(__xludf.DUMMYFUNCTION("""COMPUTED_VALUE"""),"okta.com")</f>
        <v>okta.com</v>
      </c>
    </row>
    <row r="973">
      <c r="A973" s="6" t="str">
        <f>IFERROR(__xludf.DUMMYFUNCTION("""COMPUTED_VALUE"""),"knowable.fyi")</f>
        <v>knowable.fyi</v>
      </c>
      <c r="B973" s="5" t="str">
        <f>IFERROR(__xludf.DUMMYFUNCTION("""COMPUTED_VALUE"""),"onshape.com")</f>
        <v>onshape.com</v>
      </c>
    </row>
    <row r="974">
      <c r="A974" s="5" t="str">
        <f>IFERROR(__xludf.DUMMYFUNCTION("""COMPUTED_VALUE"""),"loom.com")</f>
        <v>loom.com</v>
      </c>
      <c r="B974" s="5" t="str">
        <f>IFERROR(__xludf.DUMMYFUNCTION("""COMPUTED_VALUE"""),"opendoor.com")</f>
        <v>opendoor.com</v>
      </c>
    </row>
    <row r="975">
      <c r="A975" s="5" t="str">
        <f>IFERROR(__xludf.DUMMYFUNCTION("""COMPUTED_VALUE"""),"lowkey.gg")</f>
        <v>lowkey.gg</v>
      </c>
      <c r="B975" s="5" t="str">
        <f>IFERROR(__xludf.DUMMYFUNCTION("""COMPUTED_VALUE"""),"openinvest.com")</f>
        <v>openinvest.com</v>
      </c>
    </row>
    <row r="976">
      <c r="A976" s="5" t="str">
        <f>IFERROR(__xludf.DUMMYFUNCTION("""COMPUTED_VALUE"""),"judgeholdings.com")</f>
        <v>judgeholdings.com</v>
      </c>
      <c r="B976" s="5" t="str">
        <f>IFERROR(__xludf.DUMMYFUNCTION("""COMPUTED_VALUE"""),"optimizely.com")</f>
        <v>optimizely.com</v>
      </c>
    </row>
    <row r="977">
      <c r="A977" s="5" t="str">
        <f>IFERROR(__xludf.DUMMYFUNCTION("""COMPUTED_VALUE"""),"lyft.com")</f>
        <v>lyft.com</v>
      </c>
      <c r="B977" s="6" t="str">
        <f>IFERROR(__xludf.DUMMYFUNCTION("""COMPUTED_VALUE"""),"optimyze.cloud")</f>
        <v>optimyze.cloud</v>
      </c>
    </row>
    <row r="978">
      <c r="A978" s="5" t="str">
        <f>IFERROR(__xludf.DUMMYFUNCTION("""COMPUTED_VALUE"""),"lytro.com")</f>
        <v>lytro.com</v>
      </c>
      <c r="B978" s="5" t="str">
        <f>IFERROR(__xludf.DUMMYFUNCTION("""COMPUTED_VALUE"""),"pagerduty.com")</f>
        <v>pagerduty.com</v>
      </c>
    </row>
    <row r="979">
      <c r="A979" s="5" t="str">
        <f>IFERROR(__xludf.DUMMYFUNCTION("""COMPUTED_VALUE"""),"memorahealth.com")</f>
        <v>memorahealth.com</v>
      </c>
      <c r="B979" s="5" t="str">
        <f>IFERROR(__xludf.DUMMYFUNCTION("""COMPUTED_VALUE"""),"parsecgaming.com")</f>
        <v>parsecgaming.com</v>
      </c>
    </row>
    <row r="980">
      <c r="A980" s="6" t="str">
        <f>IFERROR(__xludf.DUMMYFUNCTION("""COMPUTED_VALUE"""),"nautilus.bio")</f>
        <v>nautilus.bio</v>
      </c>
      <c r="B980" s="6" t="str">
        <f>IFERROR(__xludf.DUMMYFUNCTION("""COMPUTED_VALUE"""),"patch.bio")</f>
        <v>patch.bio</v>
      </c>
    </row>
    <row r="981">
      <c r="A981" s="5" t="str">
        <f>IFERROR(__xludf.DUMMYFUNCTION("""COMPUTED_VALUE"""),"vmware.com")</f>
        <v>vmware.com</v>
      </c>
      <c r="B981" s="5" t="str">
        <f>IFERROR(__xludf.DUMMYFUNCTION("""COMPUTED_VALUE"""),"patientping.com")</f>
        <v>patientping.com</v>
      </c>
    </row>
    <row r="982">
      <c r="A982" s="5" t="str">
        <f>IFERROR(__xludf.DUMMYFUNCTION("""COMPUTED_VALUE"""),"store.facebook.com")</f>
        <v>store.facebook.com</v>
      </c>
      <c r="B982" s="5" t="str">
        <f>IFERROR(__xludf.DUMMYFUNCTION("""COMPUTED_VALUE"""),"pinterest.com")</f>
        <v>pinterest.com</v>
      </c>
    </row>
    <row r="983">
      <c r="A983" s="5" t="str">
        <f>IFERROR(__xludf.DUMMYFUNCTION("""COMPUTED_VALUE"""),"okta.com")</f>
        <v>okta.com</v>
      </c>
      <c r="B983" s="5" t="str">
        <f>IFERROR(__xludf.DUMMYFUNCTION("""COMPUTED_VALUE"""),"pixate.com")</f>
        <v>pixate.com</v>
      </c>
    </row>
    <row r="984">
      <c r="A984" s="5" t="str">
        <f>IFERROR(__xludf.DUMMYFUNCTION("""COMPUTED_VALUE"""),"onshape.com")</f>
        <v>onshape.com</v>
      </c>
      <c r="B984" s="5" t="str">
        <f>IFERROR(__xludf.DUMMYFUNCTION("""COMPUTED_VALUE"""),"platfora.com")</f>
        <v>platfora.com</v>
      </c>
    </row>
    <row r="985">
      <c r="A985" s="5" t="str">
        <f>IFERROR(__xludf.DUMMYFUNCTION("""COMPUTED_VALUE"""),"opendoor.com")</f>
        <v>opendoor.com</v>
      </c>
      <c r="B985" s="5" t="str">
        <f>IFERROR(__xludf.DUMMYFUNCTION("""COMPUTED_VALUE"""),"producthunt.com")</f>
        <v>producthunt.com</v>
      </c>
    </row>
    <row r="986">
      <c r="A986" s="5" t="str">
        <f>IFERROR(__xludf.DUMMYFUNCTION("""COMPUTED_VALUE"""),"openinvest.com")</f>
        <v>openinvest.com</v>
      </c>
      <c r="B986" s="5" t="str">
        <f>IFERROR(__xludf.DUMMYFUNCTION("""COMPUTED_VALUE"""),"quantopian.com")</f>
        <v>quantopian.com</v>
      </c>
    </row>
    <row r="987">
      <c r="A987" s="5" t="str">
        <f>IFERROR(__xludf.DUMMYFUNCTION("""COMPUTED_VALUE"""),"optimizely.com")</f>
        <v>optimizely.com</v>
      </c>
      <c r="B987" s="5" t="str">
        <f>IFERROR(__xludf.DUMMYFUNCTION("""COMPUTED_VALUE"""),"redhotlabs.com")</f>
        <v>redhotlabs.com</v>
      </c>
    </row>
    <row r="988">
      <c r="A988" s="6" t="str">
        <f>IFERROR(__xludf.DUMMYFUNCTION("""COMPUTED_VALUE"""),"optimyze.cloud")</f>
        <v>optimyze.cloud</v>
      </c>
      <c r="B988" s="5" t="str">
        <f>IFERROR(__xludf.DUMMYFUNCTION("""COMPUTED_VALUE"""),"redditinc.com")</f>
        <v>redditinc.com</v>
      </c>
    </row>
    <row r="989">
      <c r="A989" s="5" t="str">
        <f>IFERROR(__xludf.DUMMYFUNCTION("""COMPUTED_VALUE"""),"pagerduty.com")</f>
        <v>pagerduty.com</v>
      </c>
      <c r="B989" s="5" t="str">
        <f>IFERROR(__xludf.DUMMYFUNCTION("""COMPUTED_VALUE"""),"reflektive.com")</f>
        <v>reflektive.com</v>
      </c>
    </row>
    <row r="990">
      <c r="A990" s="5" t="str">
        <f>IFERROR(__xludf.DUMMYFUNCTION("""COMPUTED_VALUE"""),"parsecgaming.com")</f>
        <v>parsecgaming.com</v>
      </c>
      <c r="B990" s="5" t="str">
        <f>IFERROR(__xludf.DUMMYFUNCTION("""COMPUTED_VALUE"""),"ribbonhealth.com")</f>
        <v>ribbonhealth.com</v>
      </c>
    </row>
    <row r="991">
      <c r="A991" s="6" t="str">
        <f>IFERROR(__xludf.DUMMYFUNCTION("""COMPUTED_VALUE"""),"patch.bio")</f>
        <v>patch.bio</v>
      </c>
      <c r="B991" s="5" t="str">
        <f>IFERROR(__xludf.DUMMYFUNCTION("""COMPUTED_VALUE"""),"rigetti.com")</f>
        <v>rigetti.com</v>
      </c>
    </row>
    <row r="992">
      <c r="A992" s="5" t="str">
        <f>IFERROR(__xludf.DUMMYFUNCTION("""COMPUTED_VALUE"""),"patientping.com")</f>
        <v>patientping.com</v>
      </c>
      <c r="B992" s="5" t="str">
        <f>IFERROR(__xludf.DUMMYFUNCTION("""COMPUTED_VALUE"""),"rival.co")</f>
        <v>rival.co</v>
      </c>
    </row>
    <row r="993">
      <c r="A993" s="5" t="str">
        <f>IFERROR(__xludf.DUMMYFUNCTION("""COMPUTED_VALUE"""),"pinterest.com")</f>
        <v>pinterest.com</v>
      </c>
      <c r="B993" s="5" t="str">
        <f>IFERROR(__xludf.DUMMYFUNCTION("""COMPUTED_VALUE"""),"corp.roblox.com")</f>
        <v>corp.roblox.com</v>
      </c>
    </row>
    <row r="994">
      <c r="A994" s="5" t="str">
        <f>IFERROR(__xludf.DUMMYFUNCTION("""COMPUTED_VALUE"""),"pixate.com")</f>
        <v>pixate.com</v>
      </c>
      <c r="B994" s="5" t="str">
        <f>IFERROR(__xludf.DUMMYFUNCTION("""COMPUTED_VALUE"""),"rtfkt.com")</f>
        <v>rtfkt.com</v>
      </c>
    </row>
    <row r="995">
      <c r="A995" s="5" t="str">
        <f>IFERROR(__xludf.DUMMYFUNCTION("""COMPUTED_VALUE"""),"platfora.com")</f>
        <v>platfora.com</v>
      </c>
      <c r="B995" s="5" t="str">
        <f>IFERROR(__xludf.DUMMYFUNCTION("""COMPUTED_VALUE"""),"samsara.com")</f>
        <v>samsara.com</v>
      </c>
    </row>
    <row r="996">
      <c r="A996" s="5" t="str">
        <f>IFERROR(__xludf.DUMMYFUNCTION("""COMPUTED_VALUE"""),"producthunt.com")</f>
        <v>producthunt.com</v>
      </c>
      <c r="B996" s="5" t="str">
        <f>IFERROR(__xludf.DUMMYFUNCTION("""COMPUTED_VALUE"""),"seedfi.com")</f>
        <v>seedfi.com</v>
      </c>
    </row>
    <row r="997">
      <c r="A997" s="5" t="str">
        <f>IFERROR(__xludf.DUMMYFUNCTION("""COMPUTED_VALUE"""),"quantopian.com")</f>
        <v>quantopian.com</v>
      </c>
      <c r="B997" s="5" t="str">
        <f>IFERROR(__xludf.DUMMYFUNCTION("""COMPUTED_VALUE"""),"shoedazzle.com")</f>
        <v>shoedazzle.com</v>
      </c>
    </row>
    <row r="998">
      <c r="A998" s="5" t="str">
        <f>IFERROR(__xludf.DUMMYFUNCTION("""COMPUTED_VALUE"""),"redhotlabs.com")</f>
        <v>redhotlabs.com</v>
      </c>
      <c r="B998" s="5" t="str">
        <f>IFERROR(__xludf.DUMMYFUNCTION("""COMPUTED_VALUE"""),"signalfx.com")</f>
        <v>signalfx.com</v>
      </c>
    </row>
    <row r="999">
      <c r="A999" s="5" t="str">
        <f>IFERROR(__xludf.DUMMYFUNCTION("""COMPUTED_VALUE"""),"redditinc.com")</f>
        <v>redditinc.com</v>
      </c>
      <c r="B999" s="5" t="str">
        <f>IFERROR(__xludf.DUMMYFUNCTION("""COMPUTED_VALUE"""),"sigopt.com")</f>
        <v>sigopt.com</v>
      </c>
    </row>
    <row r="1000">
      <c r="A1000" s="5" t="str">
        <f>IFERROR(__xludf.DUMMYFUNCTION("""COMPUTED_VALUE"""),"reflektive.com")</f>
        <v>reflektive.com</v>
      </c>
      <c r="B1000" s="5" t="str">
        <f>IFERROR(__xludf.DUMMYFUNCTION("""COMPUTED_VALUE"""),"rsa.com")</f>
        <v>rsa.com</v>
      </c>
    </row>
    <row r="1001">
      <c r="A1001" s="5" t="str">
        <f>IFERROR(__xludf.DUMMYFUNCTION("""COMPUTED_VALUE"""),"ribbonhealth.com")</f>
        <v>ribbonhealth.com</v>
      </c>
      <c r="B1001" s="5" t="str">
        <f>IFERROR(__xludf.DUMMYFUNCTION("""COMPUTED_VALUE"""),"skout.com")</f>
        <v>skout.com</v>
      </c>
    </row>
    <row r="1002">
      <c r="A1002" s="5" t="str">
        <f>IFERROR(__xludf.DUMMYFUNCTION("""COMPUTED_VALUE"""),"rigetti.com")</f>
        <v>rigetti.com</v>
      </c>
      <c r="B1002" s="5" t="str">
        <f>IFERROR(__xludf.DUMMYFUNCTION("""COMPUTED_VALUE"""),"soylent.com")</f>
        <v>soylent.com</v>
      </c>
    </row>
    <row r="1003">
      <c r="A1003" s="5" t="str">
        <f>IFERROR(__xludf.DUMMYFUNCTION("""COMPUTED_VALUE"""),"rival.co")</f>
        <v>rival.co</v>
      </c>
      <c r="B1003" s="5" t="str">
        <f>IFERROR(__xludf.DUMMYFUNCTION("""COMPUTED_VALUE"""),"stackoverflowbusiness.com")</f>
        <v>stackoverflowbusiness.com</v>
      </c>
    </row>
    <row r="1004">
      <c r="A1004" s="5" t="str">
        <f>IFERROR(__xludf.DUMMYFUNCTION("""COMPUTED_VALUE"""),"corp.roblox.com")</f>
        <v>corp.roblox.com</v>
      </c>
      <c r="B1004" s="6" t="str">
        <f>IFERROR(__xludf.DUMMYFUNCTION("""COMPUTED_VALUE"""),"swell.life")</f>
        <v>swell.life</v>
      </c>
    </row>
    <row r="1005">
      <c r="A1005" s="5" t="str">
        <f>IFERROR(__xludf.DUMMYFUNCTION("""COMPUTED_VALUE"""),"rtfkt.com")</f>
        <v>rtfkt.com</v>
      </c>
      <c r="B1005" s="5" t="str">
        <f>IFERROR(__xludf.DUMMYFUNCTION("""COMPUTED_VALUE"""),"swiftype.com")</f>
        <v>swiftype.com</v>
      </c>
    </row>
    <row r="1006">
      <c r="A1006" s="5" t="str">
        <f>IFERROR(__xludf.DUMMYFUNCTION("""COMPUTED_VALUE"""),"samsara.com")</f>
        <v>samsara.com</v>
      </c>
      <c r="B1006" s="5" t="str">
        <f>IFERROR(__xludf.DUMMYFUNCTION("""COMPUTED_VALUE"""),"tabular.io")</f>
        <v>tabular.io</v>
      </c>
    </row>
    <row r="1007">
      <c r="A1007" s="5" t="str">
        <f>IFERROR(__xludf.DUMMYFUNCTION("""COMPUTED_VALUE"""),"seedfi.com")</f>
        <v>seedfi.com</v>
      </c>
      <c r="B1007" s="5" t="str">
        <f>IFERROR(__xludf.DUMMYFUNCTION("""COMPUTED_VALUE"""),"teleport.org")</f>
        <v>teleport.org</v>
      </c>
    </row>
    <row r="1008">
      <c r="A1008" s="5" t="str">
        <f>IFERROR(__xludf.DUMMYFUNCTION("""COMPUTED_VALUE"""),"shoedazzle.com")</f>
        <v>shoedazzle.com</v>
      </c>
      <c r="B1008" s="5" t="str">
        <f>IFERROR(__xludf.DUMMYFUNCTION("""COMPUTED_VALUE"""),"tenfold.com")</f>
        <v>tenfold.com</v>
      </c>
    </row>
    <row r="1009">
      <c r="A1009" s="5" t="str">
        <f>IFERROR(__xludf.DUMMYFUNCTION("""COMPUTED_VALUE"""),"signalfx.com")</f>
        <v>signalfx.com</v>
      </c>
      <c r="B1009" s="5" t="str">
        <f>IFERROR(__xludf.DUMMYFUNCTION("""COMPUTED_VALUE"""),"insightsoftware.com")</f>
        <v>insightsoftware.com</v>
      </c>
    </row>
    <row r="1010">
      <c r="A1010" s="5" t="str">
        <f>IFERROR(__xludf.DUMMYFUNCTION("""COMPUTED_VALUE"""),"sigopt.com")</f>
        <v>sigopt.com</v>
      </c>
      <c r="B1010" s="5" t="str">
        <f>IFERROR(__xludf.DUMMYFUNCTION("""COMPUTED_VALUE"""),"tilt.com")</f>
        <v>tilt.com</v>
      </c>
    </row>
    <row r="1011">
      <c r="A1011" s="5" t="str">
        <f>IFERROR(__xludf.DUMMYFUNCTION("""COMPUTED_VALUE"""),"rsa.com")</f>
        <v>rsa.com</v>
      </c>
      <c r="B1011" s="5" t="str">
        <f>IFERROR(__xludf.DUMMYFUNCTION("""COMPUTED_VALUE"""),"tinyco.com")</f>
        <v>tinyco.com</v>
      </c>
    </row>
    <row r="1012">
      <c r="A1012" s="5" t="str">
        <f>IFERROR(__xludf.DUMMYFUNCTION("""COMPUTED_VALUE"""),"skout.com")</f>
        <v>skout.com</v>
      </c>
      <c r="B1012" s="5" t="str">
        <f>IFERROR(__xludf.DUMMYFUNCTION("""COMPUTED_VALUE"""),"tmunity.com")</f>
        <v>tmunity.com</v>
      </c>
    </row>
    <row r="1013">
      <c r="A1013" s="5" t="str">
        <f>IFERROR(__xludf.DUMMYFUNCTION("""COMPUTED_VALUE"""),"soylent.com")</f>
        <v>soylent.com</v>
      </c>
      <c r="B1013" s="5" t="str">
        <f>IFERROR(__xludf.DUMMYFUNCTION("""COMPUTED_VALUE"""),"tomfoolery.com")</f>
        <v>tomfoolery.com</v>
      </c>
    </row>
    <row r="1014">
      <c r="A1014" s="5" t="str">
        <f>IFERROR(__xludf.DUMMYFUNCTION("""COMPUTED_VALUE"""),"stackoverflowbusiness.com")</f>
        <v>stackoverflowbusiness.com</v>
      </c>
      <c r="B1014" s="5" t="str">
        <f>IFERROR(__xludf.DUMMYFUNCTION("""COMPUTED_VALUE"""),"txn.com")</f>
        <v>txn.com</v>
      </c>
    </row>
    <row r="1015">
      <c r="A1015" s="6" t="str">
        <f>IFERROR(__xludf.DUMMYFUNCTION("""COMPUTED_VALUE"""),"swell.life")</f>
        <v>swell.life</v>
      </c>
      <c r="B1015" s="5" t="str">
        <f>IFERROR(__xludf.DUMMYFUNCTION("""COMPUTED_VALUE"""),"udacity.com")</f>
        <v>udacity.com</v>
      </c>
    </row>
    <row r="1016">
      <c r="A1016" s="5" t="str">
        <f>IFERROR(__xludf.DUMMYFUNCTION("""COMPUTED_VALUE"""),"swiftype.com")</f>
        <v>swiftype.com</v>
      </c>
      <c r="B1016" s="5" t="str">
        <f>IFERROR(__xludf.DUMMYFUNCTION("""COMPUTED_VALUE"""),"usermind.com")</f>
        <v>usermind.com</v>
      </c>
    </row>
    <row r="1017">
      <c r="A1017" s="5" t="str">
        <f>IFERROR(__xludf.DUMMYFUNCTION("""COMPUTED_VALUE"""),"tabular.io")</f>
        <v>tabular.io</v>
      </c>
      <c r="B1017" s="5" t="str">
        <f>IFERROR(__xludf.DUMMYFUNCTION("""COMPUTED_VALUE"""),"viki.com")</f>
        <v>viki.com</v>
      </c>
    </row>
    <row r="1018">
      <c r="A1018" s="5" t="str">
        <f>IFERROR(__xludf.DUMMYFUNCTION("""COMPUTED_VALUE"""),"teleport.org")</f>
        <v>teleport.org</v>
      </c>
      <c r="B1018" s="5" t="str">
        <f>IFERROR(__xludf.DUMMYFUNCTION("""COMPUTED_VALUE"""),"walkerandcompany.com")</f>
        <v>walkerandcompany.com</v>
      </c>
    </row>
    <row r="1019">
      <c r="A1019" s="5" t="str">
        <f>IFERROR(__xludf.DUMMYFUNCTION("""COMPUTED_VALUE"""),"tenfold.com")</f>
        <v>tenfold.com</v>
      </c>
      <c r="B1019" s="5" t="str">
        <f>IFERROR(__xludf.DUMMYFUNCTION("""COMPUTED_VALUE"""),"wit.ai")</f>
        <v>wit.ai</v>
      </c>
    </row>
    <row r="1020">
      <c r="A1020" s="5" t="str">
        <f>IFERROR(__xludf.DUMMYFUNCTION("""COMPUTED_VALUE"""),"insightsoftware.com")</f>
        <v>insightsoftware.com</v>
      </c>
      <c r="B1020" s="5" t="str">
        <f>IFERROR(__xludf.DUMMYFUNCTION("""COMPUTED_VALUE"""),"getsupernatural.com")</f>
        <v>getsupernatural.com</v>
      </c>
    </row>
    <row r="1021">
      <c r="A1021" s="5" t="str">
        <f>IFERROR(__xludf.DUMMYFUNCTION("""COMPUTED_VALUE"""),"tilt.com")</f>
        <v>tilt.com</v>
      </c>
      <c r="B1021" s="5" t="str">
        <f>IFERROR(__xludf.DUMMYFUNCTION("""COMPUTED_VALUE"""),"zynga.com")</f>
        <v>zynga.com</v>
      </c>
    </row>
    <row r="1022">
      <c r="A1022" s="5" t="str">
        <f>IFERROR(__xludf.DUMMYFUNCTION("""COMPUTED_VALUE"""),"tinyco.com")</f>
        <v>tinyco.com</v>
      </c>
      <c r="B1022" s="5" t="str">
        <f>IFERROR(__xludf.DUMMYFUNCTION("""COMPUTED_VALUE"""),"11x.ai")</f>
        <v>11x.ai</v>
      </c>
    </row>
    <row r="1023">
      <c r="A1023" s="5" t="str">
        <f>IFERROR(__xludf.DUMMYFUNCTION("""COMPUTED_VALUE"""),"tmunity.com")</f>
        <v>tmunity.com</v>
      </c>
      <c r="B1023" s="6" t="str">
        <f>IFERROR(__xludf.DUMMYFUNCTION("""COMPUTED_VALUE"""),"untitled.stream")</f>
        <v>untitled.stream</v>
      </c>
    </row>
    <row r="1024">
      <c r="A1024" s="5" t="str">
        <f>IFERROR(__xludf.DUMMYFUNCTION("""COMPUTED_VALUE"""),"tomfoolery.com")</f>
        <v>tomfoolery.com</v>
      </c>
      <c r="B1024" s="5" t="str">
        <f>IFERROR(__xludf.DUMMYFUNCTION("""COMPUTED_VALUE"""),"actioniq.com")</f>
        <v>actioniq.com</v>
      </c>
    </row>
    <row r="1025">
      <c r="A1025" s="5" t="str">
        <f>IFERROR(__xludf.DUMMYFUNCTION("""COMPUTED_VALUE"""),"txn.com")</f>
        <v>txn.com</v>
      </c>
      <c r="B1025" s="6" t="str">
        <f>IFERROR(__xludf.DUMMYFUNCTION("""COMPUTED_VALUE"""),"adaptive.build")</f>
        <v>adaptive.build</v>
      </c>
    </row>
    <row r="1026">
      <c r="A1026" s="5" t="str">
        <f>IFERROR(__xludf.DUMMYFUNCTION("""COMPUTED_VALUE"""),"udacity.com")</f>
        <v>udacity.com</v>
      </c>
      <c r="B1026" s="5" t="str">
        <f>IFERROR(__xludf.DUMMYFUNCTION("""COMPUTED_VALUE"""),"addi.com")</f>
        <v>addi.com</v>
      </c>
    </row>
    <row r="1027">
      <c r="A1027" s="5" t="str">
        <f>IFERROR(__xludf.DUMMYFUNCTION("""COMPUTED_VALUE"""),"usermind.com")</f>
        <v>usermind.com</v>
      </c>
      <c r="B1027" s="5" t="str">
        <f>IFERROR(__xludf.DUMMYFUNCTION("""COMPUTED_VALUE"""),"adimverse.com")</f>
        <v>adimverse.com</v>
      </c>
    </row>
    <row r="1028">
      <c r="A1028" s="5" t="str">
        <f>IFERROR(__xludf.DUMMYFUNCTION("""COMPUTED_VALUE"""),"viki.com")</f>
        <v>viki.com</v>
      </c>
      <c r="B1028" s="5" t="str">
        <f>IFERROR(__xludf.DUMMYFUNCTION("""COMPUTED_VALUE"""),"aerodome.com")</f>
        <v>aerodome.com</v>
      </c>
    </row>
    <row r="1029">
      <c r="A1029" s="5" t="str">
        <f>IFERROR(__xludf.DUMMYFUNCTION("""COMPUTED_VALUE"""),"walkerandcompany.com")</f>
        <v>walkerandcompany.com</v>
      </c>
      <c r="B1029" s="5" t="str">
        <f>IFERROR(__xludf.DUMMYFUNCTION("""COMPUTED_VALUE"""),"aghanim.com")</f>
        <v>aghanim.com</v>
      </c>
    </row>
    <row r="1030">
      <c r="A1030" s="5" t="str">
        <f>IFERROR(__xludf.DUMMYFUNCTION("""COMPUTED_VALUE"""),"wit.ai")</f>
        <v>wit.ai</v>
      </c>
      <c r="B1030" s="5" t="str">
        <f>IFERROR(__xludf.DUMMYFUNCTION("""COMPUTED_VALUE"""),"airspace-intelligence.com")</f>
        <v>airspace-intelligence.com</v>
      </c>
    </row>
    <row r="1031">
      <c r="A1031" s="5" t="str">
        <f>IFERROR(__xludf.DUMMYFUNCTION("""COMPUTED_VALUE"""),"getsupernatural.com")</f>
        <v>getsupernatural.com</v>
      </c>
      <c r="B1031" s="5" t="str">
        <f>IFERROR(__xludf.DUMMYFUNCTION("""COMPUTED_VALUE"""),"airgarage.com")</f>
        <v>airgarage.com</v>
      </c>
    </row>
    <row r="1032">
      <c r="A1032" s="5" t="str">
        <f>IFERROR(__xludf.DUMMYFUNCTION("""COMPUTED_VALUE"""),"zynga.com")</f>
        <v>zynga.com</v>
      </c>
      <c r="B1032" s="5" t="str">
        <f>IFERROR(__xludf.DUMMYFUNCTION("""COMPUTED_VALUE"""),"akasa.com")</f>
        <v>akasa.com</v>
      </c>
    </row>
    <row r="1033">
      <c r="A1033" s="5" t="str">
        <f>IFERROR(__xludf.DUMMYFUNCTION("""COMPUTED_VALUE"""),"11x.ai")</f>
        <v>11x.ai</v>
      </c>
      <c r="B1033" s="5" t="str">
        <f>IFERROR(__xludf.DUMMYFUNCTION("""COMPUTED_VALUE"""),"akitasoftware.com")</f>
        <v>akitasoftware.com</v>
      </c>
    </row>
    <row r="1034">
      <c r="A1034" s="6" t="str">
        <f>IFERROR(__xludf.DUMMYFUNCTION("""COMPUTED_VALUE"""),"untitled.stream")</f>
        <v>untitled.stream</v>
      </c>
      <c r="B1034" s="5" t="str">
        <f>IFERROR(__xludf.DUMMYFUNCTION("""COMPUTED_VALUE"""),"alchemy.com")</f>
        <v>alchemy.com</v>
      </c>
    </row>
    <row r="1035">
      <c r="A1035" s="5" t="str">
        <f>IFERROR(__xludf.DUMMYFUNCTION("""COMPUTED_VALUE"""),"actioniq.com")</f>
        <v>actioniq.com</v>
      </c>
      <c r="B1035" s="5" t="str">
        <f>IFERROR(__xludf.DUMMYFUNCTION("""COMPUTED_VALUE"""),"alchemyhealth.com")</f>
        <v>alchemyhealth.com</v>
      </c>
    </row>
    <row r="1036">
      <c r="A1036" s="6" t="str">
        <f>IFERROR(__xludf.DUMMYFUNCTION("""COMPUTED_VALUE"""),"adaptive.build")</f>
        <v>adaptive.build</v>
      </c>
      <c r="B1036" s="5" t="str">
        <f>IFERROR(__xludf.DUMMYFUNCTION("""COMPUTED_VALUE"""),"provable.com")</f>
        <v>provable.com</v>
      </c>
    </row>
    <row r="1037">
      <c r="A1037" s="5" t="str">
        <f>IFERROR(__xludf.DUMMYFUNCTION("""COMPUTED_VALUE"""),"addi.com")</f>
        <v>addi.com</v>
      </c>
      <c r="B1037" s="5" t="str">
        <f>IFERROR(__xludf.DUMMYFUNCTION("""COMPUTED_VALUE"""),"allday.com")</f>
        <v>allday.com</v>
      </c>
    </row>
    <row r="1038">
      <c r="A1038" s="5" t="str">
        <f>IFERROR(__xludf.DUMMYFUNCTION("""COMPUTED_VALUE"""),"adimverse.com")</f>
        <v>adimverse.com</v>
      </c>
      <c r="B1038" s="5" t="str">
        <f>IFERROR(__xludf.DUMMYFUNCTION("""COMPUTED_VALUE"""),"alluxio.io")</f>
        <v>alluxio.io</v>
      </c>
    </row>
    <row r="1039">
      <c r="A1039" s="5" t="str">
        <f>IFERROR(__xludf.DUMMYFUNCTION("""COMPUTED_VALUE"""),"aerodome.com")</f>
        <v>aerodome.com</v>
      </c>
      <c r="B1039" s="5" t="str">
        <f>IFERROR(__xludf.DUMMYFUNCTION("""COMPUTED_VALUE"""),"almostapps.com")</f>
        <v>almostapps.com</v>
      </c>
    </row>
    <row r="1040">
      <c r="A1040" s="5" t="str">
        <f>IFERROR(__xludf.DUMMYFUNCTION("""COMPUTED_VALUE"""),"aghanim.com")</f>
        <v>aghanim.com</v>
      </c>
      <c r="B1040" s="5" t="str">
        <f>IFERROR(__xludf.DUMMYFUNCTION("""COMPUTED_VALUE"""),"aloftappraisal.com")</f>
        <v>aloftappraisal.com</v>
      </c>
    </row>
    <row r="1041">
      <c r="A1041" s="5" t="str">
        <f>IFERROR(__xludf.DUMMYFUNCTION("""COMPUTED_VALUE"""),"airspace-intelligence.com")</f>
        <v>airspace-intelligence.com</v>
      </c>
      <c r="B1041" s="5" t="str">
        <f>IFERROR(__xludf.DUMMYFUNCTION("""COMPUTED_VALUE"""),"alongsidefinance.com")</f>
        <v>alongsidefinance.com</v>
      </c>
    </row>
    <row r="1042">
      <c r="A1042" s="5" t="str">
        <f>IFERROR(__xludf.DUMMYFUNCTION("""COMPUTED_VALUE"""),"airgarage.com")</f>
        <v>airgarage.com</v>
      </c>
      <c r="B1042" s="5" t="str">
        <f>IFERROR(__xludf.DUMMYFUNCTION("""COMPUTED_VALUE"""),"nobellfoods.com")</f>
        <v>nobellfoods.com</v>
      </c>
    </row>
    <row r="1043">
      <c r="A1043" s="5" t="str">
        <f>IFERROR(__xludf.DUMMYFUNCTION("""COMPUTED_VALUE"""),"akasa.com")</f>
        <v>akasa.com</v>
      </c>
      <c r="B1043" s="5" t="str">
        <f>IFERROR(__xludf.DUMMYFUNCTION("""COMPUTED_VALUE"""),"altavr.io")</f>
        <v>altavr.io</v>
      </c>
    </row>
    <row r="1044">
      <c r="A1044" s="5" t="str">
        <f>IFERROR(__xludf.DUMMYFUNCTION("""COMPUTED_VALUE"""),"akitasoftware.com")</f>
        <v>akitasoftware.com</v>
      </c>
      <c r="B1044" s="5" t="str">
        <f>IFERROR(__xludf.DUMMYFUNCTION("""COMPUTED_VALUE"""),"altera.al")</f>
        <v>altera.al</v>
      </c>
    </row>
    <row r="1045">
      <c r="A1045" s="5" t="str">
        <f>IFERROR(__xludf.DUMMYFUNCTION("""COMPUTED_VALUE"""),"alchemy.com")</f>
        <v>alchemy.com</v>
      </c>
      <c r="B1045" s="5" t="str">
        <f>IFERROR(__xludf.DUMMYFUNCTION("""COMPUTED_VALUE"""),"altitudelearning.com")</f>
        <v>altitudelearning.com</v>
      </c>
    </row>
    <row r="1046">
      <c r="A1046" s="5" t="str">
        <f>IFERROR(__xludf.DUMMYFUNCTION("""COMPUTED_VALUE"""),"alchemyhealth.com")</f>
        <v>alchemyhealth.com</v>
      </c>
      <c r="B1046" s="6" t="str">
        <f>IFERROR(__xludf.DUMMYFUNCTION("""COMPUTED_VALUE"""),"amber.bio")</f>
        <v>amber.bio</v>
      </c>
    </row>
    <row r="1047">
      <c r="A1047" s="5" t="str">
        <f>IFERROR(__xludf.DUMMYFUNCTION("""COMPUTED_VALUE"""),"provable.com")</f>
        <v>provable.com</v>
      </c>
      <c r="B1047" s="5" t="str">
        <f>IFERROR(__xludf.DUMMYFUNCTION("""COMPUTED_VALUE"""),"ambiencehealthcare.com")</f>
        <v>ambiencehealthcare.com</v>
      </c>
    </row>
    <row r="1048">
      <c r="A1048" s="5" t="str">
        <f>IFERROR(__xludf.DUMMYFUNCTION("""COMPUTED_VALUE"""),"allday.com")</f>
        <v>allday.com</v>
      </c>
      <c r="B1048" s="5" t="str">
        <f>IFERROR(__xludf.DUMMYFUNCTION("""COMPUTED_VALUE"""),"aminochain.io")</f>
        <v>aminochain.io</v>
      </c>
    </row>
    <row r="1049">
      <c r="A1049" s="5" t="str">
        <f>IFERROR(__xludf.DUMMYFUNCTION("""COMPUTED_VALUE"""),"alluxio.io")</f>
        <v>alluxio.io</v>
      </c>
      <c r="B1049" s="5" t="str">
        <f>IFERROR(__xludf.DUMMYFUNCTION("""COMPUTED_VALUE"""),"anchorage.com")</f>
        <v>anchorage.com</v>
      </c>
    </row>
    <row r="1050">
      <c r="A1050" s="5" t="str">
        <f>IFERROR(__xludf.DUMMYFUNCTION("""COMPUTED_VALUE"""),"almostapps.com")</f>
        <v>almostapps.com</v>
      </c>
      <c r="B1050" s="5" t="str">
        <f>IFERROR(__xludf.DUMMYFUNCTION("""COMPUTED_VALUE"""),"anduril.com")</f>
        <v>anduril.com</v>
      </c>
    </row>
    <row r="1051">
      <c r="A1051" s="5" t="str">
        <f>IFERROR(__xludf.DUMMYFUNCTION("""COMPUTED_VALUE"""),"aloftappraisal.com")</f>
        <v>aloftappraisal.com</v>
      </c>
      <c r="B1051" s="6" t="str">
        <f>IFERROR(__xludf.DUMMYFUNCTION("""COMPUTED_VALUE"""),"angle.money")</f>
        <v>angle.money</v>
      </c>
    </row>
    <row r="1052">
      <c r="A1052" s="5" t="str">
        <f>IFERROR(__xludf.DUMMYFUNCTION("""COMPUTED_VALUE"""),"alongsidefinance.com")</f>
        <v>alongsidefinance.com</v>
      </c>
      <c r="B1052" s="5" t="str">
        <f>IFERROR(__xludf.DUMMYFUNCTION("""COMPUTED_VALUE"""),"anyroad.com")</f>
        <v>anyroad.com</v>
      </c>
    </row>
    <row r="1053">
      <c r="A1053" s="5" t="str">
        <f>IFERROR(__xludf.DUMMYFUNCTION("""COMPUTED_VALUE"""),"nobellfoods.com")</f>
        <v>nobellfoods.com</v>
      </c>
      <c r="B1053" s="5" t="str">
        <f>IFERROR(__xludf.DUMMYFUNCTION("""COMPUTED_VALUE"""),"anyscale.com")</f>
        <v>anyscale.com</v>
      </c>
    </row>
    <row r="1054">
      <c r="A1054" s="5" t="str">
        <f>IFERROR(__xludf.DUMMYFUNCTION("""COMPUTED_VALUE"""),"altavr.io")</f>
        <v>altavr.io</v>
      </c>
      <c r="B1054" s="5" t="str">
        <f>IFERROR(__xludf.DUMMYFUNCTION("""COMPUTED_VALUE"""),"apeel.com")</f>
        <v>apeel.com</v>
      </c>
    </row>
    <row r="1055">
      <c r="A1055" s="5" t="str">
        <f>IFERROR(__xludf.DUMMYFUNCTION("""COMPUTED_VALUE"""),"altera.al")</f>
        <v>altera.al</v>
      </c>
      <c r="B1055" s="5" t="str">
        <f>IFERROR(__xludf.DUMMYFUNCTION("""COMPUTED_VALUE"""),"apexspace.com")</f>
        <v>apexspace.com</v>
      </c>
    </row>
    <row r="1056">
      <c r="A1056" s="5" t="str">
        <f>IFERROR(__xludf.DUMMYFUNCTION("""COMPUTED_VALUE"""),"altitudelearning.com")</f>
        <v>altitudelearning.com</v>
      </c>
      <c r="B1056" s="5" t="str">
        <f>IFERROR(__xludf.DUMMYFUNCTION("""COMPUTED_VALUE"""),"apollographql.com")</f>
        <v>apollographql.com</v>
      </c>
    </row>
    <row r="1057">
      <c r="A1057" s="6" t="str">
        <f>IFERROR(__xludf.DUMMYFUNCTION("""COMPUTED_VALUE"""),"amber.bio")</f>
        <v>amber.bio</v>
      </c>
      <c r="B1057" s="5" t="str">
        <f>IFERROR(__xludf.DUMMYFUNCTION("""COMPUTED_VALUE"""),"appliedintuition.com")</f>
        <v>appliedintuition.com</v>
      </c>
    </row>
    <row r="1058">
      <c r="A1058" s="5" t="str">
        <f>IFERROR(__xludf.DUMMYFUNCTION("""COMPUTED_VALUE"""),"ambiencehealthcare.com")</f>
        <v>ambiencehealthcare.com</v>
      </c>
      <c r="B1058" s="5" t="str">
        <f>IFERROR(__xludf.DUMMYFUNCTION("""COMPUTED_VALUE"""),"aptoslabs.com")</f>
        <v>aptoslabs.com</v>
      </c>
    </row>
    <row r="1059">
      <c r="A1059" s="5" t="str">
        <f>IFERROR(__xludf.DUMMYFUNCTION("""COMPUTED_VALUE"""),"aminochain.io")</f>
        <v>aminochain.io</v>
      </c>
      <c r="B1059" s="5" t="str">
        <f>IFERROR(__xludf.DUMMYFUNCTION("""COMPUTED_VALUE"""),"arcboats.com")</f>
        <v>arcboats.com</v>
      </c>
    </row>
    <row r="1060">
      <c r="A1060" s="5" t="str">
        <f>IFERROR(__xludf.DUMMYFUNCTION("""COMPUTED_VALUE"""),"anchorage.com")</f>
        <v>anchorage.com</v>
      </c>
      <c r="B1060" s="5" t="str">
        <f>IFERROR(__xludf.DUMMYFUNCTION("""COMPUTED_VALUE"""),"arcjet.com")</f>
        <v>arcjet.com</v>
      </c>
    </row>
    <row r="1061">
      <c r="A1061" s="5" t="str">
        <f>IFERROR(__xludf.DUMMYFUNCTION("""COMPUTED_VALUE"""),"anduril.com")</f>
        <v>anduril.com</v>
      </c>
      <c r="B1061" s="5" t="str">
        <f>IFERROR(__xludf.DUMMYFUNCTION("""COMPUTED_VALUE"""),"ardatx.com")</f>
        <v>ardatx.com</v>
      </c>
    </row>
    <row r="1062">
      <c r="A1062" s="6" t="str">
        <f>IFERROR(__xludf.DUMMYFUNCTION("""COMPUTED_VALUE"""),"angle.money")</f>
        <v>angle.money</v>
      </c>
      <c r="B1062" s="5" t="str">
        <f>IFERROR(__xludf.DUMMYFUNCTION("""COMPUTED_VALUE"""),"arpeggi.io")</f>
        <v>arpeggi.io</v>
      </c>
    </row>
    <row r="1063">
      <c r="A1063" s="5" t="str">
        <f>IFERROR(__xludf.DUMMYFUNCTION("""COMPUTED_VALUE"""),"anyroad.com")</f>
        <v>anyroad.com</v>
      </c>
      <c r="B1063" s="5" t="str">
        <f>IFERROR(__xludf.DUMMYFUNCTION("""COMPUTED_VALUE"""),"arweave.org")</f>
        <v>arweave.org</v>
      </c>
    </row>
    <row r="1064">
      <c r="A1064" s="5" t="str">
        <f>IFERROR(__xludf.DUMMYFUNCTION("""COMPUTED_VALUE"""),"anyscale.com")</f>
        <v>anyscale.com</v>
      </c>
      <c r="B1064" s="5" t="str">
        <f>IFERROR(__xludf.DUMMYFUNCTION("""COMPUTED_VALUE"""),"asimov.com")</f>
        <v>asimov.com</v>
      </c>
    </row>
    <row r="1065">
      <c r="A1065" s="5" t="str">
        <f>IFERROR(__xludf.DUMMYFUNCTION("""COMPUTED_VALUE"""),"apeel.com")</f>
        <v>apeel.com</v>
      </c>
      <c r="B1065" s="5" t="str">
        <f>IFERROR(__xludf.DUMMYFUNCTION("""COMPUTED_VALUE"""),"astranis.com")</f>
        <v>astranis.com</v>
      </c>
    </row>
    <row r="1066">
      <c r="A1066" s="5" t="str">
        <f>IFERROR(__xludf.DUMMYFUNCTION("""COMPUTED_VALUE"""),"apexspace.com")</f>
        <v>apexspace.com</v>
      </c>
      <c r="B1066" s="5" t="str">
        <f>IFERROR(__xludf.DUMMYFUNCTION("""COMPUTED_VALUE"""),"astromecha.co")</f>
        <v>astromecha.co</v>
      </c>
    </row>
    <row r="1067">
      <c r="A1067" s="5" t="str">
        <f>IFERROR(__xludf.DUMMYFUNCTION("""COMPUTED_VALUE"""),"apollographql.com")</f>
        <v>apollographql.com</v>
      </c>
      <c r="B1067" s="5" t="str">
        <f>IFERROR(__xludf.DUMMYFUNCTION("""COMPUTED_VALUE"""),"atlys.com")</f>
        <v>atlys.com</v>
      </c>
    </row>
    <row r="1068">
      <c r="A1068" s="5" t="str">
        <f>IFERROR(__xludf.DUMMYFUNCTION("""COMPUTED_VALUE"""),"appliedintuition.com")</f>
        <v>appliedintuition.com</v>
      </c>
      <c r="B1068" s="5" t="str">
        <f>IFERROR(__xludf.DUMMYFUNCTION("""COMPUTED_VALUE"""),"autograph.io")</f>
        <v>autograph.io</v>
      </c>
    </row>
    <row r="1069">
      <c r="A1069" s="5" t="str">
        <f>IFERROR(__xludf.DUMMYFUNCTION("""COMPUTED_VALUE"""),"aptoslabs.com")</f>
        <v>aptoslabs.com</v>
      </c>
      <c r="B1069" s="6" t="str">
        <f>IFERROR(__xludf.DUMMYFUNCTION("""COMPUTED_VALUE"""),"avax.network")</f>
        <v>avax.network</v>
      </c>
    </row>
    <row r="1070">
      <c r="A1070" s="5" t="str">
        <f>IFERROR(__xludf.DUMMYFUNCTION("""COMPUTED_VALUE"""),"arcboats.com")</f>
        <v>arcboats.com</v>
      </c>
      <c r="B1070" s="5" t="str">
        <f>IFERROR(__xludf.DUMMYFUNCTION("""COMPUTED_VALUE"""),"axoni.com")</f>
        <v>axoni.com</v>
      </c>
    </row>
    <row r="1071">
      <c r="A1071" s="5" t="str">
        <f>IFERROR(__xludf.DUMMYFUNCTION("""COMPUTED_VALUE"""),"arcjet.com")</f>
        <v>arcjet.com</v>
      </c>
      <c r="B1071" s="5" t="str">
        <f>IFERROR(__xludf.DUMMYFUNCTION("""COMPUTED_VALUE"""),"azragames.com")</f>
        <v>azragames.com</v>
      </c>
    </row>
    <row r="1072">
      <c r="A1072" s="5" t="str">
        <f>IFERROR(__xludf.DUMMYFUNCTION("""COMPUTED_VALUE"""),"ardatx.com")</f>
        <v>ardatx.com</v>
      </c>
      <c r="B1072" s="6" t="str">
        <f>IFERROR(__xludf.DUMMYFUNCTION("""COMPUTED_VALUE"""),"aztec.network")</f>
        <v>aztec.network</v>
      </c>
    </row>
    <row r="1073">
      <c r="A1073" s="5" t="str">
        <f>IFERROR(__xludf.DUMMYFUNCTION("""COMPUTED_VALUE"""),"arpeggi.io")</f>
        <v>arpeggi.io</v>
      </c>
      <c r="B1073" s="5" t="str">
        <f>IFERROR(__xludf.DUMMYFUNCTION("""COMPUTED_VALUE"""),"backflip.ai")</f>
        <v>backflip.ai</v>
      </c>
    </row>
    <row r="1074">
      <c r="A1074" s="5" t="str">
        <f>IFERROR(__xludf.DUMMYFUNCTION("""COMPUTED_VALUE"""),"arweave.org")</f>
        <v>arweave.org</v>
      </c>
      <c r="B1074" s="5" t="str">
        <f>IFERROR(__xludf.DUMMYFUNCTION("""COMPUTED_VALUE"""),"bash.gg")</f>
        <v>bash.gg</v>
      </c>
    </row>
    <row r="1075">
      <c r="A1075" s="5" t="str">
        <f>IFERROR(__xludf.DUMMYFUNCTION("""COMPUTED_VALUE"""),"asimov.com")</f>
        <v>asimov.com</v>
      </c>
      <c r="B1075" s="5" t="str">
        <f>IFERROR(__xludf.DUMMYFUNCTION("""COMPUTED_VALUE"""),"bastion.io")</f>
        <v>bastion.io</v>
      </c>
    </row>
    <row r="1076">
      <c r="A1076" s="5" t="str">
        <f>IFERROR(__xludf.DUMMYFUNCTION("""COMPUTED_VALUE"""),"astranis.com")</f>
        <v>astranis.com</v>
      </c>
      <c r="B1076" s="5" t="str">
        <f>IFERROR(__xludf.DUMMYFUNCTION("""COMPUTED_VALUE"""),"battlebound.io")</f>
        <v>battlebound.io</v>
      </c>
    </row>
    <row r="1077">
      <c r="A1077" s="5" t="str">
        <f>IFERROR(__xludf.DUMMYFUNCTION("""COMPUTED_VALUE"""),"astromecha.co")</f>
        <v>astromecha.co</v>
      </c>
      <c r="B1077" s="5" t="str">
        <f>IFERROR(__xludf.DUMMYFUNCTION("""COMPUTED_VALUE"""),"bayesianhealth.com")</f>
        <v>bayesianhealth.com</v>
      </c>
    </row>
    <row r="1078">
      <c r="A1078" s="5" t="str">
        <f>IFERROR(__xludf.DUMMYFUNCTION("""COMPUTED_VALUE"""),"atlys.com")</f>
        <v>atlys.com</v>
      </c>
      <c r="B1078" s="5" t="str">
        <f>IFERROR(__xludf.DUMMYFUNCTION("""COMPUTED_VALUE"""),"meldium.com")</f>
        <v>meldium.com</v>
      </c>
    </row>
    <row r="1079">
      <c r="A1079" s="5" t="str">
        <f>IFERROR(__xludf.DUMMYFUNCTION("""COMPUTED_VALUE"""),"autograph.io")</f>
        <v>autograph.io</v>
      </c>
      <c r="B1079" s="5" t="str">
        <f>IFERROR(__xludf.DUMMYFUNCTION("""COMPUTED_VALUE"""),"beacons.ai")</f>
        <v>beacons.ai</v>
      </c>
    </row>
    <row r="1080">
      <c r="A1080" s="6" t="str">
        <f>IFERROR(__xludf.DUMMYFUNCTION("""COMPUTED_VALUE"""),"avax.network")</f>
        <v>avax.network</v>
      </c>
      <c r="B1080" s="5" t="str">
        <f>IFERROR(__xludf.DUMMYFUNCTION("""COMPUTED_VALUE"""),"beeps.co")</f>
        <v>beeps.co</v>
      </c>
    </row>
    <row r="1081">
      <c r="A1081" s="5" t="str">
        <f>IFERROR(__xludf.DUMMYFUNCTION("""COMPUTED_VALUE"""),"axoni.com")</f>
        <v>axoni.com</v>
      </c>
      <c r="B1081" s="5" t="str">
        <f>IFERROR(__xludf.DUMMYFUNCTION("""COMPUTED_VALUE"""),"believer.gg")</f>
        <v>believer.gg</v>
      </c>
    </row>
    <row r="1082">
      <c r="A1082" s="5" t="str">
        <f>IFERROR(__xludf.DUMMYFUNCTION("""COMPUTED_VALUE"""),"azragames.com")</f>
        <v>azragames.com</v>
      </c>
      <c r="B1082" s="5" t="str">
        <f>IFERROR(__xludf.DUMMYFUNCTION("""COMPUTED_VALUE"""),"belonghome.com")</f>
        <v>belonghome.com</v>
      </c>
    </row>
    <row r="1083">
      <c r="A1083" s="6" t="str">
        <f>IFERROR(__xludf.DUMMYFUNCTION("""COMPUTED_VALUE"""),"aztec.network")</f>
        <v>aztec.network</v>
      </c>
      <c r="B1083" s="5" t="str">
        <f>IFERROR(__xludf.DUMMYFUNCTION("""COMPUTED_VALUE"""),"benchling.com")</f>
        <v>benchling.com</v>
      </c>
    </row>
    <row r="1084">
      <c r="A1084" s="5" t="str">
        <f>IFERROR(__xludf.DUMMYFUNCTION("""COMPUTED_VALUE"""),"backflip.ai")</f>
        <v>backflip.ai</v>
      </c>
      <c r="B1084" s="5" t="str">
        <f>IFERROR(__xludf.DUMMYFUNCTION("""COMPUTED_VALUE"""),"bereal.com")</f>
        <v>bereal.com</v>
      </c>
    </row>
    <row r="1085">
      <c r="A1085" s="5" t="str">
        <f>IFERROR(__xludf.DUMMYFUNCTION("""COMPUTED_VALUE"""),"bash.gg")</f>
        <v>bash.gg</v>
      </c>
      <c r="B1085" s="5" t="str">
        <f>IFERROR(__xludf.DUMMYFUNCTION("""COMPUTED_VALUE"""),"bighatbio.com")</f>
        <v>bighatbio.com</v>
      </c>
    </row>
    <row r="1086">
      <c r="A1086" s="5" t="str">
        <f>IFERROR(__xludf.DUMMYFUNCTION("""COMPUTED_VALUE"""),"bastion.io")</f>
        <v>bastion.io</v>
      </c>
      <c r="B1086" s="5" t="str">
        <f>IFERROR(__xludf.DUMMYFUNCTION("""COMPUTED_VALUE"""),"bigscreenvr.com")</f>
        <v>bigscreenvr.com</v>
      </c>
    </row>
    <row r="1087">
      <c r="A1087" s="5" t="str">
        <f>IFERROR(__xludf.DUMMYFUNCTION("""COMPUTED_VALUE"""),"battlebound.io")</f>
        <v>battlebound.io</v>
      </c>
      <c r="B1087" s="5" t="str">
        <f>IFERROR(__xludf.DUMMYFUNCTION("""COMPUTED_VALUE"""),"biodock.ai")</f>
        <v>biodock.ai</v>
      </c>
    </row>
    <row r="1088">
      <c r="A1088" s="5" t="str">
        <f>IFERROR(__xludf.DUMMYFUNCTION("""COMPUTED_VALUE"""),"bayesianhealth.com")</f>
        <v>bayesianhealth.com</v>
      </c>
      <c r="B1088" s="5" t="str">
        <f>IFERROR(__xludf.DUMMYFUNCTION("""COMPUTED_VALUE"""),"bitski.com")</f>
        <v>bitski.com</v>
      </c>
    </row>
    <row r="1089">
      <c r="A1089" s="5" t="str">
        <f>IFERROR(__xludf.DUMMYFUNCTION("""COMPUTED_VALUE"""),"meldium.com")</f>
        <v>meldium.com</v>
      </c>
      <c r="B1089" s="5" t="str">
        <f>IFERROR(__xludf.DUMMYFUNCTION("""COMPUTED_VALUE"""),"blackforestlabs.ai")</f>
        <v>blackforestlabs.ai</v>
      </c>
    </row>
    <row r="1090">
      <c r="A1090" s="5" t="str">
        <f>IFERROR(__xludf.DUMMYFUNCTION("""COMPUTED_VALUE"""),"beacons.ai")</f>
        <v>beacons.ai</v>
      </c>
      <c r="B1090" s="5" t="str">
        <f>IFERROR(__xludf.DUMMYFUNCTION("""COMPUTED_VALUE"""),"blackore.ai")</f>
        <v>blackore.ai</v>
      </c>
    </row>
    <row r="1091">
      <c r="A1091" s="5" t="str">
        <f>IFERROR(__xludf.DUMMYFUNCTION("""COMPUTED_VALUE"""),"beeps.co")</f>
        <v>beeps.co</v>
      </c>
      <c r="B1091" s="5" t="str">
        <f>IFERROR(__xludf.DUMMYFUNCTION("""COMPUTED_VALUE"""),"blackbird.xyz")</f>
        <v>blackbird.xyz</v>
      </c>
    </row>
    <row r="1092">
      <c r="A1092" s="5" t="str">
        <f>IFERROR(__xludf.DUMMYFUNCTION("""COMPUTED_VALUE"""),"believer.gg")</f>
        <v>believer.gg</v>
      </c>
      <c r="B1092" s="5" t="str">
        <f>IFERROR(__xludf.DUMMYFUNCTION("""COMPUTED_VALUE"""),"agebold.com")</f>
        <v>agebold.com</v>
      </c>
    </row>
    <row r="1093">
      <c r="A1093" s="5" t="str">
        <f>IFERROR(__xludf.DUMMYFUNCTION("""COMPUTED_VALUE"""),"belonghome.com")</f>
        <v>belonghome.com</v>
      </c>
      <c r="B1093" s="5" t="str">
        <f>IFERROR(__xludf.DUMMYFUNCTION("""COMPUTED_VALUE"""),"bonfirestudios.com")</f>
        <v>bonfirestudios.com</v>
      </c>
    </row>
    <row r="1094">
      <c r="A1094" s="5" t="str">
        <f>IFERROR(__xludf.DUMMYFUNCTION("""COMPUTED_VALUE"""),"benchling.com")</f>
        <v>benchling.com</v>
      </c>
      <c r="B1094" s="5" t="str">
        <f>IFERROR(__xludf.DUMMYFUNCTION("""COMPUTED_VALUE"""),"border0.com")</f>
        <v>border0.com</v>
      </c>
    </row>
    <row r="1095">
      <c r="A1095" s="5" t="str">
        <f>IFERROR(__xludf.DUMMYFUNCTION("""COMPUTED_VALUE"""),"bereal.com")</f>
        <v>bereal.com</v>
      </c>
      <c r="B1095" s="5" t="str">
        <f>IFERROR(__xludf.DUMMYFUNCTION("""COMPUTED_VALUE"""),"bounce.com")</f>
        <v>bounce.com</v>
      </c>
    </row>
    <row r="1096">
      <c r="A1096" s="5" t="str">
        <f>IFERROR(__xludf.DUMMYFUNCTION("""COMPUTED_VALUE"""),"bighatbio.com")</f>
        <v>bighatbio.com</v>
      </c>
      <c r="B1096" s="5" t="str">
        <f>IFERROR(__xludf.DUMMYFUNCTION("""COMPUTED_VALUE"""),"braidsocial.io")</f>
        <v>braidsocial.io</v>
      </c>
    </row>
    <row r="1097">
      <c r="A1097" s="5" t="str">
        <f>IFERROR(__xludf.DUMMYFUNCTION("""COMPUTED_VALUE"""),"bigscreenvr.com")</f>
        <v>bigscreenvr.com</v>
      </c>
      <c r="B1097" s="5" t="str">
        <f>IFERROR(__xludf.DUMMYFUNCTION("""COMPUTED_VALUE"""),"braid.ai")</f>
        <v>braid.ai</v>
      </c>
    </row>
    <row r="1098">
      <c r="A1098" s="5" t="str">
        <f>IFERROR(__xludf.DUMMYFUNCTION("""COMPUTED_VALUE"""),"biodock.ai")</f>
        <v>biodock.ai</v>
      </c>
      <c r="B1098" s="6" t="str">
        <f>IFERROR(__xludf.DUMMYFUNCTION("""COMPUTED_VALUE"""),"braintrust.dev")</f>
        <v>braintrust.dev</v>
      </c>
    </row>
    <row r="1099">
      <c r="A1099" s="5" t="str">
        <f>IFERROR(__xludf.DUMMYFUNCTION("""COMPUTED_VALUE"""),"bitski.com")</f>
        <v>bitski.com</v>
      </c>
      <c r="B1099" s="5" t="str">
        <f>IFERROR(__xludf.DUMMYFUNCTION("""COMPUTED_VALUE"""),"branch.co")</f>
        <v>branch.co</v>
      </c>
    </row>
    <row r="1100">
      <c r="A1100" s="5" t="str">
        <f>IFERROR(__xludf.DUMMYFUNCTION("""COMPUTED_VALUE"""),"blackforestlabs.ai")</f>
        <v>blackforestlabs.ai</v>
      </c>
      <c r="B1100" s="5" t="str">
        <f>IFERROR(__xludf.DUMMYFUNCTION("""COMPUTED_VALUE"""),"breederdao.io")</f>
        <v>breederdao.io</v>
      </c>
    </row>
    <row r="1101">
      <c r="A1101" s="5" t="str">
        <f>IFERROR(__xludf.DUMMYFUNCTION("""COMPUTED_VALUE"""),"blackore.ai")</f>
        <v>blackore.ai</v>
      </c>
      <c r="B1101" s="5" t="str">
        <f>IFERROR(__xludf.DUMMYFUNCTION("""COMPUTED_VALUE"""),"gobrightside.com")</f>
        <v>gobrightside.com</v>
      </c>
    </row>
    <row r="1102">
      <c r="A1102" s="5" t="str">
        <f>IFERROR(__xludf.DUMMYFUNCTION("""COMPUTED_VALUE"""),"blackbird.xyz")</f>
        <v>blackbird.xyz</v>
      </c>
      <c r="B1102" s="5" t="str">
        <f>IFERROR(__xludf.DUMMYFUNCTION("""COMPUTED_VALUE"""),"bromium.com")</f>
        <v>bromium.com</v>
      </c>
    </row>
    <row r="1103">
      <c r="A1103" s="5" t="str">
        <f>IFERROR(__xludf.DUMMYFUNCTION("""COMPUTED_VALUE"""),"agebold.com")</f>
        <v>agebold.com</v>
      </c>
      <c r="B1103" s="5" t="str">
        <f>IFERROR(__xludf.DUMMYFUNCTION("""COMPUTED_VALUE"""),"cadre.com")</f>
        <v>cadre.com</v>
      </c>
    </row>
    <row r="1104">
      <c r="A1104" s="5" t="str">
        <f>IFERROR(__xludf.DUMMYFUNCTION("""COMPUTED_VALUE"""),"bonfirestudios.com")</f>
        <v>bonfirestudios.com</v>
      </c>
      <c r="B1104" s="5" t="str">
        <f>IFERROR(__xludf.DUMMYFUNCTION("""COMPUTED_VALUE"""),"caffeine.tv")</f>
        <v>caffeine.tv</v>
      </c>
    </row>
    <row r="1105">
      <c r="A1105" s="5" t="str">
        <f>IFERROR(__xludf.DUMMYFUNCTION("""COMPUTED_VALUE"""),"border0.com")</f>
        <v>border0.com</v>
      </c>
      <c r="B1105" s="5" t="str">
        <f>IFERROR(__xludf.DUMMYFUNCTION("""COMPUTED_VALUE"""),"eastsolanoplan.com")</f>
        <v>eastsolanoplan.com</v>
      </c>
    </row>
    <row r="1106">
      <c r="A1106" s="5" t="str">
        <f>IFERROR(__xludf.DUMMYFUNCTION("""COMPUTED_VALUE"""),"bounce.com")</f>
        <v>bounce.com</v>
      </c>
      <c r="B1106" s="5" t="str">
        <f>IFERROR(__xludf.DUMMYFUNCTION("""COMPUTED_VALUE"""),"camu.ai")</f>
        <v>camu.ai</v>
      </c>
    </row>
    <row r="1107">
      <c r="A1107" s="5" t="str">
        <f>IFERROR(__xludf.DUMMYFUNCTION("""COMPUTED_VALUE"""),"braidsocial.io")</f>
        <v>braidsocial.io</v>
      </c>
      <c r="B1107" s="5" t="str">
        <f>IFERROR(__xludf.DUMMYFUNCTION("""COMPUTED_VALUE"""),"shopcanal.com")</f>
        <v>shopcanal.com</v>
      </c>
    </row>
    <row r="1108">
      <c r="A1108" s="5" t="str">
        <f>IFERROR(__xludf.DUMMYFUNCTION("""COMPUTED_VALUE"""),"braid.ai")</f>
        <v>braid.ai</v>
      </c>
      <c r="B1108" s="5" t="str">
        <f>IFERROR(__xludf.DUMMYFUNCTION("""COMPUTED_VALUE"""),"cantoreality.com")</f>
        <v>cantoreality.com</v>
      </c>
    </row>
    <row r="1109">
      <c r="A1109" s="6" t="str">
        <f>IFERROR(__xludf.DUMMYFUNCTION("""COMPUTED_VALUE"""),"braintrust.dev")</f>
        <v>braintrust.dev</v>
      </c>
      <c r="B1109" s="5" t="str">
        <f>IFERROR(__xludf.DUMMYFUNCTION("""COMPUTED_VALUE"""),"cape.co")</f>
        <v>cape.co</v>
      </c>
    </row>
    <row r="1110">
      <c r="A1110" s="5" t="str">
        <f>IFERROR(__xludf.DUMMYFUNCTION("""COMPUTED_VALUE"""),"branch.co")</f>
        <v>branch.co</v>
      </c>
      <c r="B1110" s="5" t="str">
        <f>IFERROR(__xludf.DUMMYFUNCTION("""COMPUTED_VALUE"""),"capriza.com")</f>
        <v>capriza.com</v>
      </c>
    </row>
    <row r="1111">
      <c r="A1111" s="5" t="str">
        <f>IFERROR(__xludf.DUMMYFUNCTION("""COMPUTED_VALUE"""),"breederdao.io")</f>
        <v>breederdao.io</v>
      </c>
      <c r="B1111" s="5" t="str">
        <f>IFERROR(__xludf.DUMMYFUNCTION("""COMPUTED_VALUE"""),"carbonated.com")</f>
        <v>carbonated.com</v>
      </c>
    </row>
    <row r="1112">
      <c r="A1112" s="5" t="str">
        <f>IFERROR(__xludf.DUMMYFUNCTION("""COMPUTED_VALUE"""),"gobrightside.com")</f>
        <v>gobrightside.com</v>
      </c>
      <c r="B1112" s="5" t="str">
        <f>IFERROR(__xludf.DUMMYFUNCTION("""COMPUTED_VALUE"""),"carry1st.com")</f>
        <v>carry1st.com</v>
      </c>
    </row>
    <row r="1113">
      <c r="A1113" s="5" t="str">
        <f>IFERROR(__xludf.DUMMYFUNCTION("""COMPUTED_VALUE"""),"bromium.com")</f>
        <v>bromium.com</v>
      </c>
      <c r="B1113" s="5" t="str">
        <f>IFERROR(__xludf.DUMMYFUNCTION("""COMPUTED_VALUE"""),"carta.com")</f>
        <v>carta.com</v>
      </c>
    </row>
    <row r="1114">
      <c r="A1114" s="5" t="str">
        <f>IFERROR(__xludf.DUMMYFUNCTION("""COMPUTED_VALUE"""),"cadre.com")</f>
        <v>cadre.com</v>
      </c>
      <c r="B1114" s="6" t="str">
        <f>IFERROR(__xludf.DUMMYFUNCTION("""COMPUTED_VALUE"""),"cartography.bio")</f>
        <v>cartography.bio</v>
      </c>
    </row>
    <row r="1115">
      <c r="A1115" s="5" t="str">
        <f>IFERROR(__xludf.DUMMYFUNCTION("""COMPUTED_VALUE"""),"caffeine.tv")</f>
        <v>caffeine.tv</v>
      </c>
      <c r="B1115" s="5" t="str">
        <f>IFERROR(__xludf.DUMMYFUNCTION("""COMPUTED_VALUE"""),"casai.com")</f>
        <v>casai.com</v>
      </c>
    </row>
    <row r="1116">
      <c r="A1116" s="5" t="str">
        <f>IFERROR(__xludf.DUMMYFUNCTION("""COMPUTED_VALUE"""),"eastsolanoplan.com")</f>
        <v>eastsolanoplan.com</v>
      </c>
      <c r="B1116" s="5" t="str">
        <f>IFERROR(__xludf.DUMMYFUNCTION("""COMPUTED_VALUE"""),"castelion.com")</f>
        <v>castelion.com</v>
      </c>
    </row>
    <row r="1117">
      <c r="A1117" s="5" t="str">
        <f>IFERROR(__xludf.DUMMYFUNCTION("""COMPUTED_VALUE"""),"camu.ai")</f>
        <v>camu.ai</v>
      </c>
      <c r="B1117" s="5" t="str">
        <f>IFERROR(__xludf.DUMMYFUNCTION("""COMPUTED_VALUE"""),"cazena.com")</f>
        <v>cazena.com</v>
      </c>
    </row>
    <row r="1118">
      <c r="A1118" s="5" t="str">
        <f>IFERROR(__xludf.DUMMYFUNCTION("""COMPUTED_VALUE"""),"shopcanal.com")</f>
        <v>shopcanal.com</v>
      </c>
      <c r="B1118" s="5" t="str">
        <f>IFERROR(__xludf.DUMMYFUNCTION("""COMPUTED_VALUE"""),"eveonline.com")</f>
        <v>eveonline.com</v>
      </c>
    </row>
    <row r="1119">
      <c r="A1119" s="5" t="str">
        <f>IFERROR(__xludf.DUMMYFUNCTION("""COMPUTED_VALUE"""),"cantoreality.com")</f>
        <v>cantoreality.com</v>
      </c>
      <c r="B1119" s="5" t="str">
        <f>IFERROR(__xludf.DUMMYFUNCTION("""COMPUTED_VALUE"""),"cedar.com")</f>
        <v>cedar.com</v>
      </c>
    </row>
    <row r="1120">
      <c r="A1120" s="5" t="str">
        <f>IFERROR(__xludf.DUMMYFUNCTION("""COMPUTED_VALUE"""),"cape.co")</f>
        <v>cape.co</v>
      </c>
      <c r="B1120" s="5" t="str">
        <f>IFERROR(__xludf.DUMMYFUNCTION("""COMPUTED_VALUE"""),"clabs.co")</f>
        <v>clabs.co</v>
      </c>
    </row>
    <row r="1121">
      <c r="A1121" s="5" t="str">
        <f>IFERROR(__xludf.DUMMYFUNCTION("""COMPUTED_VALUE"""),"capriza.com")</f>
        <v>capriza.com</v>
      </c>
      <c r="B1121" s="5" t="str">
        <f>IFERROR(__xludf.DUMMYFUNCTION("""COMPUTED_VALUE"""),"getcensus.com")</f>
        <v>getcensus.com</v>
      </c>
    </row>
    <row r="1122">
      <c r="A1122" s="5" t="str">
        <f>IFERROR(__xludf.DUMMYFUNCTION("""COMPUTED_VALUE"""),"carbonated.com")</f>
        <v>carbonated.com</v>
      </c>
      <c r="B1122" s="5" t="str">
        <f>IFERROR(__xludf.DUMMYFUNCTION("""COMPUTED_VALUE"""),"charthop.com")</f>
        <v>charthop.com</v>
      </c>
    </row>
    <row r="1123">
      <c r="A1123" s="5" t="str">
        <f>IFERROR(__xludf.DUMMYFUNCTION("""COMPUTED_VALUE"""),"carry1st.com")</f>
        <v>carry1st.com</v>
      </c>
      <c r="B1123" s="5" t="str">
        <f>IFERROR(__xludf.DUMMYFUNCTION("""COMPUTED_VALUE"""),"chia.net")</f>
        <v>chia.net</v>
      </c>
    </row>
    <row r="1124">
      <c r="A1124" s="5" t="str">
        <f>IFERROR(__xludf.DUMMYFUNCTION("""COMPUTED_VALUE"""),"carta.com")</f>
        <v>carta.com</v>
      </c>
      <c r="B1124" s="5" t="str">
        <f>IFERROR(__xludf.DUMMYFUNCTION("""COMPUTED_VALUE"""),"chipprofessionals.com")</f>
        <v>chipprofessionals.com</v>
      </c>
    </row>
    <row r="1125">
      <c r="A1125" s="6" t="str">
        <f>IFERROR(__xludf.DUMMYFUNCTION("""COMPUTED_VALUE"""),"cartography.bio")</f>
        <v>cartography.bio</v>
      </c>
      <c r="B1125" s="5" t="str">
        <f>IFERROR(__xludf.DUMMYFUNCTION("""COMPUTED_VALUE"""),"shopcider.com")</f>
        <v>shopcider.com</v>
      </c>
    </row>
    <row r="1126">
      <c r="A1126" s="5" t="str">
        <f>IFERROR(__xludf.DUMMYFUNCTION("""COMPUTED_VALUE"""),"casai.com")</f>
        <v>casai.com</v>
      </c>
      <c r="B1126" s="5" t="str">
        <f>IFERROR(__xludf.DUMMYFUNCTION("""COMPUTED_VALUE"""),"civitai.com")</f>
        <v>civitai.com</v>
      </c>
    </row>
    <row r="1127">
      <c r="A1127" s="5" t="str">
        <f>IFERROR(__xludf.DUMMYFUNCTION("""COMPUTED_VALUE"""),"castelion.com")</f>
        <v>castelion.com</v>
      </c>
      <c r="B1127" s="6" t="str">
        <f>IFERROR(__xludf.DUMMYFUNCTION("""COMPUTED_VALUE"""),"clementine.games")</f>
        <v>clementine.games</v>
      </c>
    </row>
    <row r="1128">
      <c r="A1128" s="5" t="str">
        <f>IFERROR(__xludf.DUMMYFUNCTION("""COMPUTED_VALUE"""),"cazena.com")</f>
        <v>cazena.com</v>
      </c>
      <c r="B1128" s="5" t="str">
        <f>IFERROR(__xludf.DUMMYFUNCTION("""COMPUTED_VALUE"""),"clerk.com")</f>
        <v>clerk.com</v>
      </c>
    </row>
    <row r="1129">
      <c r="A1129" s="5" t="str">
        <f>IFERROR(__xludf.DUMMYFUNCTION("""COMPUTED_VALUE"""),"eveonline.com")</f>
        <v>eveonline.com</v>
      </c>
      <c r="B1129" s="5" t="str">
        <f>IFERROR(__xludf.DUMMYFUNCTION("""COMPUTED_VALUE"""),"clickup.com")</f>
        <v>clickup.com</v>
      </c>
    </row>
    <row r="1130">
      <c r="A1130" s="5" t="str">
        <f>IFERROR(__xludf.DUMMYFUNCTION("""COMPUTED_VALUE"""),"cedar.com")</f>
        <v>cedar.com</v>
      </c>
      <c r="B1130" s="5" t="str">
        <f>IFERROR(__xludf.DUMMYFUNCTION("""COMPUTED_VALUE"""),"closingtheory.com")</f>
        <v>closingtheory.com</v>
      </c>
    </row>
    <row r="1131">
      <c r="A1131" s="5" t="str">
        <f>IFERROR(__xludf.DUMMYFUNCTION("""COMPUTED_VALUE"""),"clabs.co")</f>
        <v>clabs.co</v>
      </c>
      <c r="B1131" s="5" t="str">
        <f>IFERROR(__xludf.DUMMYFUNCTION("""COMPUTED_VALUE"""),"clover.com")</f>
        <v>clover.com</v>
      </c>
    </row>
    <row r="1132">
      <c r="A1132" s="5" t="str">
        <f>IFERROR(__xludf.DUMMYFUNCTION("""COMPUTED_VALUE"""),"getcensus.com")</f>
        <v>getcensus.com</v>
      </c>
      <c r="B1132" s="5" t="str">
        <f>IFERROR(__xludf.DUMMYFUNCTION("""COMPUTED_VALUE"""),"clubhouse.com")</f>
        <v>clubhouse.com</v>
      </c>
    </row>
    <row r="1133">
      <c r="A1133" s="5" t="str">
        <f>IFERROR(__xludf.DUMMYFUNCTION("""COMPUTED_VALUE"""),"charthop.com")</f>
        <v>charthop.com</v>
      </c>
      <c r="B1133" s="5" t="str">
        <f>IFERROR(__xludf.DUMMYFUNCTION("""COMPUTED_VALUE"""),"withclutch.com")</f>
        <v>withclutch.com</v>
      </c>
    </row>
    <row r="1134">
      <c r="A1134" s="5" t="str">
        <f>IFERROR(__xludf.DUMMYFUNCTION("""COMPUTED_VALUE"""),"chia.net")</f>
        <v>chia.net</v>
      </c>
      <c r="B1134" s="5" t="str">
        <f>IFERROR(__xludf.DUMMYFUNCTION("""COMPUTED_VALUE"""),"usecocreate.io")</f>
        <v>usecocreate.io</v>
      </c>
    </row>
    <row r="1135">
      <c r="A1135" s="5" t="str">
        <f>IFERROR(__xludf.DUMMYFUNCTION("""COMPUTED_VALUE"""),"chipprofessionals.com")</f>
        <v>chipprofessionals.com</v>
      </c>
      <c r="B1135" s="5" t="str">
        <f>IFERROR(__xludf.DUMMYFUNCTION("""COMPUTED_VALUE"""),"coactive.ai")</f>
        <v>coactive.ai</v>
      </c>
    </row>
    <row r="1136">
      <c r="A1136" s="5" t="str">
        <f>IFERROR(__xludf.DUMMYFUNCTION("""COMPUTED_VALUE"""),"shopcider.com")</f>
        <v>shopcider.com</v>
      </c>
      <c r="B1136" s="5" t="str">
        <f>IFERROR(__xludf.DUMMYFUNCTION("""COMPUTED_VALUE"""),"codecombat.com")</f>
        <v>codecombat.com</v>
      </c>
    </row>
    <row r="1137">
      <c r="A1137" s="5" t="str">
        <f>IFERROR(__xludf.DUMMYFUNCTION("""COMPUTED_VALUE"""),"civitai.com")</f>
        <v>civitai.com</v>
      </c>
      <c r="B1137" s="5" t="str">
        <f>IFERROR(__xludf.DUMMYFUNCTION("""COMPUTED_VALUE"""),"codi.com")</f>
        <v>codi.com</v>
      </c>
    </row>
    <row r="1138">
      <c r="A1138" s="6" t="str">
        <f>IFERROR(__xludf.DUMMYFUNCTION("""COMPUTED_VALUE"""),"clementine.games")</f>
        <v>clementine.games</v>
      </c>
      <c r="B1138" s="5" t="str">
        <f>IFERROR(__xludf.DUMMYFUNCTION("""COMPUTED_VALUE"""),"comma.ai")</f>
        <v>comma.ai</v>
      </c>
    </row>
    <row r="1139">
      <c r="A1139" s="5" t="str">
        <f>IFERROR(__xludf.DUMMYFUNCTION("""COMPUTED_VALUE"""),"clerk.com")</f>
        <v>clerk.com</v>
      </c>
      <c r="B1139" s="5" t="str">
        <f>IFERROR(__xludf.DUMMYFUNCTION("""COMPUTED_VALUE"""),"cmdzero.io")</f>
        <v>cmdzero.io</v>
      </c>
    </row>
    <row r="1140">
      <c r="A1140" s="5" t="str">
        <f>IFERROR(__xludf.DUMMYFUNCTION("""COMPUTED_VALUE"""),"clickup.com")</f>
        <v>clickup.com</v>
      </c>
      <c r="B1140" s="5" t="str">
        <f>IFERROR(__xludf.DUMMYFUNCTION("""COMPUTED_VALUE"""),"csm.ai")</f>
        <v>csm.ai</v>
      </c>
    </row>
    <row r="1141">
      <c r="A1141" s="5" t="str">
        <f>IFERROR(__xludf.DUMMYFUNCTION("""COMPUTED_VALUE"""),"closingtheory.com")</f>
        <v>closingtheory.com</v>
      </c>
      <c r="B1141" s="6" t="str">
        <f>IFERROR(__xludf.DUMMYFUNCTION("""COMPUTED_VALUE"""),"compound.finance")</f>
        <v>compound.finance</v>
      </c>
    </row>
    <row r="1142">
      <c r="A1142" s="5" t="str">
        <f>IFERROR(__xludf.DUMMYFUNCTION("""COMPUTED_VALUE"""),"clover.com")</f>
        <v>clover.com</v>
      </c>
      <c r="B1142" s="5" t="str">
        <f>IFERROR(__xludf.DUMMYFUNCTION("""COMPUTED_VALUE"""),"concourse.co")</f>
        <v>concourse.co</v>
      </c>
    </row>
    <row r="1143">
      <c r="A1143" s="5" t="str">
        <f>IFERROR(__xludf.DUMMYFUNCTION("""COMPUTED_VALUE"""),"clubhouse.com")</f>
        <v>clubhouse.com</v>
      </c>
      <c r="B1143" s="6" t="str">
        <f>IFERROR(__xludf.DUMMYFUNCTION("""COMPUTED_VALUE"""),"convex.dev")</f>
        <v>convex.dev</v>
      </c>
    </row>
    <row r="1144">
      <c r="A1144" s="5" t="str">
        <f>IFERROR(__xludf.DUMMYFUNCTION("""COMPUTED_VALUE"""),"withclutch.com")</f>
        <v>withclutch.com</v>
      </c>
      <c r="B1144" s="5" t="str">
        <f>IFERROR(__xludf.DUMMYFUNCTION("""COMPUTED_VALUE"""),"coreloop.ai")</f>
        <v>coreloop.ai</v>
      </c>
    </row>
    <row r="1145">
      <c r="A1145" s="5" t="str">
        <f>IFERROR(__xludf.DUMMYFUNCTION("""COMPUTED_VALUE"""),"usecocreate.io")</f>
        <v>usecocreate.io</v>
      </c>
      <c r="B1145" s="6" t="str">
        <f>IFERROR(__xludf.DUMMYFUNCTION("""COMPUTED_VALUE"""),"counsel.health")</f>
        <v>counsel.health</v>
      </c>
    </row>
    <row r="1146">
      <c r="A1146" s="5" t="str">
        <f>IFERROR(__xludf.DUMMYFUNCTION("""COMPUTED_VALUE"""),"coactive.ai")</f>
        <v>coactive.ai</v>
      </c>
      <c r="B1146" s="5" t="str">
        <f>IFERROR(__xludf.DUMMYFUNCTION("""COMPUTED_VALUE"""),"craterstudiosgames.com")</f>
        <v>craterstudiosgames.com</v>
      </c>
    </row>
    <row r="1147">
      <c r="A1147" s="5" t="str">
        <f>IFERROR(__xludf.DUMMYFUNCTION("""COMPUTED_VALUE"""),"codecombat.com")</f>
        <v>codecombat.com</v>
      </c>
      <c r="B1147" s="6" t="str">
        <f>IFERROR(__xludf.DUMMYFUNCTION("""COMPUTED_VALUE"""),"createra.fun")</f>
        <v>createra.fun</v>
      </c>
    </row>
    <row r="1148">
      <c r="A1148" s="5" t="str">
        <f>IFERROR(__xludf.DUMMYFUNCTION("""COMPUTED_VALUE"""),"codi.com")</f>
        <v>codi.com</v>
      </c>
      <c r="B1148" s="5" t="str">
        <f>IFERROR(__xludf.DUMMYFUNCTION("""COMPUTED_VALUE"""),"creatordao.com")</f>
        <v>creatordao.com</v>
      </c>
    </row>
    <row r="1149">
      <c r="A1149" s="5" t="str">
        <f>IFERROR(__xludf.DUMMYFUNCTION("""COMPUTED_VALUE"""),"comma.ai")</f>
        <v>comma.ai</v>
      </c>
      <c r="B1149" s="5" t="str">
        <f>IFERROR(__xludf.DUMMYFUNCTION("""COMPUTED_VALUE"""),"cresta.com")</f>
        <v>cresta.com</v>
      </c>
    </row>
    <row r="1150">
      <c r="A1150" s="5" t="str">
        <f>IFERROR(__xludf.DUMMYFUNCTION("""COMPUTED_VALUE"""),"cmdzero.io")</f>
        <v>cmdzero.io</v>
      </c>
      <c r="B1150" s="5" t="str">
        <f>IFERROR(__xludf.DUMMYFUNCTION("""COMPUTED_VALUE"""),"crossriver.com")</f>
        <v>crossriver.com</v>
      </c>
    </row>
    <row r="1151">
      <c r="A1151" s="5" t="str">
        <f>IFERROR(__xludf.DUMMYFUNCTION("""COMPUTED_VALUE"""),"csm.ai")</f>
        <v>csm.ai</v>
      </c>
      <c r="B1151" s="5" t="str">
        <f>IFERROR(__xludf.DUMMYFUNCTION("""COMPUTED_VALUE"""),"crossbeam.com")</f>
        <v>crossbeam.com</v>
      </c>
    </row>
    <row r="1152">
      <c r="A1152" s="6" t="str">
        <f>IFERROR(__xludf.DUMMYFUNCTION("""COMPUTED_VALUE"""),"compound.finance")</f>
        <v>compound.finance</v>
      </c>
      <c r="B1152" s="5" t="str">
        <f>IFERROR(__xludf.DUMMYFUNCTION("""COMPUTED_VALUE"""),"cruxclimate.com")</f>
        <v>cruxclimate.com</v>
      </c>
    </row>
    <row r="1153">
      <c r="A1153" s="5" t="str">
        <f>IFERROR(__xludf.DUMMYFUNCTION("""COMPUTED_VALUE"""),"concourse.co")</f>
        <v>concourse.co</v>
      </c>
      <c r="B1153" s="5" t="str">
        <f>IFERROR(__xludf.DUMMYFUNCTION("""COMPUTED_VALUE"""),"onchainstudios.com")</f>
        <v>onchainstudios.com</v>
      </c>
    </row>
    <row r="1154">
      <c r="A1154" s="6" t="str">
        <f>IFERROR(__xludf.DUMMYFUNCTION("""COMPUTED_VALUE"""),"convex.dev")</f>
        <v>convex.dev</v>
      </c>
      <c r="B1154" s="5" t="str">
        <f>IFERROR(__xludf.DUMMYFUNCTION("""COMPUTED_VALUE"""),"cuenca.com")</f>
        <v>cuenca.com</v>
      </c>
    </row>
    <row r="1155">
      <c r="A1155" s="5" t="str">
        <f>IFERROR(__xludf.DUMMYFUNCTION("""COMPUTED_VALUE"""),"coreloop.ai")</f>
        <v>coreloop.ai</v>
      </c>
      <c r="B1155" s="5" t="str">
        <f>IFERROR(__xludf.DUMMYFUNCTION("""COMPUTED_VALUE"""),"cultofthenorth.com")</f>
        <v>cultofthenorth.com</v>
      </c>
    </row>
    <row r="1156">
      <c r="A1156" s="6" t="str">
        <f>IFERROR(__xludf.DUMMYFUNCTION("""COMPUTED_VALUE"""),"counsel.health")</f>
        <v>counsel.health</v>
      </c>
      <c r="B1156" s="5" t="str">
        <f>IFERROR(__xludf.DUMMYFUNCTION("""COMPUTED_VALUE"""),"goculturewireless.com")</f>
        <v>goculturewireless.com</v>
      </c>
    </row>
    <row r="1157">
      <c r="A1157" s="5" t="str">
        <f>IFERROR(__xludf.DUMMYFUNCTION("""COMPUTED_VALUE"""),"craterstudiosgames.com")</f>
        <v>craterstudiosgames.com</v>
      </c>
      <c r="B1157" s="5" t="str">
        <f>IFERROR(__xludf.DUMMYFUNCTION("""COMPUTED_VALUE"""),"current.com")</f>
        <v>current.com</v>
      </c>
    </row>
    <row r="1158">
      <c r="A1158" s="6" t="str">
        <f>IFERROR(__xludf.DUMMYFUNCTION("""COMPUTED_VALUE"""),"createra.fun")</f>
        <v>createra.fun</v>
      </c>
      <c r="B1158" s="5" t="str">
        <f>IFERROR(__xludf.DUMMYFUNCTION("""COMPUTED_VALUE"""),"cursor.sh")</f>
        <v>cursor.sh</v>
      </c>
    </row>
    <row r="1159">
      <c r="A1159" s="5" t="str">
        <f>IFERROR(__xludf.DUMMYFUNCTION("""COMPUTED_VALUE"""),"creatordao.com")</f>
        <v>creatordao.com</v>
      </c>
      <c r="B1159" s="5" t="str">
        <f>IFERROR(__xludf.DUMMYFUNCTION("""COMPUTED_VALUE"""),"cygnvs.com")</f>
        <v>cygnvs.com</v>
      </c>
    </row>
    <row r="1160">
      <c r="A1160" s="5" t="str">
        <f>IFERROR(__xludf.DUMMYFUNCTION("""COMPUTED_VALUE"""),"cresta.com")</f>
        <v>cresta.com</v>
      </c>
      <c r="B1160" s="5" t="str">
        <f>IFERROR(__xludf.DUMMYFUNCTION("""COMPUTED_VALUE"""),"cyngn.com")</f>
        <v>cyngn.com</v>
      </c>
    </row>
    <row r="1161">
      <c r="A1161" s="5" t="str">
        <f>IFERROR(__xludf.DUMMYFUNCTION("""COMPUTED_VALUE"""),"crossriver.com")</f>
        <v>crossriver.com</v>
      </c>
      <c r="B1161" s="5" t="str">
        <f>IFERROR(__xludf.DUMMYFUNCTION("""COMPUTED_VALUE"""),"d2iq.com")</f>
        <v>d2iq.com</v>
      </c>
    </row>
    <row r="1162">
      <c r="A1162" s="5" t="str">
        <f>IFERROR(__xludf.DUMMYFUNCTION("""COMPUTED_VALUE"""),"crossbeam.com")</f>
        <v>crossbeam.com</v>
      </c>
      <c r="B1162" s="5" t="str">
        <f>IFERROR(__xludf.DUMMYFUNCTION("""COMPUTED_VALUE"""),"dapperlabs.com")</f>
        <v>dapperlabs.com</v>
      </c>
    </row>
    <row r="1163">
      <c r="A1163" s="5" t="str">
        <f>IFERROR(__xludf.DUMMYFUNCTION("""COMPUTED_VALUE"""),"cruxclimate.com")</f>
        <v>cruxclimate.com</v>
      </c>
      <c r="B1163" s="5" t="str">
        <f>IFERROR(__xludf.DUMMYFUNCTION("""COMPUTED_VALUE"""),"daredrop.com")</f>
        <v>daredrop.com</v>
      </c>
    </row>
    <row r="1164">
      <c r="A1164" s="5" t="str">
        <f>IFERROR(__xludf.DUMMYFUNCTION("""COMPUTED_VALUE"""),"onchainstudios.com")</f>
        <v>onchainstudios.com</v>
      </c>
      <c r="B1164" s="5" t="str">
        <f>IFERROR(__xludf.DUMMYFUNCTION("""COMPUTED_VALUE"""),"databricks.com")</f>
        <v>databricks.com</v>
      </c>
    </row>
    <row r="1165">
      <c r="A1165" s="5" t="str">
        <f>IFERROR(__xludf.DUMMYFUNCTION("""COMPUTED_VALUE"""),"cuenca.com")</f>
        <v>cuenca.com</v>
      </c>
      <c r="B1165" s="5" t="str">
        <f>IFERROR(__xludf.DUMMYFUNCTION("""COMPUTED_VALUE"""),"datanomik.com")</f>
        <v>datanomik.com</v>
      </c>
    </row>
    <row r="1166">
      <c r="A1166" s="5" t="str">
        <f>IFERROR(__xludf.DUMMYFUNCTION("""COMPUTED_VALUE"""),"cultofthenorth.com")</f>
        <v>cultofthenorth.com</v>
      </c>
      <c r="B1166" s="5" t="str">
        <f>IFERROR(__xludf.DUMMYFUNCTION("""COMPUTED_VALUE"""),"godaylight.com")</f>
        <v>godaylight.com</v>
      </c>
    </row>
    <row r="1167">
      <c r="A1167" s="5" t="str">
        <f>IFERROR(__xludf.DUMMYFUNCTION("""COMPUTED_VALUE"""),"goculturewireless.com")</f>
        <v>goculturewireless.com</v>
      </c>
      <c r="B1167" s="6" t="str">
        <f>IFERROR(__xludf.DUMMYFUNCTION("""COMPUTED_VALUE"""),"daze.nyc")</f>
        <v>daze.nyc</v>
      </c>
    </row>
    <row r="1168">
      <c r="A1168" s="5" t="str">
        <f>IFERROR(__xludf.DUMMYFUNCTION("""COMPUTED_VALUE"""),"current.com")</f>
        <v>current.com</v>
      </c>
      <c r="B1168" s="5" t="str">
        <f>IFERROR(__xludf.DUMMYFUNCTION("""COMPUTED_VALUE"""),"getdbt.com")</f>
        <v>getdbt.com</v>
      </c>
    </row>
    <row r="1169">
      <c r="A1169" s="5" t="str">
        <f>IFERROR(__xludf.DUMMYFUNCTION("""COMPUTED_VALUE"""),"cursor.sh")</f>
        <v>cursor.sh</v>
      </c>
      <c r="B1169" s="5" t="str">
        <f>IFERROR(__xludf.DUMMYFUNCTION("""COMPUTED_VALUE"""),"decagon.ai")</f>
        <v>decagon.ai</v>
      </c>
    </row>
    <row r="1170">
      <c r="A1170" s="5" t="str">
        <f>IFERROR(__xludf.DUMMYFUNCTION("""COMPUTED_VALUE"""),"cygnvs.com")</f>
        <v>cygnvs.com</v>
      </c>
      <c r="B1170" s="5" t="str">
        <f>IFERROR(__xludf.DUMMYFUNCTION("""COMPUTED_VALUE"""),"deel.com")</f>
        <v>deel.com</v>
      </c>
    </row>
    <row r="1171">
      <c r="A1171" s="5" t="str">
        <f>IFERROR(__xludf.DUMMYFUNCTION("""COMPUTED_VALUE"""),"cyngn.com")</f>
        <v>cyngn.com</v>
      </c>
      <c r="B1171" s="5" t="str">
        <f>IFERROR(__xludf.DUMMYFUNCTION("""COMPUTED_VALUE"""),"deepcell.com")</f>
        <v>deepcell.com</v>
      </c>
    </row>
    <row r="1172">
      <c r="A1172" s="5" t="str">
        <f>IFERROR(__xludf.DUMMYFUNCTION("""COMPUTED_VALUE"""),"d2iq.com")</f>
        <v>d2iq.com</v>
      </c>
      <c r="B1172" s="5" t="str">
        <f>IFERROR(__xludf.DUMMYFUNCTION("""COMPUTED_VALUE"""),"deeprmusic.com")</f>
        <v>deeprmusic.com</v>
      </c>
    </row>
    <row r="1173">
      <c r="A1173" s="5" t="str">
        <f>IFERROR(__xludf.DUMMYFUNCTION("""COMPUTED_VALUE"""),"dapperlabs.com")</f>
        <v>dapperlabs.com</v>
      </c>
      <c r="B1173" s="5" t="str">
        <f>IFERROR(__xludf.DUMMYFUNCTION("""COMPUTED_VALUE"""),"djv.ai")</f>
        <v>djv.ai</v>
      </c>
    </row>
    <row r="1174">
      <c r="A1174" s="5" t="str">
        <f>IFERROR(__xludf.DUMMYFUNCTION("""COMPUTED_VALUE"""),"daredrop.com")</f>
        <v>daredrop.com</v>
      </c>
      <c r="B1174" s="5" t="str">
        <f>IFERROR(__xludf.DUMMYFUNCTION("""COMPUTED_VALUE"""),"delphix.com")</f>
        <v>delphix.com</v>
      </c>
    </row>
    <row r="1175">
      <c r="A1175" s="5" t="str">
        <f>IFERROR(__xludf.DUMMYFUNCTION("""COMPUTED_VALUE"""),"databricks.com")</f>
        <v>databricks.com</v>
      </c>
      <c r="B1175" s="6" t="str">
        <f>IFERROR(__xludf.DUMMYFUNCTION("""COMPUTED_VALUE"""),"delv.tech")</f>
        <v>delv.tech</v>
      </c>
    </row>
    <row r="1176">
      <c r="A1176" s="5" t="str">
        <f>IFERROR(__xludf.DUMMYFUNCTION("""COMPUTED_VALUE"""),"datanomik.com")</f>
        <v>datanomik.com</v>
      </c>
      <c r="B1176" s="5" t="str">
        <f>IFERROR(__xludf.DUMMYFUNCTION("""COMPUTED_VALUE"""),"descript.com")</f>
        <v>descript.com</v>
      </c>
    </row>
    <row r="1177">
      <c r="A1177" s="5" t="str">
        <f>IFERROR(__xludf.DUMMYFUNCTION("""COMPUTED_VALUE"""),"godaylight.com")</f>
        <v>godaylight.com</v>
      </c>
      <c r="B1177" s="5" t="str">
        <f>IFERROR(__xludf.DUMMYFUNCTION("""COMPUTED_VALUE"""),"deso.org")</f>
        <v>deso.org</v>
      </c>
    </row>
    <row r="1178">
      <c r="A1178" s="6" t="str">
        <f>IFERROR(__xludf.DUMMYFUNCTION("""COMPUTED_VALUE"""),"daze.nyc")</f>
        <v>daze.nyc</v>
      </c>
      <c r="B1178" s="5" t="str">
        <f>IFERROR(__xludf.DUMMYFUNCTION("""COMPUTED_VALUE"""),"devoted.com")</f>
        <v>devoted.com</v>
      </c>
    </row>
    <row r="1179">
      <c r="A1179" s="5" t="str">
        <f>IFERROR(__xludf.DUMMYFUNCTION("""COMPUTED_VALUE"""),"getdbt.com")</f>
        <v>getdbt.com</v>
      </c>
      <c r="B1179" s="5" t="str">
        <f>IFERROR(__xludf.DUMMYFUNCTION("""COMPUTED_VALUE"""),"dfinity.org")</f>
        <v>dfinity.org</v>
      </c>
    </row>
    <row r="1180">
      <c r="A1180" s="5" t="str">
        <f>IFERROR(__xludf.DUMMYFUNCTION("""COMPUTED_VALUE"""),"decagon.ai")</f>
        <v>decagon.ai</v>
      </c>
      <c r="B1180" s="5" t="str">
        <f>IFERROR(__xludf.DUMMYFUNCTION("""COMPUTED_VALUE"""),"dialpad.com")</f>
        <v>dialpad.com</v>
      </c>
    </row>
    <row r="1181">
      <c r="A1181" s="5" t="str">
        <f>IFERROR(__xludf.DUMMYFUNCTION("""COMPUTED_VALUE"""),"deel.com")</f>
        <v>deel.com</v>
      </c>
      <c r="B1181" s="5" t="str">
        <f>IFERROR(__xludf.DUMMYFUNCTION("""COMPUTED_VALUE"""),"dispatch.ai")</f>
        <v>dispatch.ai</v>
      </c>
    </row>
    <row r="1182">
      <c r="A1182" s="5" t="str">
        <f>IFERROR(__xludf.DUMMYFUNCTION("""COMPUTED_VALUE"""),"deepcell.com")</f>
        <v>deepcell.com</v>
      </c>
      <c r="B1182" s="5" t="str">
        <f>IFERROR(__xludf.DUMMYFUNCTION("""COMPUTED_VALUE"""),"distributional.com")</f>
        <v>distributional.com</v>
      </c>
    </row>
    <row r="1183">
      <c r="A1183" s="5" t="str">
        <f>IFERROR(__xludf.DUMMYFUNCTION("""COMPUTED_VALUE"""),"deeprmusic.com")</f>
        <v>deeprmusic.com</v>
      </c>
      <c r="B1183" s="5" t="str">
        <f>IFERROR(__xludf.DUMMYFUNCTION("""COMPUTED_VALUE"""),"divvyhomes.com")</f>
        <v>divvyhomes.com</v>
      </c>
    </row>
    <row r="1184">
      <c r="A1184" s="5" t="str">
        <f>IFERROR(__xludf.DUMMYFUNCTION("""COMPUTED_VALUE"""),"djv.ai")</f>
        <v>djv.ai</v>
      </c>
      <c r="B1184" s="5" t="str">
        <f>IFERROR(__xludf.DUMMYFUNCTION("""COMPUTED_VALUE"""),"donotpay.com")</f>
        <v>donotpay.com</v>
      </c>
    </row>
    <row r="1185">
      <c r="A1185" s="5" t="str">
        <f>IFERROR(__xludf.DUMMYFUNCTION("""COMPUTED_VALUE"""),"delphix.com")</f>
        <v>delphix.com</v>
      </c>
      <c r="B1185" s="5" t="str">
        <f>IFERROR(__xludf.DUMMYFUNCTION("""COMPUTED_VALUE"""),"doppel.com")</f>
        <v>doppel.com</v>
      </c>
    </row>
    <row r="1186">
      <c r="A1186" s="6" t="str">
        <f>IFERROR(__xludf.DUMMYFUNCTION("""COMPUTED_VALUE"""),"delv.tech")</f>
        <v>delv.tech</v>
      </c>
      <c r="B1186" s="5" t="str">
        <f>IFERROR(__xludf.DUMMYFUNCTION("""COMPUTED_VALUE"""),"doxel.ai")</f>
        <v>doxel.ai</v>
      </c>
    </row>
    <row r="1187">
      <c r="A1187" s="5" t="str">
        <f>IFERROR(__xludf.DUMMYFUNCTION("""COMPUTED_VALUE"""),"descript.com")</f>
        <v>descript.com</v>
      </c>
      <c r="B1187" s="6" t="str">
        <f>IFERROR(__xludf.DUMMYFUNCTION("""COMPUTED_VALUE"""),"dreamore.app")</f>
        <v>dreamore.app</v>
      </c>
    </row>
    <row r="1188">
      <c r="A1188" s="5" t="str">
        <f>IFERROR(__xludf.DUMMYFUNCTION("""COMPUTED_VALUE"""),"deso.org")</f>
        <v>deso.org</v>
      </c>
      <c r="B1188" s="5" t="str">
        <f>IFERROR(__xludf.DUMMYFUNCTION("""COMPUTED_VALUE"""),"dwolla.com")</f>
        <v>dwolla.com</v>
      </c>
    </row>
    <row r="1189">
      <c r="A1189" s="5" t="str">
        <f>IFERROR(__xludf.DUMMYFUNCTION("""COMPUTED_VALUE"""),"devoted.com")</f>
        <v>devoted.com</v>
      </c>
      <c r="B1189" s="6" t="str">
        <f>IFERROR(__xludf.DUMMYFUNCTION("""COMPUTED_VALUE"""),"dydx.exchange")</f>
        <v>dydx.exchange</v>
      </c>
    </row>
    <row r="1190">
      <c r="A1190" s="5" t="str">
        <f>IFERROR(__xludf.DUMMYFUNCTION("""COMPUTED_VALUE"""),"dfinity.org")</f>
        <v>dfinity.org</v>
      </c>
      <c r="B1190" s="5" t="str">
        <f>IFERROR(__xludf.DUMMYFUNCTION("""COMPUTED_VALUE"""),"dynamic.xyz")</f>
        <v>dynamic.xyz</v>
      </c>
    </row>
    <row r="1191">
      <c r="A1191" s="5" t="str">
        <f>IFERROR(__xludf.DUMMYFUNCTION("""COMPUTED_VALUE"""),"dialpad.com")</f>
        <v>dialpad.com</v>
      </c>
      <c r="B1191" s="5" t="str">
        <f>IFERROR(__xludf.DUMMYFUNCTION("""COMPUTED_VALUE"""),"dynotx.com")</f>
        <v>dynotx.com</v>
      </c>
    </row>
    <row r="1192">
      <c r="A1192" s="5" t="str">
        <f>IFERROR(__xludf.DUMMYFUNCTION("""COMPUTED_VALUE"""),"dispatch.ai")</f>
        <v>dispatch.ai</v>
      </c>
      <c r="B1192" s="6" t="str">
        <f>IFERROR(__xludf.DUMMYFUNCTION("""COMPUTED_VALUE"""),"e-3.tech")</f>
        <v>e-3.tech</v>
      </c>
    </row>
    <row r="1193">
      <c r="A1193" s="5" t="str">
        <f>IFERROR(__xludf.DUMMYFUNCTION("""COMPUTED_VALUE"""),"distributional.com")</f>
        <v>distributional.com</v>
      </c>
      <c r="B1193" s="5" t="str">
        <f>IFERROR(__xludf.DUMMYFUNCTION("""COMPUTED_VALUE"""),"earli.com")</f>
        <v>earli.com</v>
      </c>
    </row>
    <row r="1194">
      <c r="A1194" s="5" t="str">
        <f>IFERROR(__xludf.DUMMYFUNCTION("""COMPUTED_VALUE"""),"divvyhomes.com")</f>
        <v>divvyhomes.com</v>
      </c>
      <c r="B1194" s="5" t="str">
        <f>IFERROR(__xludf.DUMMYFUNCTION("""COMPUTED_VALUE"""),"earnbetter.com")</f>
        <v>earnbetter.com</v>
      </c>
    </row>
    <row r="1195">
      <c r="A1195" s="5" t="str">
        <f>IFERROR(__xludf.DUMMYFUNCTION("""COMPUTED_VALUE"""),"donotpay.com")</f>
        <v>donotpay.com</v>
      </c>
      <c r="B1195" s="5" t="str">
        <f>IFERROR(__xludf.DUMMYFUNCTION("""COMPUTED_VALUE"""),"earnin.com")</f>
        <v>earnin.com</v>
      </c>
    </row>
    <row r="1196">
      <c r="A1196" s="5" t="str">
        <f>IFERROR(__xludf.DUMMYFUNCTION("""COMPUTED_VALUE"""),"doppel.com")</f>
        <v>doppel.com</v>
      </c>
      <c r="B1196" s="5" t="str">
        <f>IFERROR(__xludf.DUMMYFUNCTION("""COMPUTED_VALUE"""),"eclypsium.com")</f>
        <v>eclypsium.com</v>
      </c>
    </row>
    <row r="1197">
      <c r="A1197" s="5" t="str">
        <f>IFERROR(__xludf.DUMMYFUNCTION("""COMPUTED_VALUE"""),"doxel.ai")</f>
        <v>doxel.ai</v>
      </c>
      <c r="B1197" s="5" t="str">
        <f>IFERROR(__xludf.DUMMYFUNCTION("""COMPUTED_VALUE"""),"eco.com")</f>
        <v>eco.com</v>
      </c>
    </row>
    <row r="1198">
      <c r="A1198" s="6" t="str">
        <f>IFERROR(__xludf.DUMMYFUNCTION("""COMPUTED_VALUE"""),"dreamore.app")</f>
        <v>dreamore.app</v>
      </c>
      <c r="B1198" s="5" t="str">
        <f>IFERROR(__xludf.DUMMYFUNCTION("""COMPUTED_VALUE"""),"eigenlayer.xyz")</f>
        <v>eigenlayer.xyz</v>
      </c>
    </row>
    <row r="1199">
      <c r="A1199" s="5" t="str">
        <f>IFERROR(__xludf.DUMMYFUNCTION("""COMPUTED_VALUE"""),"dwolla.com")</f>
        <v>dwolla.com</v>
      </c>
      <c r="B1199" s="5" t="str">
        <f>IFERROR(__xludf.DUMMYFUNCTION("""COMPUTED_VALUE"""),"elegenbio.com")</f>
        <v>elegenbio.com</v>
      </c>
    </row>
    <row r="1200">
      <c r="A1200" s="6" t="str">
        <f>IFERROR(__xludf.DUMMYFUNCTION("""COMPUTED_VALUE"""),"dydx.exchange")</f>
        <v>dydx.exchange</v>
      </c>
      <c r="B1200" s="5" t="str">
        <f>IFERROR(__xludf.DUMMYFUNCTION("""COMPUTED_VALUE"""),"elevenlabs.io")</f>
        <v>elevenlabs.io</v>
      </c>
    </row>
    <row r="1201">
      <c r="A1201" s="5" t="str">
        <f>IFERROR(__xludf.DUMMYFUNCTION("""COMPUTED_VALUE"""),"dynamic.xyz")</f>
        <v>dynamic.xyz</v>
      </c>
      <c r="B1201" s="6" t="str">
        <f>IFERROR(__xludf.DUMMYFUNCTION("""COMPUTED_VALUE"""),"elodie.games")</f>
        <v>elodie.games</v>
      </c>
    </row>
    <row r="1202">
      <c r="A1202" s="5" t="str">
        <f>IFERROR(__xludf.DUMMYFUNCTION("""COMPUTED_VALUE"""),"dynotx.com")</f>
        <v>dynotx.com</v>
      </c>
      <c r="B1202" s="6" t="str">
        <f>IFERROR(__xludf.DUMMYFUNCTION("""COMPUTED_VALUE"""),"elsewhere.zone")</f>
        <v>elsewhere.zone</v>
      </c>
    </row>
    <row r="1203">
      <c r="A1203" s="6" t="str">
        <f>IFERROR(__xludf.DUMMYFUNCTION("""COMPUTED_VALUE"""),"e-3.tech")</f>
        <v>e-3.tech</v>
      </c>
      <c r="B1203" s="5" t="str">
        <f>IFERROR(__xludf.DUMMYFUNCTION("""COMPUTED_VALUE"""),"end.gg")</f>
        <v>end.gg</v>
      </c>
    </row>
    <row r="1204">
      <c r="A1204" s="5" t="str">
        <f>IFERROR(__xludf.DUMMYFUNCTION("""COMPUTED_VALUE"""),"earli.com")</f>
        <v>earli.com</v>
      </c>
      <c r="B1204" s="5" t="str">
        <f>IFERROR(__xludf.DUMMYFUNCTION("""COMPUTED_VALUE"""),"engflow.com")</f>
        <v>engflow.com</v>
      </c>
    </row>
    <row r="1205">
      <c r="A1205" s="5" t="str">
        <f>IFERROR(__xludf.DUMMYFUNCTION("""COMPUTED_VALUE"""),"earnbetter.com")</f>
        <v>earnbetter.com</v>
      </c>
      <c r="B1205" s="5" t="str">
        <f>IFERROR(__xludf.DUMMYFUNCTION("""COMPUTED_VALUE"""),"entropy.xyz")</f>
        <v>entropy.xyz</v>
      </c>
    </row>
    <row r="1206">
      <c r="A1206" s="5" t="str">
        <f>IFERROR(__xludf.DUMMYFUNCTION("""COMPUTED_VALUE"""),"earnin.com")</f>
        <v>earnin.com</v>
      </c>
      <c r="B1206" s="5" t="str">
        <f>IFERROR(__xludf.DUMMYFUNCTION("""COMPUTED_VALUE"""),"envoy.com")</f>
        <v>envoy.com</v>
      </c>
    </row>
    <row r="1207">
      <c r="A1207" s="5" t="str">
        <f>IFERROR(__xludf.DUMMYFUNCTION("""COMPUTED_VALUE"""),"eclypsium.com")</f>
        <v>eclypsium.com</v>
      </c>
      <c r="B1207" s="5" t="str">
        <f>IFERROR(__xludf.DUMMYFUNCTION("""COMPUTED_VALUE"""),"epal.gg")</f>
        <v>epal.gg</v>
      </c>
    </row>
    <row r="1208">
      <c r="A1208" s="5" t="str">
        <f>IFERROR(__xludf.DUMMYFUNCTION("""COMPUTED_VALUE"""),"eco.com")</f>
        <v>eco.com</v>
      </c>
      <c r="B1208" s="6" t="str">
        <f>IFERROR(__xludf.DUMMYFUNCTION("""COMPUTED_VALUE"""),"equals.app")</f>
        <v>equals.app</v>
      </c>
    </row>
    <row r="1209">
      <c r="A1209" s="5" t="str">
        <f>IFERROR(__xludf.DUMMYFUNCTION("""COMPUTED_VALUE"""),"eigenlayer.xyz")</f>
        <v>eigenlayer.xyz</v>
      </c>
      <c r="B1209" s="5" t="str">
        <f>IFERROR(__xludf.DUMMYFUNCTION("""COMPUTED_VALUE"""),"espressosys.com")</f>
        <v>espressosys.com</v>
      </c>
    </row>
    <row r="1210">
      <c r="A1210" s="5" t="str">
        <f>IFERROR(__xludf.DUMMYFUNCTION("""COMPUTED_VALUE"""),"elegenbio.com")</f>
        <v>elegenbio.com</v>
      </c>
      <c r="B1210" s="6" t="str">
        <f>IFERROR(__xludf.DUMMYFUNCTION("""COMPUTED_VALUE"""),"eve.legal")</f>
        <v>eve.legal</v>
      </c>
    </row>
    <row r="1211">
      <c r="A1211" s="5" t="str">
        <f>IFERROR(__xludf.DUMMYFUNCTION("""COMPUTED_VALUE"""),"elevenlabs.io")</f>
        <v>elevenlabs.io</v>
      </c>
      <c r="B1211" s="5" t="str">
        <f>IFERROR(__xludf.DUMMYFUNCTION("""COMPUTED_VALUE"""),"everlaw.com")</f>
        <v>everlaw.com</v>
      </c>
    </row>
    <row r="1212">
      <c r="A1212" s="6" t="str">
        <f>IFERROR(__xludf.DUMMYFUNCTION("""COMPUTED_VALUE"""),"elodie.games")</f>
        <v>elodie.games</v>
      </c>
      <c r="B1212" s="5" t="str">
        <f>IFERROR(__xludf.DUMMYFUNCTION("""COMPUTED_VALUE"""),"everyrealm.com")</f>
        <v>everyrealm.com</v>
      </c>
    </row>
    <row r="1213">
      <c r="A1213" s="6" t="str">
        <f>IFERROR(__xludf.DUMMYFUNCTION("""COMPUTED_VALUE"""),"elsewhere.zone")</f>
        <v>elsewhere.zone</v>
      </c>
      <c r="B1213" s="5" t="str">
        <f>IFERROR(__xludf.DUMMYFUNCTION("""COMPUTED_VALUE"""),"exh.ai")</f>
        <v>exh.ai</v>
      </c>
    </row>
    <row r="1214">
      <c r="A1214" s="5" t="str">
        <f>IFERROR(__xludf.DUMMYFUNCTION("""COMPUTED_VALUE"""),"end.gg")</f>
        <v>end.gg</v>
      </c>
      <c r="B1214" s="5" t="str">
        <f>IFERROR(__xludf.DUMMYFUNCTION("""COMPUTED_VALUE"""),"fal.ai")</f>
        <v>fal.ai</v>
      </c>
    </row>
    <row r="1215">
      <c r="A1215" s="5" t="str">
        <f>IFERROR(__xludf.DUMMYFUNCTION("""COMPUTED_VALUE"""),"engflow.com")</f>
        <v>engflow.com</v>
      </c>
      <c r="B1215" s="5" t="str">
        <f>IFERROR(__xludf.DUMMYFUNCTION("""COMPUTED_VALUE"""),"fanatics.com")</f>
        <v>fanatics.com</v>
      </c>
    </row>
    <row r="1216">
      <c r="A1216" s="5" t="str">
        <f>IFERROR(__xludf.DUMMYFUNCTION("""COMPUTED_VALUE"""),"entropy.xyz")</f>
        <v>entropy.xyz</v>
      </c>
      <c r="B1216" s="5" t="str">
        <f>IFERROR(__xludf.DUMMYFUNCTION("""COMPUTED_VALUE"""),"fashivly.com")</f>
        <v>fashivly.com</v>
      </c>
    </row>
    <row r="1217">
      <c r="A1217" s="5" t="str">
        <f>IFERROR(__xludf.DUMMYFUNCTION("""COMPUTED_VALUE"""),"envoy.com")</f>
        <v>envoy.com</v>
      </c>
      <c r="B1217" s="5" t="str">
        <f>IFERROR(__xludf.DUMMYFUNCTION("""COMPUTED_VALUE"""),"favorited.com")</f>
        <v>favorited.com</v>
      </c>
    </row>
    <row r="1218">
      <c r="A1218" s="5" t="str">
        <f>IFERROR(__xludf.DUMMYFUNCTION("""COMPUTED_VALUE"""),"epal.gg")</f>
        <v>epal.gg</v>
      </c>
      <c r="B1218" s="5" t="str">
        <f>IFERROR(__xludf.DUMMYFUNCTION("""COMPUTED_VALUE"""),"feedplan.com")</f>
        <v>feedplan.com</v>
      </c>
    </row>
    <row r="1219">
      <c r="A1219" s="6" t="str">
        <f>IFERROR(__xludf.DUMMYFUNCTION("""COMPUTED_VALUE"""),"equals.app")</f>
        <v>equals.app</v>
      </c>
      <c r="B1219" s="6" t="str">
        <f>IFERROR(__xludf.DUMMYFUNCTION("""COMPUTED_VALUE"""),"fei.money")</f>
        <v>fei.money</v>
      </c>
    </row>
    <row r="1220">
      <c r="A1220" s="5" t="str">
        <f>IFERROR(__xludf.DUMMYFUNCTION("""COMPUTED_VALUE"""),"espressosys.com")</f>
        <v>espressosys.com</v>
      </c>
      <c r="B1220" s="5" t="str">
        <f>IFERROR(__xludf.DUMMYFUNCTION("""COMPUTED_VALUE"""),"fidocure.com")</f>
        <v>fidocure.com</v>
      </c>
    </row>
    <row r="1221">
      <c r="A1221" s="6" t="str">
        <f>IFERROR(__xludf.DUMMYFUNCTION("""COMPUTED_VALUE"""),"eve.legal")</f>
        <v>eve.legal</v>
      </c>
      <c r="B1221" s="5" t="str">
        <f>IFERROR(__xludf.DUMMYFUNCTION("""COMPUTED_VALUE"""),"filmhub.com")</f>
        <v>filmhub.com</v>
      </c>
    </row>
    <row r="1222">
      <c r="A1222" s="5" t="str">
        <f>IFERROR(__xludf.DUMMYFUNCTION("""COMPUTED_VALUE"""),"everlaw.com")</f>
        <v>everlaw.com</v>
      </c>
      <c r="B1222" s="5" t="str">
        <f>IFERROR(__xludf.DUMMYFUNCTION("""COMPUTED_VALUE"""),"fingerprintsdao.xyz")</f>
        <v>fingerprintsdao.xyz</v>
      </c>
    </row>
    <row r="1223">
      <c r="A1223" s="5" t="str">
        <f>IFERROR(__xludf.DUMMYFUNCTION("""COMPUTED_VALUE"""),"everyrealm.com")</f>
        <v>everyrealm.com</v>
      </c>
      <c r="B1223" s="6" t="str">
        <f>IFERROR(__xludf.DUMMYFUNCTION("""COMPUTED_VALUE"""),"firefly.health")</f>
        <v>firefly.health</v>
      </c>
    </row>
    <row r="1224">
      <c r="A1224" s="5" t="str">
        <f>IFERROR(__xludf.DUMMYFUNCTION("""COMPUTED_VALUE"""),"exh.ai")</f>
        <v>exh.ai</v>
      </c>
      <c r="B1224" s="5" t="str">
        <f>IFERROR(__xludf.DUMMYFUNCTION("""COMPUTED_VALUE"""),"firstbasehq.com")</f>
        <v>firstbasehq.com</v>
      </c>
    </row>
    <row r="1225">
      <c r="A1225" s="5" t="str">
        <f>IFERROR(__xludf.DUMMYFUNCTION("""COMPUTED_VALUE"""),"factual.com")</f>
        <v>factual.com</v>
      </c>
      <c r="B1225" s="5" t="str">
        <f>IFERROR(__xludf.DUMMYFUNCTION("""COMPUTED_VALUE"""),"fivetran.com")</f>
        <v>fivetran.com</v>
      </c>
    </row>
    <row r="1226">
      <c r="A1226" s="5" t="str">
        <f>IFERROR(__xludf.DUMMYFUNCTION("""COMPUTED_VALUE"""),"fal.ai")</f>
        <v>fal.ai</v>
      </c>
      <c r="B1226" s="5" t="str">
        <f>IFERROR(__xludf.DUMMYFUNCTION("""COMPUTED_VALUE"""),"flashhoops.com")</f>
        <v>flashhoops.com</v>
      </c>
    </row>
    <row r="1227">
      <c r="A1227" s="5" t="str">
        <f>IFERROR(__xludf.DUMMYFUNCTION("""COMPUTED_VALUE"""),"fanatics.com")</f>
        <v>fanatics.com</v>
      </c>
      <c r="B1227" s="5" t="str">
        <f>IFERROR(__xludf.DUMMYFUNCTION("""COMPUTED_VALUE"""),"flavrs.com")</f>
        <v>flavrs.com</v>
      </c>
    </row>
    <row r="1228">
      <c r="A1228" s="5" t="str">
        <f>IFERROR(__xludf.DUMMYFUNCTION("""COMPUTED_VALUE"""),"fashivly.com")</f>
        <v>fashivly.com</v>
      </c>
      <c r="B1228" s="5" t="str">
        <f>IFERROR(__xludf.DUMMYFUNCTION("""COMPUTED_VALUE"""),"flexport.com")</f>
        <v>flexport.com</v>
      </c>
    </row>
    <row r="1229">
      <c r="A1229" s="5" t="str">
        <f>IFERROR(__xludf.DUMMYFUNCTION("""COMPUTED_VALUE"""),"favorited.com")</f>
        <v>favorited.com</v>
      </c>
      <c r="B1229" s="5" t="str">
        <f>IFERROR(__xludf.DUMMYFUNCTION("""COMPUTED_VALUE"""),"flockhomes.com")</f>
        <v>flockhomes.com</v>
      </c>
    </row>
    <row r="1230">
      <c r="A1230" s="5" t="str">
        <f>IFERROR(__xludf.DUMMYFUNCTION("""COMPUTED_VALUE"""),"feedplan.com")</f>
        <v>feedplan.com</v>
      </c>
      <c r="B1230" s="5" t="str">
        <f>IFERROR(__xludf.DUMMYFUNCTION("""COMPUTED_VALUE"""),"flocksafety.com")</f>
        <v>flocksafety.com</v>
      </c>
    </row>
    <row r="1231">
      <c r="A1231" s="6" t="str">
        <f>IFERROR(__xludf.DUMMYFUNCTION("""COMPUTED_VALUE"""),"fei.money")</f>
        <v>fei.money</v>
      </c>
      <c r="B1231" s="6" t="str">
        <f>IFERROR(__xludf.DUMMYFUNCTION("""COMPUTED_VALUE"""),"flow.life")</f>
        <v>flow.life</v>
      </c>
    </row>
    <row r="1232">
      <c r="A1232" s="5" t="str">
        <f>IFERROR(__xludf.DUMMYFUNCTION("""COMPUTED_VALUE"""),"fidocure.com")</f>
        <v>fidocure.com</v>
      </c>
      <c r="B1232" s="5" t="str">
        <f>IFERROR(__xludf.DUMMYFUNCTION("""COMPUTED_VALUE"""),"flowcarbon.com")</f>
        <v>flowcarbon.com</v>
      </c>
    </row>
    <row r="1233">
      <c r="A1233" s="5" t="str">
        <f>IFERROR(__xludf.DUMMYFUNCTION("""COMPUTED_VALUE"""),"filmhub.com")</f>
        <v>filmhub.com</v>
      </c>
      <c r="B1233" s="5" t="str">
        <f>IFERROR(__xludf.DUMMYFUNCTION("""COMPUTED_VALUE"""),"flyhomes.com")</f>
        <v>flyhomes.com</v>
      </c>
    </row>
    <row r="1234">
      <c r="A1234" s="5" t="str">
        <f>IFERROR(__xludf.DUMMYFUNCTION("""COMPUTED_VALUE"""),"fingerprintsdao.xyz")</f>
        <v>fingerprintsdao.xyz</v>
      </c>
      <c r="B1234" s="5" t="str">
        <f>IFERROR(__xludf.DUMMYFUNCTION("""COMPUTED_VALUE"""),"foodology.com.co")</f>
        <v>foodology.com.co</v>
      </c>
    </row>
    <row r="1235">
      <c r="A1235" s="6" t="str">
        <f>IFERROR(__xludf.DUMMYFUNCTION("""COMPUTED_VALUE"""),"firefly.health")</f>
        <v>firefly.health</v>
      </c>
      <c r="B1235" s="6" t="str">
        <f>IFERROR(__xludf.DUMMYFUNCTION("""COMPUTED_VALUE"""),"formation.dev")</f>
        <v>formation.dev</v>
      </c>
    </row>
    <row r="1236">
      <c r="A1236" s="5" t="str">
        <f>IFERROR(__xludf.DUMMYFUNCTION("""COMPUTED_VALUE"""),"firstbasehq.com")</f>
        <v>firstbasehq.com</v>
      </c>
      <c r="B1236" s="6" t="str">
        <f>IFERROR(__xludf.DUMMYFUNCTION("""COMPUTED_VALUE"""),"formation.bio")</f>
        <v>formation.bio</v>
      </c>
    </row>
    <row r="1237">
      <c r="A1237" s="5" t="str">
        <f>IFERROR(__xludf.DUMMYFUNCTION("""COMPUTED_VALUE"""),"fivetran.com")</f>
        <v>fivetran.com</v>
      </c>
      <c r="B1237" s="5" t="str">
        <f>IFERROR(__xludf.DUMMYFUNCTION("""COMPUTED_VALUE"""),"forta.org")</f>
        <v>forta.org</v>
      </c>
    </row>
    <row r="1238">
      <c r="A1238" s="5" t="str">
        <f>IFERROR(__xludf.DUMMYFUNCTION("""COMPUTED_VALUE"""),"flashhoops.com")</f>
        <v>flashhoops.com</v>
      </c>
      <c r="B1238" s="5" t="str">
        <f>IFERROR(__xludf.DUMMYFUNCTION("""COMPUTED_VALUE"""),"fortunahealth.com")</f>
        <v>fortunahealth.com</v>
      </c>
    </row>
    <row r="1239">
      <c r="A1239" s="5" t="str">
        <f>IFERROR(__xludf.DUMMYFUNCTION("""COMPUTED_VALUE"""),"flavrs.com")</f>
        <v>flavrs.com</v>
      </c>
      <c r="B1239" s="5" t="str">
        <f>IFERROR(__xludf.DUMMYFUNCTION("""COMPUTED_VALUE"""),"forwardnetworks.com")</f>
        <v>forwardnetworks.com</v>
      </c>
    </row>
    <row r="1240">
      <c r="A1240" s="5" t="str">
        <f>IFERROR(__xludf.DUMMYFUNCTION("""COMPUTED_VALUE"""),"flexport.com")</f>
        <v>flexport.com</v>
      </c>
      <c r="B1240" s="6" t="str">
        <f>IFERROR(__xludf.DUMMYFUNCTION("""COMPUTED_VALUE"""),"foundation.app")</f>
        <v>foundation.app</v>
      </c>
    </row>
    <row r="1241">
      <c r="A1241" s="5" t="str">
        <f>IFERROR(__xludf.DUMMYFUNCTION("""COMPUTED_VALUE"""),"flockhomes.com")</f>
        <v>flockhomes.com</v>
      </c>
      <c r="B1241" s="5" t="str">
        <f>IFERROR(__xludf.DUMMYFUNCTION("""COMPUTED_VALUE"""),"foursquare.com")</f>
        <v>foursquare.com</v>
      </c>
    </row>
    <row r="1242">
      <c r="A1242" s="5" t="str">
        <f>IFERROR(__xludf.DUMMYFUNCTION("""COMPUTED_VALUE"""),"flocksafety.com")</f>
        <v>flocksafety.com</v>
      </c>
      <c r="B1242" s="6" t="str">
        <f>IFERROR(__xludf.DUMMYFUNCTION("""COMPUTED_VALUE"""),"freatic.team")</f>
        <v>freatic.team</v>
      </c>
    </row>
    <row r="1243">
      <c r="A1243" s="6" t="str">
        <f>IFERROR(__xludf.DUMMYFUNCTION("""COMPUTED_VALUE"""),"flow.life")</f>
        <v>flow.life</v>
      </c>
      <c r="B1243" s="5" t="str">
        <f>IFERROR(__xludf.DUMMYFUNCTION("""COMPUTED_VALUE"""),"freenome.com")</f>
        <v>freenome.com</v>
      </c>
    </row>
    <row r="1244">
      <c r="A1244" s="5" t="str">
        <f>IFERROR(__xludf.DUMMYFUNCTION("""COMPUTED_VALUE"""),"flowcarbon.com")</f>
        <v>flowcarbon.com</v>
      </c>
      <c r="B1244" s="5" t="str">
        <f>IFERROR(__xludf.DUMMYFUNCTION("""COMPUTED_VALUE"""),"fu.do")</f>
        <v>fu.do</v>
      </c>
    </row>
    <row r="1245">
      <c r="A1245" s="5" t="str">
        <f>IFERROR(__xludf.DUMMYFUNCTION("""COMPUTED_VALUE"""),"flyhomes.com")</f>
        <v>flyhomes.com</v>
      </c>
      <c r="B1245" s="5" t="str">
        <f>IFERROR(__xludf.DUMMYFUNCTION("""COMPUTED_VALUE"""),"functionhealth.com")</f>
        <v>functionhealth.com</v>
      </c>
    </row>
    <row r="1246">
      <c r="A1246" s="5" t="str">
        <f>IFERROR(__xludf.DUMMYFUNCTION("""COMPUTED_VALUE"""),"foodology.com.co")</f>
        <v>foodology.com.co</v>
      </c>
      <c r="B1246" s="5" t="str">
        <f>IFERROR(__xludf.DUMMYFUNCTION("""COMPUTED_VALUE"""),"functiononcology.com")</f>
        <v>functiononcology.com</v>
      </c>
    </row>
    <row r="1247">
      <c r="A1247" s="6" t="str">
        <f>IFERROR(__xludf.DUMMYFUNCTION("""COMPUTED_VALUE"""),"formation.dev")</f>
        <v>formation.dev</v>
      </c>
      <c r="B1247" s="6" t="str">
        <f>IFERROR(__xludf.DUMMYFUNCTION("""COMPUTED_VALUE"""),"fwb.help")</f>
        <v>fwb.help</v>
      </c>
    </row>
    <row r="1248">
      <c r="A1248" s="6" t="str">
        <f>IFERROR(__xludf.DUMMYFUNCTION("""COMPUTED_VALUE"""),"formation.bio")</f>
        <v>formation.bio</v>
      </c>
      <c r="B1248" s="5" t="str">
        <f>IFERROR(__xludf.DUMMYFUNCTION("""COMPUTED_VALUE"""),"gamebeast.gg")</f>
        <v>gamebeast.gg</v>
      </c>
    </row>
    <row r="1249">
      <c r="A1249" s="5" t="str">
        <f>IFERROR(__xludf.DUMMYFUNCTION("""COMPUTED_VALUE"""),"forta.org")</f>
        <v>forta.org</v>
      </c>
      <c r="B1249" s="5" t="str">
        <f>IFERROR(__xludf.DUMMYFUNCTION("""COMPUTED_VALUE"""),"gamerxsociety.com")</f>
        <v>gamerxsociety.com</v>
      </c>
    </row>
    <row r="1250">
      <c r="A1250" s="5" t="str">
        <f>IFERROR(__xludf.DUMMYFUNCTION("""COMPUTED_VALUE"""),"fortunahealth.com")</f>
        <v>fortunahealth.com</v>
      </c>
      <c r="B1250" s="5" t="str">
        <f>IFERROR(__xludf.DUMMYFUNCTION("""COMPUTED_VALUE"""),"gatebio.com")</f>
        <v>gatebio.com</v>
      </c>
    </row>
    <row r="1251">
      <c r="A1251" s="5" t="str">
        <f>IFERROR(__xludf.DUMMYFUNCTION("""COMPUTED_VALUE"""),"forwardnetworks.com")</f>
        <v>forwardnetworks.com</v>
      </c>
      <c r="B1251" s="5" t="str">
        <f>IFERROR(__xludf.DUMMYFUNCTION("""COMPUTED_VALUE"""),"gc-tx.com")</f>
        <v>gc-tx.com</v>
      </c>
    </row>
    <row r="1252">
      <c r="A1252" s="6" t="str">
        <f>IFERROR(__xludf.DUMMYFUNCTION("""COMPUTED_VALUE"""),"foundation.app")</f>
        <v>foundation.app</v>
      </c>
      <c r="B1252" s="5" t="str">
        <f>IFERROR(__xludf.DUMMYFUNCTION("""COMPUTED_VALUE"""),"genesistherapeutics.ai")</f>
        <v>genesistherapeutics.ai</v>
      </c>
    </row>
    <row r="1253">
      <c r="A1253" s="5" t="str">
        <f>IFERROR(__xludf.DUMMYFUNCTION("""COMPUTED_VALUE"""),"foursquare.com")</f>
        <v>foursquare.com</v>
      </c>
      <c r="B1253" s="5" t="str">
        <f>IFERROR(__xludf.DUMMYFUNCTION("""COMPUTED_VALUE"""),"gensyn.ai")</f>
        <v>gensyn.ai</v>
      </c>
    </row>
    <row r="1254">
      <c r="A1254" s="6" t="str">
        <f>IFERROR(__xludf.DUMMYFUNCTION("""COMPUTED_VALUE"""),"freatic.team")</f>
        <v>freatic.team</v>
      </c>
      <c r="B1254" s="5" t="str">
        <f>IFERROR(__xludf.DUMMYFUNCTION("""COMPUTED_VALUE"""),"puzzlewizards.net")</f>
        <v>puzzlewizards.net</v>
      </c>
    </row>
    <row r="1255">
      <c r="A1255" s="5" t="str">
        <f>IFERROR(__xludf.DUMMYFUNCTION("""COMPUTED_VALUE"""),"freenome.com")</f>
        <v>freenome.com</v>
      </c>
      <c r="B1255" s="5" t="str">
        <f>IFERROR(__xludf.DUMMYFUNCTION("""COMPUTED_VALUE"""),"glorify-app.com")</f>
        <v>glorify-app.com</v>
      </c>
    </row>
    <row r="1256">
      <c r="A1256" s="5" t="str">
        <f>IFERROR(__xludf.DUMMYFUNCTION("""COMPUTED_VALUE"""),"fu.do")</f>
        <v>fu.do</v>
      </c>
      <c r="B1256" s="5" t="str">
        <f>IFERROR(__xludf.DUMMYFUNCTION("""COMPUTED_VALUE"""),"glossbird.com")</f>
        <v>glossbird.com</v>
      </c>
    </row>
    <row r="1257">
      <c r="A1257" s="5" t="str">
        <f>IFERROR(__xludf.DUMMYFUNCTION("""COMPUTED_VALUE"""),"functionhealth.com")</f>
        <v>functionhealth.com</v>
      </c>
      <c r="B1257" s="5" t="str">
        <f>IFERROR(__xludf.DUMMYFUNCTION("""COMPUTED_VALUE"""),"glowing.com")</f>
        <v>glowing.com</v>
      </c>
    </row>
    <row r="1258">
      <c r="A1258" s="5" t="str">
        <f>IFERROR(__xludf.DUMMYFUNCTION("""COMPUTED_VALUE"""),"functiononcology.com")</f>
        <v>functiononcology.com</v>
      </c>
      <c r="B1258" s="6" t="str">
        <f>IFERROR(__xludf.DUMMYFUNCTION("""COMPUTED_VALUE"""),"glyf.space")</f>
        <v>glyf.space</v>
      </c>
    </row>
    <row r="1259">
      <c r="A1259" s="6" t="str">
        <f>IFERROR(__xludf.DUMMYFUNCTION("""COMPUTED_VALUE"""),"fwb.help")</f>
        <v>fwb.help</v>
      </c>
      <c r="B1259" s="5" t="str">
        <f>IFERROR(__xludf.DUMMYFUNCTION("""COMPUTED_VALUE"""),"gooddata.com")</f>
        <v>gooddata.com</v>
      </c>
    </row>
    <row r="1260">
      <c r="A1260" s="5" t="str">
        <f>IFERROR(__xludf.DUMMYFUNCTION("""COMPUTED_VALUE"""),"gamebeast.gg")</f>
        <v>gamebeast.gg</v>
      </c>
      <c r="B1260" s="6" t="str">
        <f>IFERROR(__xludf.DUMMYFUNCTION("""COMPUTED_VALUE"""),"graphite.dev")</f>
        <v>graphite.dev</v>
      </c>
    </row>
    <row r="1261">
      <c r="A1261" s="5" t="str">
        <f>IFERROR(__xludf.DUMMYFUNCTION("""COMPUTED_VALUE"""),"gamerxsociety.com")</f>
        <v>gamerxsociety.com</v>
      </c>
      <c r="B1261" s="5" t="str">
        <f>IFERROR(__xludf.DUMMYFUNCTION("""COMPUTED_VALUE"""),"greenlight.com")</f>
        <v>greenlight.com</v>
      </c>
    </row>
    <row r="1262">
      <c r="A1262" s="5" t="str">
        <f>IFERROR(__xludf.DUMMYFUNCTION("""COMPUTED_VALUE"""),"gatebio.com")</f>
        <v>gatebio.com</v>
      </c>
      <c r="B1262" s="5" t="str">
        <f>IFERROR(__xludf.DUMMYFUNCTION("""COMPUTED_VALUE"""),"greether.com")</f>
        <v>greether.com</v>
      </c>
    </row>
    <row r="1263">
      <c r="A1263" s="5" t="str">
        <f>IFERROR(__xludf.DUMMYFUNCTION("""COMPUTED_VALUE"""),"gc-tx.com")</f>
        <v>gc-tx.com</v>
      </c>
      <c r="B1263" s="5" t="str">
        <f>IFERROR(__xludf.DUMMYFUNCTION("""COMPUTED_VALUE"""),"grepr.ai")</f>
        <v>grepr.ai</v>
      </c>
    </row>
    <row r="1264">
      <c r="A1264" s="5" t="str">
        <f>IFERROR(__xludf.DUMMYFUNCTION("""COMPUTED_VALUE"""),"genesistherapeutics.ai")</f>
        <v>genesistherapeutics.ai</v>
      </c>
      <c r="B1264" s="5" t="str">
        <f>IFERROR(__xludf.DUMMYFUNCTION("""COMPUTED_VALUE"""),"gridsnap.com")</f>
        <v>gridsnap.com</v>
      </c>
    </row>
    <row r="1265">
      <c r="A1265" s="5" t="str">
        <f>IFERROR(__xludf.DUMMYFUNCTION("""COMPUTED_VALUE"""),"gensyn.ai")</f>
        <v>gensyn.ai</v>
      </c>
      <c r="B1265" s="5" t="str">
        <f>IFERROR(__xludf.DUMMYFUNCTION("""COMPUTED_VALUE"""),"gymclassvr.com")</f>
        <v>gymclassvr.com</v>
      </c>
    </row>
    <row r="1266">
      <c r="A1266" s="5" t="str">
        <f>IFERROR(__xludf.DUMMYFUNCTION("""COMPUTED_VALUE"""),"puzzlewizards.net")</f>
        <v>puzzlewizards.net</v>
      </c>
      <c r="B1266" s="5" t="str">
        <f>IFERROR(__xludf.DUMMYFUNCTION("""COMPUTED_VALUE"""),"hadrian.co")</f>
        <v>hadrian.co</v>
      </c>
    </row>
    <row r="1267">
      <c r="A1267" s="5" t="str">
        <f>IFERROR(__xludf.DUMMYFUNCTION("""COMPUTED_VALUE"""),"glorify-app.com")</f>
        <v>glorify-app.com</v>
      </c>
      <c r="B1267" s="5" t="str">
        <f>IFERROR(__xludf.DUMMYFUNCTION("""COMPUTED_VALUE"""),"halliday.xyz")</f>
        <v>halliday.xyz</v>
      </c>
    </row>
    <row r="1268">
      <c r="A1268" s="5" t="str">
        <f>IFERROR(__xludf.DUMMYFUNCTION("""COMPUTED_VALUE"""),"glossbird.com")</f>
        <v>glossbird.com</v>
      </c>
      <c r="B1268" s="5" t="str">
        <f>IFERROR(__xludf.DUMMYFUNCTION("""COMPUTED_VALUE"""),"harbor.com")</f>
        <v>harbor.com</v>
      </c>
    </row>
    <row r="1269">
      <c r="A1269" s="5" t="str">
        <f>IFERROR(__xludf.DUMMYFUNCTION("""COMPUTED_VALUE"""),"glowing.com")</f>
        <v>glowing.com</v>
      </c>
      <c r="B1269" s="5" t="str">
        <f>IFERROR(__xludf.DUMMYFUNCTION("""COMPUTED_VALUE"""),"headway.co")</f>
        <v>headway.co</v>
      </c>
    </row>
    <row r="1270">
      <c r="A1270" s="6" t="str">
        <f>IFERROR(__xludf.DUMMYFUNCTION("""COMPUTED_VALUE"""),"glyf.space")</f>
        <v>glyf.space</v>
      </c>
      <c r="B1270" s="6" t="str">
        <f>IFERROR(__xludf.DUMMYFUNCTION("""COMPUTED_VALUE"""),"heat.tech")</f>
        <v>heat.tech</v>
      </c>
    </row>
    <row r="1271">
      <c r="A1271" s="5" t="str">
        <f>IFERROR(__xludf.DUMMYFUNCTION("""COMPUTED_VALUE"""),"gooddata.com")</f>
        <v>gooddata.com</v>
      </c>
      <c r="B1271" s="5" t="str">
        <f>IFERROR(__xludf.DUMMYFUNCTION("""COMPUTED_VALUE"""),"hebbia.ai")</f>
        <v>hebbia.ai</v>
      </c>
    </row>
    <row r="1272">
      <c r="A1272" s="6" t="str">
        <f>IFERROR(__xludf.DUMMYFUNCTION("""COMPUTED_VALUE"""),"graphite.dev")</f>
        <v>graphite.dev</v>
      </c>
      <c r="B1272" s="5" t="str">
        <f>IFERROR(__xludf.DUMMYFUNCTION("""COMPUTED_VALUE"""),"hedra.com")</f>
        <v>hedra.com</v>
      </c>
    </row>
    <row r="1273">
      <c r="A1273" s="5" t="str">
        <f>IFERROR(__xludf.DUMMYFUNCTION("""COMPUTED_VALUE"""),"greenlight.com")</f>
        <v>greenlight.com</v>
      </c>
      <c r="B1273" s="5" t="str">
        <f>IFERROR(__xludf.DUMMYFUNCTION("""COMPUTED_VALUE"""),"hntlabs.com")</f>
        <v>hntlabs.com</v>
      </c>
    </row>
    <row r="1274">
      <c r="A1274" s="5" t="str">
        <f>IFERROR(__xludf.DUMMYFUNCTION("""COMPUTED_VALUE"""),"greether.com")</f>
        <v>greether.com</v>
      </c>
      <c r="B1274" s="6" t="str">
        <f>IFERROR(__xludf.DUMMYFUNCTION("""COMPUTED_VALUE"""),"hex.tech")</f>
        <v>hex.tech</v>
      </c>
    </row>
    <row r="1275">
      <c r="A1275" s="5" t="str">
        <f>IFERROR(__xludf.DUMMYFUNCTION("""COMPUTED_VALUE"""),"grepr.ai")</f>
        <v>grepr.ai</v>
      </c>
      <c r="B1275" s="5" t="str">
        <f>IFERROR(__xludf.DUMMYFUNCTION("""COMPUTED_VALUE"""),"hipcamp.com")</f>
        <v>hipcamp.com</v>
      </c>
    </row>
    <row r="1276">
      <c r="A1276" s="5" t="str">
        <f>IFERROR(__xludf.DUMMYFUNCTION("""COMPUTED_VALUE"""),"gridsnap.com")</f>
        <v>gridsnap.com</v>
      </c>
      <c r="B1276" s="5" t="str">
        <f>IFERROR(__xludf.DUMMYFUNCTION("""COMPUTED_VALUE"""),"hippocraticai.com")</f>
        <v>hippocraticai.com</v>
      </c>
    </row>
    <row r="1277">
      <c r="A1277" s="5" t="str">
        <f>IFERROR(__xludf.DUMMYFUNCTION("""COMPUTED_VALUE"""),"gymclassvr.com")</f>
        <v>gymclassvr.com</v>
      </c>
      <c r="B1277" s="5" t="str">
        <f>IFERROR(__xludf.DUMMYFUNCTION("""COMPUTED_VALUE"""),"joinhonor.com")</f>
        <v>joinhonor.com</v>
      </c>
    </row>
    <row r="1278">
      <c r="A1278" s="5" t="str">
        <f>IFERROR(__xludf.DUMMYFUNCTION("""COMPUTED_VALUE"""),"hadrian.co")</f>
        <v>hadrian.co</v>
      </c>
      <c r="B1278" s="5" t="str">
        <f>IFERROR(__xludf.DUMMYFUNCTION("""COMPUTED_VALUE"""),"hyperexponential.com")</f>
        <v>hyperexponential.com</v>
      </c>
    </row>
    <row r="1279">
      <c r="A1279" s="5" t="str">
        <f>IFERROR(__xludf.DUMMYFUNCTION("""COMPUTED_VALUE"""),"halliday.xyz")</f>
        <v>halliday.xyz</v>
      </c>
      <c r="B1279" s="5" t="str">
        <f>IFERROR(__xludf.DUMMYFUNCTION("""COMPUTED_VALUE"""),"ifttt.com")</f>
        <v>ifttt.com</v>
      </c>
    </row>
    <row r="1280">
      <c r="A1280" s="5" t="str">
        <f>IFERROR(__xludf.DUMMYFUNCTION("""COMPUTED_VALUE"""),"harbor.com")</f>
        <v>harbor.com</v>
      </c>
      <c r="B1280" s="5" t="str">
        <f>IFERROR(__xludf.DUMMYFUNCTION("""COMPUTED_VALUE"""),"illumio.com")</f>
        <v>illumio.com</v>
      </c>
    </row>
    <row r="1281">
      <c r="A1281" s="5" t="str">
        <f>IFERROR(__xludf.DUMMYFUNCTION("""COMPUTED_VALUE"""),"headway.co")</f>
        <v>headway.co</v>
      </c>
      <c r="B1281" s="5" t="str">
        <f>IFERROR(__xludf.DUMMYFUNCTION("""COMPUTED_VALUE"""),"imply.io")</f>
        <v>imply.io</v>
      </c>
    </row>
    <row r="1282">
      <c r="A1282" s="6" t="str">
        <f>IFERROR(__xludf.DUMMYFUNCTION("""COMPUTED_VALUE"""),"heat.tech")</f>
        <v>heat.tech</v>
      </c>
      <c r="B1282" s="5" t="str">
        <f>IFERROR(__xludf.DUMMYFUNCTION("""COMPUTED_VALUE"""),"improbable.io")</f>
        <v>improbable.io</v>
      </c>
    </row>
    <row r="1283">
      <c r="A1283" s="5" t="str">
        <f>IFERROR(__xludf.DUMMYFUNCTION("""COMPUTED_VALUE"""),"hebbia.ai")</f>
        <v>hebbia.ai</v>
      </c>
      <c r="B1283" s="6" t="str">
        <f>IFERROR(__xludf.DUMMYFUNCTION("""COMPUTED_VALUE"""),"inceptive.life")</f>
        <v>inceptive.life</v>
      </c>
    </row>
    <row r="1284">
      <c r="A1284" s="5" t="str">
        <f>IFERROR(__xludf.DUMMYFUNCTION("""COMPUTED_VALUE"""),"hedra.com")</f>
        <v>hedra.com</v>
      </c>
      <c r="B1284" s="6" t="str">
        <f>IFERROR(__xludf.DUMMYFUNCTION("""COMPUTED_VALUE"""),"incite.dev")</f>
        <v>incite.dev</v>
      </c>
    </row>
    <row r="1285">
      <c r="A1285" s="5" t="str">
        <f>IFERROR(__xludf.DUMMYFUNCTION("""COMPUTED_VALUE"""),"hntlabs.com")</f>
        <v>hntlabs.com</v>
      </c>
      <c r="B1285" s="5" t="str">
        <f>IFERROR(__xludf.DUMMYFUNCTION("""COMPUTED_VALUE"""),"incrediblehealth.com")</f>
        <v>incrediblehealth.com</v>
      </c>
    </row>
    <row r="1286">
      <c r="A1286" s="6" t="str">
        <f>IFERROR(__xludf.DUMMYFUNCTION("""COMPUTED_VALUE"""),"hex.tech")</f>
        <v>hex.tech</v>
      </c>
      <c r="B1286" s="6" t="str">
        <f>IFERROR(__xludf.DUMMYFUNCTION("""COMPUTED_VALUE"""),"inductive.bio")</f>
        <v>inductive.bio</v>
      </c>
    </row>
    <row r="1287">
      <c r="A1287" s="5" t="str">
        <f>IFERROR(__xludf.DUMMYFUNCTION("""COMPUTED_VALUE"""),"hipcamp.com")</f>
        <v>hipcamp.com</v>
      </c>
      <c r="B1287" s="5" t="str">
        <f>IFERROR(__xludf.DUMMYFUNCTION("""COMPUTED_VALUE"""),"infiniteathlete.ai")</f>
        <v>infiniteathlete.ai</v>
      </c>
    </row>
    <row r="1288">
      <c r="A1288" s="5" t="str">
        <f>IFERROR(__xludf.DUMMYFUNCTION("""COMPUTED_VALUE"""),"hippocraticai.com")</f>
        <v>hippocraticai.com</v>
      </c>
      <c r="B1288" s="5" t="str">
        <f>IFERROR(__xludf.DUMMYFUNCTION("""COMPUTED_VALUE"""),"infinitemachine.com")</f>
        <v>infinitemachine.com</v>
      </c>
    </row>
    <row r="1289">
      <c r="A1289" s="5" t="str">
        <f>IFERROR(__xludf.DUMMYFUNCTION("""COMPUTED_VALUE"""),"joinhonor.com")</f>
        <v>joinhonor.com</v>
      </c>
      <c r="B1289" s="5" t="str">
        <f>IFERROR(__xludf.DUMMYFUNCTION("""COMPUTED_VALUE"""),"infinitus.ai")</f>
        <v>infinitus.ai</v>
      </c>
    </row>
    <row r="1290">
      <c r="A1290" s="5" t="str">
        <f>IFERROR(__xludf.DUMMYFUNCTION("""COMPUTED_VALUE"""),"hyperexponential.com")</f>
        <v>hyperexponential.com</v>
      </c>
      <c r="B1290" s="5" t="str">
        <f>IFERROR(__xludf.DUMMYFUNCTION("""COMPUTED_VALUE"""),"inngest.com")</f>
        <v>inngest.com</v>
      </c>
    </row>
    <row r="1291">
      <c r="A1291" s="5" t="str">
        <f>IFERROR(__xludf.DUMMYFUNCTION("""COMPUTED_VALUE"""),"ifttt.com")</f>
        <v>ifttt.com</v>
      </c>
      <c r="B1291" s="5" t="str">
        <f>IFERROR(__xludf.DUMMYFUNCTION("""COMPUTED_VALUE"""),"insitro.com")</f>
        <v>insitro.com</v>
      </c>
    </row>
    <row r="1292">
      <c r="A1292" s="5" t="str">
        <f>IFERROR(__xludf.DUMMYFUNCTION("""COMPUTED_VALUE"""),"illumio.com")</f>
        <v>illumio.com</v>
      </c>
      <c r="B1292" s="5" t="str">
        <f>IFERROR(__xludf.DUMMYFUNCTION("""COMPUTED_VALUE"""),"instart.com")</f>
        <v>instart.com</v>
      </c>
    </row>
    <row r="1293">
      <c r="A1293" s="5" t="str">
        <f>IFERROR(__xludf.DUMMYFUNCTION("""COMPUTED_VALUE"""),"imply.io")</f>
        <v>imply.io</v>
      </c>
      <c r="B1293" s="5" t="str">
        <f>IFERROR(__xludf.DUMMYFUNCTION("""COMPUTED_VALUE"""),"intro.co")</f>
        <v>intro.co</v>
      </c>
    </row>
    <row r="1294">
      <c r="A1294" s="5" t="str">
        <f>IFERROR(__xludf.DUMMYFUNCTION("""COMPUTED_VALUE"""),"improbable.io")</f>
        <v>improbable.io</v>
      </c>
      <c r="B1294" s="6" t="str">
        <f>IFERROR(__xludf.DUMMYFUNCTION("""COMPUTED_VALUE"""),"inventa.shop")</f>
        <v>inventa.shop</v>
      </c>
    </row>
    <row r="1295">
      <c r="A1295" s="6" t="str">
        <f>IFERROR(__xludf.DUMMYFUNCTION("""COMPUTED_VALUE"""),"inceptive.life")</f>
        <v>inceptive.life</v>
      </c>
      <c r="B1295" s="5" t="str">
        <f>IFERROR(__xludf.DUMMYFUNCTION("""COMPUTED_VALUE"""),"irreverentlabs.com")</f>
        <v>irreverentlabs.com</v>
      </c>
    </row>
    <row r="1296">
      <c r="A1296" s="6" t="str">
        <f>IFERROR(__xludf.DUMMYFUNCTION("""COMPUTED_VALUE"""),"incite.dev")</f>
        <v>incite.dev</v>
      </c>
      <c r="B1296" s="5" t="str">
        <f>IFERROR(__xludf.DUMMYFUNCTION("""COMPUTED_VALUE"""),"isovalent.com")</f>
        <v>isovalent.com</v>
      </c>
    </row>
    <row r="1297">
      <c r="A1297" s="5" t="str">
        <f>IFERROR(__xludf.DUMMYFUNCTION("""COMPUTED_VALUE"""),"incrediblehealth.com")</f>
        <v>incrediblehealth.com</v>
      </c>
      <c r="B1297" s="6" t="str">
        <f>IFERROR(__xludf.DUMMYFUNCTION("""COMPUTED_VALUE"""),"iyk.app")</f>
        <v>iyk.app</v>
      </c>
    </row>
    <row r="1298">
      <c r="A1298" s="6" t="str">
        <f>IFERROR(__xludf.DUMMYFUNCTION("""COMPUTED_VALUE"""),"inductive.bio")</f>
        <v>inductive.bio</v>
      </c>
      <c r="B1298" s="5" t="str">
        <f>IFERROR(__xludf.DUMMYFUNCTION("""COMPUTED_VALUE"""),"tryjeeves.com")</f>
        <v>tryjeeves.com</v>
      </c>
    </row>
    <row r="1299">
      <c r="A1299" s="5" t="str">
        <f>IFERROR(__xludf.DUMMYFUNCTION("""COMPUTED_VALUE"""),"infiniteathlete.ai")</f>
        <v>infiniteathlete.ai</v>
      </c>
      <c r="B1299" s="5" t="str">
        <f>IFERROR(__xludf.DUMMYFUNCTION("""COMPUTED_VALUE"""),"journera.com")</f>
        <v>journera.com</v>
      </c>
    </row>
    <row r="1300">
      <c r="A1300" s="5" t="str">
        <f>IFERROR(__xludf.DUMMYFUNCTION("""COMPUTED_VALUE"""),"infinitemachine.com")</f>
        <v>infinitemachine.com</v>
      </c>
      <c r="B1300" s="5" t="str">
        <f>IFERROR(__xludf.DUMMYFUNCTION("""COMPUTED_VALUE"""),"juniperplatform.com")</f>
        <v>juniperplatform.com</v>
      </c>
    </row>
    <row r="1301">
      <c r="A1301" s="5" t="str">
        <f>IFERROR(__xludf.DUMMYFUNCTION("""COMPUTED_VALUE"""),"infinitus.ai")</f>
        <v>infinitus.ai</v>
      </c>
      <c r="B1301" s="5" t="str">
        <f>IFERROR(__xludf.DUMMYFUNCTION("""COMPUTED_VALUE"""),"k-id.com")</f>
        <v>k-id.com</v>
      </c>
    </row>
    <row r="1302">
      <c r="A1302" s="5" t="str">
        <f>IFERROR(__xludf.DUMMYFUNCTION("""COMPUTED_VALUE"""),"inngest.com")</f>
        <v>inngest.com</v>
      </c>
      <c r="B1302" s="5" t="str">
        <f>IFERROR(__xludf.DUMMYFUNCTION("""COMPUTED_VALUE"""),"k12crypto.com")</f>
        <v>k12crypto.com</v>
      </c>
    </row>
    <row r="1303">
      <c r="A1303" s="5" t="str">
        <f>IFERROR(__xludf.DUMMYFUNCTION("""COMPUTED_VALUE"""),"insitro.com")</f>
        <v>insitro.com</v>
      </c>
      <c r="B1303" s="5" t="str">
        <f>IFERROR(__xludf.DUMMYFUNCTION("""COMPUTED_VALUE"""),"kadabrainc.com")</f>
        <v>kadabrainc.com</v>
      </c>
    </row>
    <row r="1304">
      <c r="A1304" s="5" t="str">
        <f>IFERROR(__xludf.DUMMYFUNCTION("""COMPUTED_VALUE"""),"instart.com")</f>
        <v>instart.com</v>
      </c>
      <c r="B1304" s="5" t="str">
        <f>IFERROR(__xludf.DUMMYFUNCTION("""COMPUTED_VALUE"""),"kaedim3d.com")</f>
        <v>kaedim3d.com</v>
      </c>
    </row>
    <row r="1305">
      <c r="A1305" s="5" t="str">
        <f>IFERROR(__xludf.DUMMYFUNCTION("""COMPUTED_VALUE"""),"intro.co")</f>
        <v>intro.co</v>
      </c>
      <c r="B1305" s="5" t="str">
        <f>IFERROR(__xludf.DUMMYFUNCTION("""COMPUTED_VALUE"""),"kaizenlabs.co")</f>
        <v>kaizenlabs.co</v>
      </c>
    </row>
    <row r="1306">
      <c r="A1306" s="6" t="str">
        <f>IFERROR(__xludf.DUMMYFUNCTION("""COMPUTED_VALUE"""),"inventa.shop")</f>
        <v>inventa.shop</v>
      </c>
      <c r="B1306" s="5" t="str">
        <f>IFERROR(__xludf.DUMMYFUNCTION("""COMPUTED_VALUE"""),"karyostudios.com")</f>
        <v>karyostudios.com</v>
      </c>
    </row>
    <row r="1307">
      <c r="A1307" s="5" t="str">
        <f>IFERROR(__xludf.DUMMYFUNCTION("""COMPUTED_VALUE"""),"irreverentlabs.com")</f>
        <v>irreverentlabs.com</v>
      </c>
      <c r="B1307" s="5" t="str">
        <f>IFERROR(__xludf.DUMMYFUNCTION("""COMPUTED_VALUE"""),"keepfinancial.com")</f>
        <v>keepfinancial.com</v>
      </c>
    </row>
    <row r="1308">
      <c r="A1308" s="5" t="str">
        <f>IFERROR(__xludf.DUMMYFUNCTION("""COMPUTED_VALUE"""),"isovalent.com")</f>
        <v>isovalent.com</v>
      </c>
      <c r="B1308" s="6" t="str">
        <f>IFERROR(__xludf.DUMMYFUNCTION("""COMPUTED_VALUE"""),"keep.network")</f>
        <v>keep.network</v>
      </c>
    </row>
    <row r="1309">
      <c r="A1309" s="6" t="str">
        <f>IFERROR(__xludf.DUMMYFUNCTION("""COMPUTED_VALUE"""),"iyk.app")</f>
        <v>iyk.app</v>
      </c>
      <c r="B1309" s="5" t="str">
        <f>IFERROR(__xludf.DUMMYFUNCTION("""COMPUTED_VALUE"""),"kikiworld.io")</f>
        <v>kikiworld.io</v>
      </c>
    </row>
    <row r="1310">
      <c r="A1310" s="5" t="str">
        <f>IFERROR(__xludf.DUMMYFUNCTION("""COMPUTED_VALUE"""),"tryjeeves.com")</f>
        <v>tryjeeves.com</v>
      </c>
      <c r="B1310" s="5" t="str">
        <f>IFERROR(__xludf.DUMMYFUNCTION("""COMPUTED_VALUE"""),"livekindred.com")</f>
        <v>livekindred.com</v>
      </c>
    </row>
    <row r="1311">
      <c r="A1311" s="5" t="str">
        <f>IFERROR(__xludf.DUMMYFUNCTION("""COMPUTED_VALUE"""),"journera.com")</f>
        <v>journera.com</v>
      </c>
      <c r="B1311" s="5" t="str">
        <f>IFERROR(__xludf.DUMMYFUNCTION("""COMPUTED_VALUE"""),"knownwell.co")</f>
        <v>knownwell.co</v>
      </c>
    </row>
    <row r="1312">
      <c r="A1312" s="5" t="str">
        <f>IFERROR(__xludf.DUMMYFUNCTION("""COMPUTED_VALUE"""),"juniperplatform.com")</f>
        <v>juniperplatform.com</v>
      </c>
      <c r="B1312" s="5" t="str">
        <f>IFERROR(__xludf.DUMMYFUNCTION("""COMPUTED_VALUE"""),"koboldmetals.com")</f>
        <v>koboldmetals.com</v>
      </c>
    </row>
    <row r="1313">
      <c r="A1313" s="5" t="str">
        <f>IFERROR(__xludf.DUMMYFUNCTION("""COMPUTED_VALUE"""),"k-id.com")</f>
        <v>k-id.com</v>
      </c>
      <c r="B1313" s="5" t="str">
        <f>IFERROR(__xludf.DUMMYFUNCTION("""COMPUTED_VALUE"""),"komodohealth.com")</f>
        <v>komodohealth.com</v>
      </c>
    </row>
    <row r="1314">
      <c r="A1314" s="5" t="str">
        <f>IFERROR(__xludf.DUMMYFUNCTION("""COMPUTED_VALUE"""),"k12crypto.com")</f>
        <v>k12crypto.com</v>
      </c>
      <c r="B1314" s="5" t="str">
        <f>IFERROR(__xludf.DUMMYFUNCTION("""COMPUTED_VALUE"""),"kosen.ai")</f>
        <v>kosen.ai</v>
      </c>
    </row>
    <row r="1315">
      <c r="A1315" s="5" t="str">
        <f>IFERROR(__xludf.DUMMYFUNCTION("""COMPUTED_VALUE"""),"kadabrainc.com")</f>
        <v>kadabrainc.com</v>
      </c>
      <c r="B1315" s="5" t="str">
        <f>IFERROR(__xludf.DUMMYFUNCTION("""COMPUTED_VALUE"""),"kweli.tv")</f>
        <v>kweli.tv</v>
      </c>
    </row>
    <row r="1316">
      <c r="A1316" s="5" t="str">
        <f>IFERROR(__xludf.DUMMYFUNCTION("""COMPUTED_VALUE"""),"kaedim3d.com")</f>
        <v>kaedim3d.com</v>
      </c>
      <c r="B1316" s="5" t="str">
        <f>IFERROR(__xludf.DUMMYFUNCTION("""COMPUTED_VALUE"""),"labelbox.com")</f>
        <v>labelbox.com</v>
      </c>
    </row>
    <row r="1317">
      <c r="A1317" s="5" t="str">
        <f>IFERROR(__xludf.DUMMYFUNCTION("""COMPUTED_VALUE"""),"kaizenlabs.co")</f>
        <v>kaizenlabs.co</v>
      </c>
      <c r="B1317" s="5" t="str">
        <f>IFERROR(__xludf.DUMMYFUNCTION("""COMPUTED_VALUE"""),"labster.com")</f>
        <v>labster.com</v>
      </c>
    </row>
    <row r="1318">
      <c r="A1318" s="5" t="str">
        <f>IFERROR(__xludf.DUMMYFUNCTION("""COMPUTED_VALUE"""),"karyostudios.com")</f>
        <v>karyostudios.com</v>
      </c>
      <c r="B1318" s="6" t="str">
        <f>IFERROR(__xludf.DUMMYFUNCTION("""COMPUTED_VALUE"""),"layerzero.network")</f>
        <v>layerzero.network</v>
      </c>
    </row>
    <row r="1319">
      <c r="A1319" s="5" t="str">
        <f>IFERROR(__xludf.DUMMYFUNCTION("""COMPUTED_VALUE"""),"keepfinancial.com")</f>
        <v>keepfinancial.com</v>
      </c>
      <c r="B1319" s="6" t="str">
        <f>IFERROR(__xludf.DUMMYFUNCTION("""COMPUTED_VALUE"""),"legionstudio.dev")</f>
        <v>legionstudio.dev</v>
      </c>
    </row>
    <row r="1320">
      <c r="A1320" s="6" t="str">
        <f>IFERROR(__xludf.DUMMYFUNCTION("""COMPUTED_VALUE"""),"keep.network")</f>
        <v>keep.network</v>
      </c>
      <c r="B1320" s="5" t="str">
        <f>IFERROR(__xludf.DUMMYFUNCTION("""COMPUTED_VALUE"""),"levelheadedgames.com")</f>
        <v>levelheadedgames.com</v>
      </c>
    </row>
    <row r="1321">
      <c r="A1321" s="5" t="str">
        <f>IFERROR(__xludf.DUMMYFUNCTION("""COMPUTED_VALUE"""),"kikiworld.io")</f>
        <v>kikiworld.io</v>
      </c>
      <c r="B1321" s="5" t="str">
        <f>IFERROR(__xludf.DUMMYFUNCTION("""COMPUTED_VALUE"""),"levels.com")</f>
        <v>levels.com</v>
      </c>
    </row>
    <row r="1322">
      <c r="A1322" s="5" t="str">
        <f>IFERROR(__xludf.DUMMYFUNCTION("""COMPUTED_VALUE"""),"livekindred.com")</f>
        <v>livekindred.com</v>
      </c>
      <c r="B1322" s="5" t="str">
        <f>IFERROR(__xludf.DUMMYFUNCTION("""COMPUTED_VALUE"""),"lido.fi")</f>
        <v>lido.fi</v>
      </c>
    </row>
    <row r="1323">
      <c r="A1323" s="5" t="str">
        <f>IFERROR(__xludf.DUMMYFUNCTION("""COMPUTED_VALUE"""),"knownwell.co")</f>
        <v>knownwell.co</v>
      </c>
      <c r="B1323" s="5" t="str">
        <f>IFERROR(__xludf.DUMMYFUNCTION("""COMPUTED_VALUE"""),"lighter.xyz")</f>
        <v>lighter.xyz</v>
      </c>
    </row>
    <row r="1324">
      <c r="A1324" s="5" t="str">
        <f>IFERROR(__xludf.DUMMYFUNCTION("""COMPUTED_VALUE"""),"koboldmetals.com")</f>
        <v>koboldmetals.com</v>
      </c>
      <c r="B1324" s="5" t="str">
        <f>IFERROR(__xludf.DUMMYFUNCTION("""COMPUTED_VALUE"""),"lightspark.com")</f>
        <v>lightspark.com</v>
      </c>
    </row>
    <row r="1325">
      <c r="A1325" s="5" t="str">
        <f>IFERROR(__xludf.DUMMYFUNCTION("""COMPUTED_VALUE"""),"komodohealth.com")</f>
        <v>komodohealth.com</v>
      </c>
      <c r="B1325" s="5" t="str">
        <f>IFERROR(__xludf.DUMMYFUNCTION("""COMPUTED_VALUE"""),"lightup.ai")</f>
        <v>lightup.ai</v>
      </c>
    </row>
    <row r="1326">
      <c r="A1326" s="5" t="str">
        <f>IFERROR(__xludf.DUMMYFUNCTION("""COMPUTED_VALUE"""),"kosen.ai")</f>
        <v>kosen.ai</v>
      </c>
      <c r="B1326" s="5" t="str">
        <f>IFERROR(__xludf.DUMMYFUNCTION("""COMPUTED_VALUE"""),"lilsnack.co")</f>
        <v>lilsnack.co</v>
      </c>
    </row>
    <row r="1327">
      <c r="A1327" s="5" t="str">
        <f>IFERROR(__xludf.DUMMYFUNCTION("""COMPUTED_VALUE"""),"kweli.tv")</f>
        <v>kweli.tv</v>
      </c>
      <c r="B1327" s="5" t="str">
        <f>IFERROR(__xludf.DUMMYFUNCTION("""COMPUTED_VALUE"""),"li.me")</f>
        <v>li.me</v>
      </c>
    </row>
    <row r="1328">
      <c r="A1328" s="5" t="str">
        <f>IFERROR(__xludf.DUMMYFUNCTION("""COMPUTED_VALUE"""),"labelbox.com")</f>
        <v>labelbox.com</v>
      </c>
      <c r="B1328" s="5" t="str">
        <f>IFERROR(__xludf.DUMMYFUNCTION("""COMPUTED_VALUE"""),"limitless.ai")</f>
        <v>limitless.ai</v>
      </c>
    </row>
    <row r="1329">
      <c r="A1329" s="5" t="str">
        <f>IFERROR(__xludf.DUMMYFUNCTION("""COMPUTED_VALUE"""),"labster.com")</f>
        <v>labster.com</v>
      </c>
      <c r="B1329" s="5" t="str">
        <f>IFERROR(__xludf.DUMMYFUNCTION("""COMPUTED_VALUE"""),"linq.gg")</f>
        <v>linq.gg</v>
      </c>
    </row>
    <row r="1330">
      <c r="A1330" s="6" t="str">
        <f>IFERROR(__xludf.DUMMYFUNCTION("""COMPUTED_VALUE"""),"layerzero.network")</f>
        <v>layerzero.network</v>
      </c>
      <c r="B1330" s="5" t="str">
        <f>IFERROR(__xludf.DUMMYFUNCTION("""COMPUTED_VALUE"""),"liveaware.io")</f>
        <v>liveaware.io</v>
      </c>
    </row>
    <row r="1331">
      <c r="A1331" s="6" t="str">
        <f>IFERROR(__xludf.DUMMYFUNCTION("""COMPUTED_VALUE"""),"legionstudio.dev")</f>
        <v>legionstudio.dev</v>
      </c>
      <c r="B1331" s="5" t="str">
        <f>IFERROR(__xludf.DUMMYFUNCTION("""COMPUTED_VALUE"""),"getlocalmotion.com")</f>
        <v>getlocalmotion.com</v>
      </c>
    </row>
    <row r="1332">
      <c r="A1332" s="5" t="str">
        <f>IFERROR(__xludf.DUMMYFUNCTION("""COMPUTED_VALUE"""),"levelheadedgames.com")</f>
        <v>levelheadedgames.com</v>
      </c>
      <c r="B1332" s="5" t="str">
        <f>IFERROR(__xludf.DUMMYFUNCTION("""COMPUTED_VALUE"""),"shoplocale.com")</f>
        <v>shoplocale.com</v>
      </c>
    </row>
    <row r="1333">
      <c r="A1333" s="5" t="str">
        <f>IFERROR(__xludf.DUMMYFUNCTION("""COMPUTED_VALUE"""),"levels.com")</f>
        <v>levels.com</v>
      </c>
      <c r="B1333" s="5" t="str">
        <f>IFERROR(__xludf.DUMMYFUNCTION("""COMPUTED_VALUE"""),"loft.com.br")</f>
        <v>loft.com.br</v>
      </c>
    </row>
    <row r="1334">
      <c r="A1334" s="5" t="str">
        <f>IFERROR(__xludf.DUMMYFUNCTION("""COMPUTED_VALUE"""),"lido.fi")</f>
        <v>lido.fi</v>
      </c>
      <c r="B1334" s="5" t="str">
        <f>IFERROR(__xludf.DUMMYFUNCTION("""COMPUTED_VALUE"""),"loftia.gg")</f>
        <v>loftia.gg</v>
      </c>
    </row>
    <row r="1335">
      <c r="A1335" s="5" t="str">
        <f>IFERROR(__xludf.DUMMYFUNCTION("""COMPUTED_VALUE"""),"lighter.xyz")</f>
        <v>lighter.xyz</v>
      </c>
      <c r="B1335" s="5" t="str">
        <f>IFERROR(__xludf.DUMMYFUNCTION("""COMPUTED_VALUE"""),"loopcrypto.xyz")</f>
        <v>loopcrypto.xyz</v>
      </c>
    </row>
    <row r="1336">
      <c r="A1336" s="5" t="str">
        <f>IFERROR(__xludf.DUMMYFUNCTION("""COMPUTED_VALUE"""),"lightspark.com")</f>
        <v>lightspark.com</v>
      </c>
      <c r="B1336" s="5" t="str">
        <f>IFERROR(__xludf.DUMMYFUNCTION("""COMPUTED_VALUE"""),"lootrush.com")</f>
        <v>lootrush.com</v>
      </c>
    </row>
    <row r="1337">
      <c r="A1337" s="5" t="str">
        <f>IFERROR(__xludf.DUMMYFUNCTION("""COMPUTED_VALUE"""),"lightup.ai")</f>
        <v>lightup.ai</v>
      </c>
      <c r="B1337" s="5" t="str">
        <f>IFERROR(__xludf.DUMMYFUNCTION("""COMPUTED_VALUE"""),"ltse.com")</f>
        <v>ltse.com</v>
      </c>
    </row>
    <row r="1338">
      <c r="A1338" s="5" t="str">
        <f>IFERROR(__xludf.DUMMYFUNCTION("""COMPUTED_VALUE"""),"lilsnack.co")</f>
        <v>lilsnack.co</v>
      </c>
      <c r="B1338" s="5" t="str">
        <f>IFERROR(__xludf.DUMMYFUNCTION("""COMPUTED_VALUE"""),"lumalabs.ai")</f>
        <v>lumalabs.ai</v>
      </c>
    </row>
    <row r="1339">
      <c r="A1339" s="5" t="str">
        <f>IFERROR(__xludf.DUMMYFUNCTION("""COMPUTED_VALUE"""),"li.me")</f>
        <v>li.me</v>
      </c>
      <c r="B1339" s="5" t="str">
        <f>IFERROR(__xludf.DUMMYFUNCTION("""COMPUTED_VALUE"""),"playkinderworld.com")</f>
        <v>playkinderworld.com</v>
      </c>
    </row>
    <row r="1340">
      <c r="A1340" s="5" t="str">
        <f>IFERROR(__xludf.DUMMYFUNCTION("""COMPUTED_VALUE"""),"limitless.ai")</f>
        <v>limitless.ai</v>
      </c>
      <c r="B1340" s="5" t="str">
        <f>IFERROR(__xludf.DUMMYFUNCTION("""COMPUTED_VALUE"""),"lumos.com")</f>
        <v>lumos.com</v>
      </c>
    </row>
    <row r="1341">
      <c r="A1341" s="5" t="str">
        <f>IFERROR(__xludf.DUMMYFUNCTION("""COMPUTED_VALUE"""),"linq.gg")</f>
        <v>linq.gg</v>
      </c>
      <c r="B1341" s="5" t="str">
        <f>IFERROR(__xludf.DUMMYFUNCTION("""COMPUTED_VALUE"""),"macro.com")</f>
        <v>macro.com</v>
      </c>
    </row>
    <row r="1342">
      <c r="A1342" s="5" t="str">
        <f>IFERROR(__xludf.DUMMYFUNCTION("""COMPUTED_VALUE"""),"liveaware.io")</f>
        <v>liveaware.io</v>
      </c>
      <c r="B1342" s="6" t="str">
        <f>IFERROR(__xludf.DUMMYFUNCTION("""COMPUTED_VALUE"""),"magiccircle.studio")</f>
        <v>magiccircle.studio</v>
      </c>
    </row>
    <row r="1343">
      <c r="A1343" s="5" t="str">
        <f>IFERROR(__xludf.DUMMYFUNCTION("""COMPUTED_VALUE"""),"getlocalmotion.com")</f>
        <v>getlocalmotion.com</v>
      </c>
      <c r="B1343" s="5" t="str">
        <f>IFERROR(__xludf.DUMMYFUNCTION("""COMPUTED_VALUE"""),"magicleap.com")</f>
        <v>magicleap.com</v>
      </c>
    </row>
    <row r="1344">
      <c r="A1344" s="5" t="str">
        <f>IFERROR(__xludf.DUMMYFUNCTION("""COMPUTED_VALUE"""),"shoplocale.com")</f>
        <v>shoplocale.com</v>
      </c>
      <c r="B1344" s="5" t="str">
        <f>IFERROR(__xludf.DUMMYFUNCTION("""COMPUTED_VALUE"""),"themainframe.com")</f>
        <v>themainframe.com</v>
      </c>
    </row>
    <row r="1345">
      <c r="A1345" s="5" t="str">
        <f>IFERROR(__xludf.DUMMYFUNCTION("""COMPUTED_VALUE"""),"loft.com.br")</f>
        <v>loft.com.br</v>
      </c>
      <c r="B1345" s="5" t="str">
        <f>IFERROR(__xludf.DUMMYFUNCTION("""COMPUTED_VALUE"""),"makerdao.com")</f>
        <v>makerdao.com</v>
      </c>
    </row>
    <row r="1346">
      <c r="A1346" s="5" t="str">
        <f>IFERROR(__xludf.DUMMYFUNCTION("""COMPUTED_VALUE"""),"loftia.gg")</f>
        <v>loftia.gg</v>
      </c>
      <c r="B1346" s="6" t="str">
        <f>IFERROR(__xludf.DUMMYFUNCTION("""COMPUTED_VALUE"""),"mana.bio")</f>
        <v>mana.bio</v>
      </c>
    </row>
    <row r="1347">
      <c r="A1347" s="5" t="str">
        <f>IFERROR(__xludf.DUMMYFUNCTION("""COMPUTED_VALUE"""),"loopcrypto.xyz")</f>
        <v>loopcrypto.xyz</v>
      </c>
      <c r="B1347" s="5" t="str">
        <f>IFERROR(__xludf.DUMMYFUNCTION("""COMPUTED_VALUE"""),"manifold.xyz")</f>
        <v>manifold.xyz</v>
      </c>
    </row>
    <row r="1348">
      <c r="A1348" s="5" t="str">
        <f>IFERROR(__xludf.DUMMYFUNCTION("""COMPUTED_VALUE"""),"lootrush.com")</f>
        <v>lootrush.com</v>
      </c>
      <c r="B1348" s="5" t="str">
        <f>IFERROR(__xludf.DUMMYFUNCTION("""COMPUTED_VALUE"""),"markerlearning.com")</f>
        <v>markerlearning.com</v>
      </c>
    </row>
    <row r="1349">
      <c r="A1349" s="5" t="str">
        <f>IFERROR(__xludf.DUMMYFUNCTION("""COMPUTED_VALUE"""),"ltse.com")</f>
        <v>ltse.com</v>
      </c>
      <c r="B1349" s="5" t="str">
        <f>IFERROR(__xludf.DUMMYFUNCTION("""COMPUTED_VALUE"""),"matchday.com")</f>
        <v>matchday.com</v>
      </c>
    </row>
    <row r="1350">
      <c r="A1350" s="5" t="str">
        <f>IFERROR(__xludf.DUMMYFUNCTION("""COMPUTED_VALUE"""),"lumalabs.ai")</f>
        <v>lumalabs.ai</v>
      </c>
      <c r="B1350" s="6" t="str">
        <f>IFERROR(__xludf.DUMMYFUNCTION("""COMPUTED_VALUE"""),"material.security")</f>
        <v>material.security</v>
      </c>
    </row>
    <row r="1351">
      <c r="A1351" s="5" t="str">
        <f>IFERROR(__xludf.DUMMYFUNCTION("""COMPUTED_VALUE"""),"playkinderworld.com")</f>
        <v>playkinderworld.com</v>
      </c>
      <c r="B1351" s="5" t="str">
        <f>IFERROR(__xludf.DUMMYFUNCTION("""COMPUTED_VALUE"""),"matik.io")</f>
        <v>matik.io</v>
      </c>
    </row>
    <row r="1352">
      <c r="A1352" s="5" t="str">
        <f>IFERROR(__xludf.DUMMYFUNCTION("""COMPUTED_VALUE"""),"lumos.com")</f>
        <v>lumos.com</v>
      </c>
      <c r="B1352" s="5" t="str">
        <f>IFERROR(__xludf.DUMMYFUNCTION("""COMPUTED_VALUE"""),"matter-labs.io")</f>
        <v>matter-labs.io</v>
      </c>
    </row>
    <row r="1353">
      <c r="A1353" s="5" t="str">
        <f>IFERROR(__xludf.DUMMYFUNCTION("""COMPUTED_VALUE"""),"macro.com")</f>
        <v>macro.com</v>
      </c>
      <c r="B1353" s="5" t="str">
        <f>IFERROR(__xludf.DUMMYFUNCTION("""COMPUTED_VALUE"""),"maven.com")</f>
        <v>maven.com</v>
      </c>
    </row>
    <row r="1354">
      <c r="A1354" s="6" t="str">
        <f>IFERROR(__xludf.DUMMYFUNCTION("""COMPUTED_VALUE"""),"magiccircle.studio")</f>
        <v>magiccircle.studio</v>
      </c>
      <c r="B1354" s="5" t="str">
        <f>IFERROR(__xludf.DUMMYFUNCTION("""COMPUTED_VALUE"""),"shop.mayvenn.com")</f>
        <v>shop.mayvenn.com</v>
      </c>
    </row>
    <row r="1355">
      <c r="A1355" s="5" t="str">
        <f>IFERROR(__xludf.DUMMYFUNCTION("""COMPUTED_VALUE"""),"magicleap.com")</f>
        <v>magicleap.com</v>
      </c>
      <c r="B1355" s="5" t="str">
        <f>IFERROR(__xludf.DUMMYFUNCTION("""COMPUTED_VALUE"""),"mazetx.com")</f>
        <v>mazetx.com</v>
      </c>
    </row>
    <row r="1356">
      <c r="A1356" s="5" t="str">
        <f>IFERROR(__xludf.DUMMYFUNCTION("""COMPUTED_VALUE"""),"themainframe.com")</f>
        <v>themainframe.com</v>
      </c>
      <c r="B1356" s="5" t="str">
        <f>IFERROR(__xludf.DUMMYFUNCTION("""COMPUTED_VALUE"""),"mediachain.io")</f>
        <v>mediachain.io</v>
      </c>
    </row>
    <row r="1357">
      <c r="A1357" s="5" t="str">
        <f>IFERROR(__xludf.DUMMYFUNCTION("""COMPUTED_VALUE"""),"makerdao.com")</f>
        <v>makerdao.com</v>
      </c>
      <c r="B1357" s="5" t="str">
        <f>IFERROR(__xludf.DUMMYFUNCTION("""COMPUTED_VALUE"""),"medium.com")</f>
        <v>medium.com</v>
      </c>
    </row>
    <row r="1358">
      <c r="A1358" s="6" t="str">
        <f>IFERROR(__xludf.DUMMYFUNCTION("""COMPUTED_VALUE"""),"mana.bio")</f>
        <v>mana.bio</v>
      </c>
      <c r="B1358" s="5" t="str">
        <f>IFERROR(__xludf.DUMMYFUNCTION("""COMPUTED_VALUE"""),"withmedley.com")</f>
        <v>withmedley.com</v>
      </c>
    </row>
    <row r="1359">
      <c r="A1359" s="5" t="str">
        <f>IFERROR(__xludf.DUMMYFUNCTION("""COMPUTED_VALUE"""),"manifold.xyz")</f>
        <v>manifold.xyz</v>
      </c>
      <c r="B1359" s="5" t="str">
        <f>IFERROR(__xludf.DUMMYFUNCTION("""COMPUTED_VALUE"""),"meitre.com")</f>
        <v>meitre.com</v>
      </c>
    </row>
    <row r="1360">
      <c r="A1360" s="5" t="str">
        <f>IFERROR(__xludf.DUMMYFUNCTION("""COMPUTED_VALUE"""),"markerlearning.com")</f>
        <v>markerlearning.com</v>
      </c>
      <c r="B1360" s="5" t="str">
        <f>IFERROR(__xludf.DUMMYFUNCTION("""COMPUTED_VALUE"""),"mem.ai")</f>
        <v>mem.ai</v>
      </c>
    </row>
    <row r="1361">
      <c r="A1361" s="5" t="str">
        <f>IFERROR(__xludf.DUMMYFUNCTION("""COMPUTED_VALUE"""),"matchday.com")</f>
        <v>matchday.com</v>
      </c>
      <c r="B1361" s="5" t="str">
        <f>IFERROR(__xludf.DUMMYFUNCTION("""COMPUTED_VALUE"""),"mem.co")</f>
        <v>mem.co</v>
      </c>
    </row>
    <row r="1362">
      <c r="A1362" s="6" t="str">
        <f>IFERROR(__xludf.DUMMYFUNCTION("""COMPUTED_VALUE"""),"material.security")</f>
        <v>material.security</v>
      </c>
      <c r="B1362" s="5" t="str">
        <f>IFERROR(__xludf.DUMMYFUNCTION("""COMPUTED_VALUE"""),"mercury.com")</f>
        <v>mercury.com</v>
      </c>
    </row>
    <row r="1363">
      <c r="A1363" s="5" t="str">
        <f>IFERROR(__xludf.DUMMYFUNCTION("""COMPUTED_VALUE"""),"matik.io")</f>
        <v>matik.io</v>
      </c>
      <c r="B1363" s="5" t="str">
        <f>IFERROR(__xludf.DUMMYFUNCTION("""COMPUTED_VALUE"""),"merits.com")</f>
        <v>merits.com</v>
      </c>
    </row>
    <row r="1364">
      <c r="A1364" s="5" t="str">
        <f>IFERROR(__xludf.DUMMYFUNCTION("""COMPUTED_VALUE"""),"matter-labs.io")</f>
        <v>matter-labs.io</v>
      </c>
      <c r="B1364" s="5" t="str">
        <f>IFERROR(__xludf.DUMMYFUNCTION("""COMPUTED_VALUE"""),"farcaster.xyz")</f>
        <v>farcaster.xyz</v>
      </c>
    </row>
    <row r="1365">
      <c r="A1365" s="5" t="str">
        <f>IFERROR(__xludf.DUMMYFUNCTION("""COMPUTED_VALUE"""),"maven.com")</f>
        <v>maven.com</v>
      </c>
      <c r="B1365" s="6" t="str">
        <f>IFERROR(__xludf.DUMMYFUNCTION("""COMPUTED_VALUE"""),"meta4.capital")</f>
        <v>meta4.capital</v>
      </c>
    </row>
    <row r="1366">
      <c r="A1366" s="5" t="str">
        <f>IFERROR(__xludf.DUMMYFUNCTION("""COMPUTED_VALUE"""),"shop.mayvenn.com")</f>
        <v>shop.mayvenn.com</v>
      </c>
      <c r="B1366" s="5" t="str">
        <f>IFERROR(__xludf.DUMMYFUNCTION("""COMPUTED_VALUE"""),"metaphor.io")</f>
        <v>metaphor.io</v>
      </c>
    </row>
    <row r="1367">
      <c r="A1367" s="5" t="str">
        <f>IFERROR(__xludf.DUMMYFUNCTION("""COMPUTED_VALUE"""),"mazetx.com")</f>
        <v>mazetx.com</v>
      </c>
      <c r="B1367" s="5" t="str">
        <f>IFERROR(__xludf.DUMMYFUNCTION("""COMPUTED_VALUE"""),"metatheory.gg")</f>
        <v>metatheory.gg</v>
      </c>
    </row>
    <row r="1368">
      <c r="A1368" s="5" t="str">
        <f>IFERROR(__xludf.DUMMYFUNCTION("""COMPUTED_VALUE"""),"mediachain.io")</f>
        <v>mediachain.io</v>
      </c>
      <c r="B1368" s="5" t="str">
        <f>IFERROR(__xludf.DUMMYFUNCTION("""COMPUTED_VALUE"""),"methodfi.com")</f>
        <v>methodfi.com</v>
      </c>
    </row>
    <row r="1369">
      <c r="A1369" s="5" t="str">
        <f>IFERROR(__xludf.DUMMYFUNCTION("""COMPUTED_VALUE"""),"medium.com")</f>
        <v>medium.com</v>
      </c>
      <c r="B1369" s="5" t="str">
        <f>IFERROR(__xludf.DUMMYFUNCTION("""COMPUTED_VALUE"""),"metronome.com")</f>
        <v>metronome.com</v>
      </c>
    </row>
    <row r="1370">
      <c r="A1370" s="5" t="str">
        <f>IFERROR(__xludf.DUMMYFUNCTION("""COMPUTED_VALUE"""),"withmedley.com")</f>
        <v>withmedley.com</v>
      </c>
      <c r="B1370" s="5" t="str">
        <f>IFERROR(__xludf.DUMMYFUNCTION("""COMPUTED_VALUE"""),"miluhealth.com")</f>
        <v>miluhealth.com</v>
      </c>
    </row>
    <row r="1371">
      <c r="A1371" s="5" t="str">
        <f>IFERROR(__xludf.DUMMYFUNCTION("""COMPUTED_VALUE"""),"meitre.com")</f>
        <v>meitre.com</v>
      </c>
      <c r="B1371" s="6" t="str">
        <f>IFERROR(__xludf.DUMMYFUNCTION("""COMPUTED_VALUE"""),"kiosk.app")</f>
        <v>kiosk.app</v>
      </c>
    </row>
    <row r="1372">
      <c r="A1372" s="5" t="str">
        <f>IFERROR(__xludf.DUMMYFUNCTION("""COMPUTED_VALUE"""),"mem.ai")</f>
        <v>mem.ai</v>
      </c>
      <c r="B1372" s="5" t="str">
        <f>IFERROR(__xludf.DUMMYFUNCTION("""COMPUTED_VALUE"""),"mixpanel.com")</f>
        <v>mixpanel.com</v>
      </c>
    </row>
    <row r="1373">
      <c r="A1373" s="5" t="str">
        <f>IFERROR(__xludf.DUMMYFUNCTION("""COMPUTED_VALUE"""),"mem.co")</f>
        <v>mem.co</v>
      </c>
      <c r="B1373" s="5" t="str">
        <f>IFERROR(__xludf.DUMMYFUNCTION("""COMPUTED_VALUE"""),"ml4t.org")</f>
        <v>ml4t.org</v>
      </c>
    </row>
    <row r="1374">
      <c r="A1374" s="5" t="str">
        <f>IFERROR(__xludf.DUMMYFUNCTION("""COMPUTED_VALUE"""),"mercury.com")</f>
        <v>mercury.com</v>
      </c>
      <c r="B1374" s="5" t="str">
        <f>IFERROR(__xludf.DUMMYFUNCTION("""COMPUTED_VALUE"""),"modernfi.com")</f>
        <v>modernfi.com</v>
      </c>
    </row>
    <row r="1375">
      <c r="A1375" s="5" t="str">
        <f>IFERROR(__xludf.DUMMYFUNCTION("""COMPUTED_VALUE"""),"merits.com")</f>
        <v>merits.com</v>
      </c>
      <c r="B1375" s="5" t="str">
        <f>IFERROR(__xludf.DUMMYFUNCTION("""COMPUTED_VALUE"""),"withmoment.com")</f>
        <v>withmoment.com</v>
      </c>
    </row>
    <row r="1376">
      <c r="A1376" s="5" t="str">
        <f>IFERROR(__xludf.DUMMYFUNCTION("""COMPUTED_VALUE"""),"farcaster.xyz")</f>
        <v>farcaster.xyz</v>
      </c>
      <c r="B1376" s="5" t="str">
        <f>IFERROR(__xludf.DUMMYFUNCTION("""COMPUTED_VALUE"""),"moov.io")</f>
        <v>moov.io</v>
      </c>
    </row>
    <row r="1377">
      <c r="A1377" s="6" t="str">
        <f>IFERROR(__xludf.DUMMYFUNCTION("""COMPUTED_VALUE"""),"meta4.capital")</f>
        <v>meta4.capital</v>
      </c>
      <c r="B1377" s="5" t="str">
        <f>IFERROR(__xludf.DUMMYFUNCTION("""COMPUTED_VALUE"""),"morpho.xyz")</f>
        <v>morpho.xyz</v>
      </c>
    </row>
    <row r="1378">
      <c r="A1378" s="5" t="str">
        <f>IFERROR(__xludf.DUMMYFUNCTION("""COMPUTED_VALUE"""),"metaphor.io")</f>
        <v>metaphor.io</v>
      </c>
      <c r="B1378" s="5" t="str">
        <f>IFERROR(__xludf.DUMMYFUNCTION("""COMPUTED_VALUE"""),"mosaic.us")</f>
        <v>mosaic.us</v>
      </c>
    </row>
    <row r="1379">
      <c r="A1379" s="5" t="str">
        <f>IFERROR(__xludf.DUMMYFUNCTION("""COMPUTED_VALUE"""),"metatheory.gg")</f>
        <v>metatheory.gg</v>
      </c>
      <c r="B1379" s="5" t="str">
        <f>IFERROR(__xludf.DUMMYFUNCTION("""COMPUTED_VALUE"""),"motherduck.com")</f>
        <v>motherduck.com</v>
      </c>
    </row>
    <row r="1380">
      <c r="A1380" s="5" t="str">
        <f>IFERROR(__xludf.DUMMYFUNCTION("""COMPUTED_VALUE"""),"methodfi.com")</f>
        <v>methodfi.com</v>
      </c>
      <c r="B1380" s="5" t="str">
        <f>IFERROR(__xludf.DUMMYFUNCTION("""COMPUTED_VALUE"""),"mountaintop.gg")</f>
        <v>mountaintop.gg</v>
      </c>
    </row>
    <row r="1381">
      <c r="A1381" s="5" t="str">
        <f>IFERROR(__xludf.DUMMYFUNCTION("""COMPUTED_VALUE"""),"metronome.com")</f>
        <v>metronome.com</v>
      </c>
      <c r="B1381" s="5" t="str">
        <f>IFERROR(__xludf.DUMMYFUNCTION("""COMPUTED_VALUE"""),"musesessions.co")</f>
        <v>musesessions.co</v>
      </c>
    </row>
    <row r="1382">
      <c r="A1382" s="5" t="str">
        <f>IFERROR(__xludf.DUMMYFUNCTION("""COMPUTED_VALUE"""),"miluhealth.com")</f>
        <v>miluhealth.com</v>
      </c>
      <c r="B1382" s="5" t="str">
        <f>IFERROR(__xludf.DUMMYFUNCTION("""COMPUTED_VALUE"""),"mvmnt.io")</f>
        <v>mvmnt.io</v>
      </c>
    </row>
    <row r="1383">
      <c r="A1383" s="6" t="str">
        <f>IFERROR(__xludf.DUMMYFUNCTION("""COMPUTED_VALUE"""),"kiosk.app")</f>
        <v>kiosk.app</v>
      </c>
      <c r="B1383" s="5" t="str">
        <f>IFERROR(__xludf.DUMMYFUNCTION("""COMPUTED_VALUE"""),"mystenlabs.com")</f>
        <v>mystenlabs.com</v>
      </c>
    </row>
    <row r="1384">
      <c r="A1384" s="5" t="str">
        <f>IFERROR(__xludf.DUMMYFUNCTION("""COMPUTED_VALUE"""),"mixpanel.com")</f>
        <v>mixpanel.com</v>
      </c>
      <c r="B1384" s="5" t="str">
        <f>IFERROR(__xludf.DUMMYFUNCTION("""COMPUTED_VALUE"""),"mythicalgames.com")</f>
        <v>mythicalgames.com</v>
      </c>
    </row>
    <row r="1385">
      <c r="A1385" s="5" t="str">
        <f>IFERROR(__xludf.DUMMYFUNCTION("""COMPUTED_VALUE"""),"ml4t.org")</f>
        <v>ml4t.org</v>
      </c>
      <c r="B1385" s="5" t="str">
        <f>IFERROR(__xludf.DUMMYFUNCTION("""COMPUTED_VALUE"""),"nansen.ai")</f>
        <v>nansen.ai</v>
      </c>
    </row>
    <row r="1386">
      <c r="A1386" s="5" t="str">
        <f>IFERROR(__xludf.DUMMYFUNCTION("""COMPUTED_VALUE"""),"modernfi.com")</f>
        <v>modernfi.com</v>
      </c>
      <c r="B1386" s="5" t="str">
        <f>IFERROR(__xludf.DUMMYFUNCTION("""COMPUTED_VALUE"""),"nationbuilder.com")</f>
        <v>nationbuilder.com</v>
      </c>
    </row>
    <row r="1387">
      <c r="A1387" s="5" t="str">
        <f>IFERROR(__xludf.DUMMYFUNCTION("""COMPUTED_VALUE"""),"withmoment.com")</f>
        <v>withmoment.com</v>
      </c>
      <c r="B1387" s="5" t="str">
        <f>IFERROR(__xludf.DUMMYFUNCTION("""COMPUTED_VALUE"""),"navan.com")</f>
        <v>navan.com</v>
      </c>
    </row>
    <row r="1388">
      <c r="A1388" s="5" t="str">
        <f>IFERROR(__xludf.DUMMYFUNCTION("""COMPUTED_VALUE"""),"moov.io")</f>
        <v>moov.io</v>
      </c>
      <c r="B1388" s="5" t="str">
        <f>IFERROR(__xludf.DUMMYFUNCTION("""COMPUTED_VALUE"""),"near.org")</f>
        <v>near.org</v>
      </c>
    </row>
    <row r="1389">
      <c r="A1389" s="5" t="str">
        <f>IFERROR(__xludf.DUMMYFUNCTION("""COMPUTED_VALUE"""),"morpho.xyz")</f>
        <v>morpho.xyz</v>
      </c>
      <c r="B1389" s="5" t="str">
        <f>IFERROR(__xludf.DUMMYFUNCTION("""COMPUTED_VALUE"""),"neighbor.com")</f>
        <v>neighbor.com</v>
      </c>
    </row>
    <row r="1390">
      <c r="A1390" s="5" t="str">
        <f>IFERROR(__xludf.DUMMYFUNCTION("""COMPUTED_VALUE"""),"mosaic.us")</f>
        <v>mosaic.us</v>
      </c>
      <c r="B1390" s="5" t="str">
        <f>IFERROR(__xludf.DUMMYFUNCTION("""COMPUTED_VALUE"""),"neonpay.com")</f>
        <v>neonpay.com</v>
      </c>
    </row>
    <row r="1391">
      <c r="A1391" s="5" t="str">
        <f>IFERROR(__xludf.DUMMYFUNCTION("""COMPUTED_VALUE"""),"motherduck.com")</f>
        <v>motherduck.com</v>
      </c>
      <c r="B1391" s="5" t="str">
        <f>IFERROR(__xludf.DUMMYFUNCTION("""COMPUTED_VALUE"""),"neonwild.com")</f>
        <v>neonwild.com</v>
      </c>
    </row>
    <row r="1392">
      <c r="A1392" s="5" t="str">
        <f>IFERROR(__xludf.DUMMYFUNCTION("""COMPUTED_VALUE"""),"mountaintop.gg")</f>
        <v>mountaintop.gg</v>
      </c>
      <c r="B1392" s="5" t="str">
        <f>IFERROR(__xludf.DUMMYFUNCTION("""COMPUTED_VALUE"""),"netlify.com")</f>
        <v>netlify.com</v>
      </c>
    </row>
    <row r="1393">
      <c r="A1393" s="5" t="str">
        <f>IFERROR(__xludf.DUMMYFUNCTION("""COMPUTED_VALUE"""),"musesessions.co")</f>
        <v>musesessions.co</v>
      </c>
      <c r="B1393" s="5" t="str">
        <f>IFERROR(__xludf.DUMMYFUNCTION("""COMPUTED_VALUE"""),"netography.com")</f>
        <v>netography.com</v>
      </c>
    </row>
    <row r="1394">
      <c r="A1394" s="5" t="str">
        <f>IFERROR(__xludf.DUMMYFUNCTION("""COMPUTED_VALUE"""),"mvmnt.io")</f>
        <v>mvmnt.io</v>
      </c>
      <c r="B1394" s="5" t="str">
        <f>IFERROR(__xludf.DUMMYFUNCTION("""COMPUTED_VALUE"""),"neuralmagic.com")</f>
        <v>neuralmagic.com</v>
      </c>
    </row>
    <row r="1395">
      <c r="A1395" s="5" t="str">
        <f>IFERROR(__xludf.DUMMYFUNCTION("""COMPUTED_VALUE"""),"mystenlabs.com")</f>
        <v>mystenlabs.com</v>
      </c>
      <c r="B1395" s="6" t="str">
        <f>IFERROR(__xludf.DUMMYFUNCTION("""COMPUTED_VALUE"""),"ng.cash")</f>
        <v>ng.cash</v>
      </c>
    </row>
    <row r="1396">
      <c r="A1396" s="5" t="str">
        <f>IFERROR(__xludf.DUMMYFUNCTION("""COMPUTED_VALUE"""),"mythicalgames.com")</f>
        <v>mythicalgames.com</v>
      </c>
      <c r="B1396" s="5" t="str">
        <f>IFERROR(__xludf.DUMMYFUNCTION("""COMPUTED_VALUE"""),"tflabs.io")</f>
        <v>tflabs.io</v>
      </c>
    </row>
    <row r="1397">
      <c r="A1397" s="5" t="str">
        <f>IFERROR(__xludf.DUMMYFUNCTION("""COMPUTED_VALUE"""),"nansen.ai")</f>
        <v>nansen.ai</v>
      </c>
      <c r="B1397" s="5" t="str">
        <f>IFERROR(__xludf.DUMMYFUNCTION("""COMPUTED_VALUE"""),"nodgames.com")</f>
        <v>nodgames.com</v>
      </c>
    </row>
    <row r="1398">
      <c r="A1398" s="5" t="str">
        <f>IFERROR(__xludf.DUMMYFUNCTION("""COMPUTED_VALUE"""),"nationbuilder.com")</f>
        <v>nationbuilder.com</v>
      </c>
      <c r="B1398" s="5" t="str">
        <f>IFERROR(__xludf.DUMMYFUNCTION("""COMPUTED_VALUE"""),"northwoodspace.io")</f>
        <v>northwoodspace.io</v>
      </c>
    </row>
    <row r="1399">
      <c r="A1399" s="5" t="str">
        <f>IFERROR(__xludf.DUMMYFUNCTION("""COMPUTED_VALUE"""),"navan.com")</f>
        <v>navan.com</v>
      </c>
      <c r="B1399" s="5" t="str">
        <f>IFERROR(__xludf.DUMMYFUNCTION("""COMPUTED_VALUE"""),"nova.xyz")</f>
        <v>nova.xyz</v>
      </c>
    </row>
    <row r="1400">
      <c r="A1400" s="5" t="str">
        <f>IFERROR(__xludf.DUMMYFUNCTION("""COMPUTED_VALUE"""),"near.org")</f>
        <v>near.org</v>
      </c>
      <c r="B1400" s="6" t="str">
        <f>IFERROR(__xludf.DUMMYFUNCTION("""COMPUTED_VALUE"""),"nx.dev")</f>
        <v>nx.dev</v>
      </c>
    </row>
    <row r="1401">
      <c r="A1401" s="5" t="str">
        <f>IFERROR(__xludf.DUMMYFUNCTION("""COMPUTED_VALUE"""),"neighbor.com")</f>
        <v>neighbor.com</v>
      </c>
      <c r="B1401" s="5" t="str">
        <f>IFERROR(__xludf.DUMMYFUNCTION("""COMPUTED_VALUE"""),"nymtech.net")</f>
        <v>nymtech.net</v>
      </c>
    </row>
    <row r="1402">
      <c r="A1402" s="5" t="str">
        <f>IFERROR(__xludf.DUMMYFUNCTION("""COMPUTED_VALUE"""),"neonpay.com")</f>
        <v>neonpay.com</v>
      </c>
      <c r="B1402" s="5" t="str">
        <f>IFERROR(__xludf.DUMMYFUNCTION("""COMPUTED_VALUE"""),"oasislabs.com")</f>
        <v>oasislabs.com</v>
      </c>
    </row>
    <row r="1403">
      <c r="A1403" s="5" t="str">
        <f>IFERROR(__xludf.DUMMYFUNCTION("""COMPUTED_VALUE"""),"neonwild.com")</f>
        <v>neonwild.com</v>
      </c>
      <c r="B1403" s="6" t="str">
        <f>IFERROR(__xludf.DUMMYFUNCTION("""COMPUTED_VALUE"""),"octant.bio")</f>
        <v>octant.bio</v>
      </c>
    </row>
    <row r="1404">
      <c r="A1404" s="5" t="str">
        <f>IFERROR(__xludf.DUMMYFUNCTION("""COMPUTED_VALUE"""),"netlify.com")</f>
        <v>netlify.com</v>
      </c>
      <c r="B1404" s="5" t="str">
        <f>IFERROR(__xludf.DUMMYFUNCTION("""COMPUTED_VALUE"""),"withodyssey.com")</f>
        <v>withodyssey.com</v>
      </c>
    </row>
    <row r="1405">
      <c r="A1405" s="5" t="str">
        <f>IFERROR(__xludf.DUMMYFUNCTION("""COMPUTED_VALUE"""),"netography.com")</f>
        <v>netography.com</v>
      </c>
      <c r="B1405" s="5" t="str">
        <f>IFERROR(__xludf.DUMMYFUNCTION("""COMPUTED_VALUE"""),"odysseyinteractive.gg")</f>
        <v>odysseyinteractive.gg</v>
      </c>
    </row>
    <row r="1406">
      <c r="A1406" s="5" t="str">
        <f>IFERROR(__xludf.DUMMYFUNCTION("""COMPUTED_VALUE"""),"neuralmagic.com")</f>
        <v>neuralmagic.com</v>
      </c>
      <c r="B1406" s="5" t="str">
        <f>IFERROR(__xludf.DUMMYFUNCTION("""COMPUTED_VALUE"""),"offerup.com")</f>
        <v>offerup.com</v>
      </c>
    </row>
    <row r="1407">
      <c r="A1407" s="6" t="str">
        <f>IFERROR(__xludf.DUMMYFUNCTION("""COMPUTED_VALUE"""),"ng.cash")</f>
        <v>ng.cash</v>
      </c>
      <c r="B1407" s="5" t="str">
        <f>IFERROR(__xludf.DUMMYFUNCTION("""COMPUTED_VALUE"""),"omadahealth.com")</f>
        <v>omadahealth.com</v>
      </c>
    </row>
    <row r="1408">
      <c r="A1408" s="5" t="str">
        <f>IFERROR(__xludf.DUMMYFUNCTION("""COMPUTED_VALUE"""),"tflabs.io")</f>
        <v>tflabs.io</v>
      </c>
      <c r="B1408" s="5" t="str">
        <f>IFERROR(__xludf.DUMMYFUNCTION("""COMPUTED_VALUE"""),"onemoregame.com")</f>
        <v>onemoregame.com</v>
      </c>
    </row>
    <row r="1409">
      <c r="A1409" s="5" t="str">
        <f>IFERROR(__xludf.DUMMYFUNCTION("""COMPUTED_VALUE"""),"nodgames.com")</f>
        <v>nodgames.com</v>
      </c>
      <c r="B1409" s="5" t="str">
        <f>IFERROR(__xludf.DUMMYFUNCTION("""COMPUTED_VALUE"""),"opensouls.org")</f>
        <v>opensouls.org</v>
      </c>
    </row>
    <row r="1410">
      <c r="A1410" s="5" t="str">
        <f>IFERROR(__xludf.DUMMYFUNCTION("""COMPUTED_VALUE"""),"northwoodspace.io")</f>
        <v>northwoodspace.io</v>
      </c>
      <c r="B1410" s="5" t="str">
        <f>IFERROR(__xludf.DUMMYFUNCTION("""COMPUTED_VALUE"""),"openai.com")</f>
        <v>openai.com</v>
      </c>
    </row>
    <row r="1411">
      <c r="A1411" s="5" t="str">
        <f>IFERROR(__xludf.DUMMYFUNCTION("""COMPUTED_VALUE"""),"nova.xyz")</f>
        <v>nova.xyz</v>
      </c>
      <c r="B1411" s="5" t="str">
        <f>IFERROR(__xludf.DUMMYFUNCTION("""COMPUTED_VALUE"""),"openbazaar.org")</f>
        <v>openbazaar.org</v>
      </c>
    </row>
    <row r="1412">
      <c r="A1412" s="6" t="str">
        <f>IFERROR(__xludf.DUMMYFUNCTION("""COMPUTED_VALUE"""),"nx.dev")</f>
        <v>nx.dev</v>
      </c>
      <c r="B1412" s="5" t="str">
        <f>IFERROR(__xludf.DUMMYFUNCTION("""COMPUTED_VALUE"""),"opengov.com")</f>
        <v>opengov.com</v>
      </c>
    </row>
    <row r="1413">
      <c r="A1413" s="5" t="str">
        <f>IFERROR(__xludf.DUMMYFUNCTION("""COMPUTED_VALUE"""),"nymtech.net")</f>
        <v>nymtech.net</v>
      </c>
      <c r="B1413" s="5" t="str">
        <f>IFERROR(__xludf.DUMMYFUNCTION("""COMPUTED_VALUE"""),"opensea.io")</f>
        <v>opensea.io</v>
      </c>
    </row>
    <row r="1414">
      <c r="A1414" s="5" t="str">
        <f>IFERROR(__xludf.DUMMYFUNCTION("""COMPUTED_VALUE"""),"oasislabs.com")</f>
        <v>oasislabs.com</v>
      </c>
      <c r="B1414" s="5" t="str">
        <f>IFERROR(__xludf.DUMMYFUNCTION("""COMPUTED_VALUE"""),"optimism.io")</f>
        <v>optimism.io</v>
      </c>
    </row>
    <row r="1415">
      <c r="A1415" s="6" t="str">
        <f>IFERROR(__xludf.DUMMYFUNCTION("""COMPUTED_VALUE"""),"octant.bio")</f>
        <v>octant.bio</v>
      </c>
      <c r="B1415" s="5" t="str">
        <f>IFERROR(__xludf.DUMMYFUNCTION("""COMPUTED_VALUE"""),"optimizerai.xyz")</f>
        <v>optimizerai.xyz</v>
      </c>
    </row>
    <row r="1416">
      <c r="A1416" s="5" t="str">
        <f>IFERROR(__xludf.DUMMYFUNCTION("""COMPUTED_VALUE"""),"withodyssey.com")</f>
        <v>withodyssey.com</v>
      </c>
      <c r="B1416" s="6" t="str">
        <f>IFERROR(__xludf.DUMMYFUNCTION("""COMPUTED_VALUE"""),"orbit.love")</f>
        <v>orbit.love</v>
      </c>
    </row>
    <row r="1417">
      <c r="A1417" s="5" t="str">
        <f>IFERROR(__xludf.DUMMYFUNCTION("""COMPUTED_VALUE"""),"odysseyinteractive.gg")</f>
        <v>odysseyinteractive.gg</v>
      </c>
      <c r="B1417" s="5" t="str">
        <f>IFERROR(__xludf.DUMMYFUNCTION("""COMPUTED_VALUE"""),"orbitaltx.com")</f>
        <v>orbitaltx.com</v>
      </c>
    </row>
    <row r="1418">
      <c r="A1418" s="5" t="str">
        <f>IFERROR(__xludf.DUMMYFUNCTION("""COMPUTED_VALUE"""),"offerup.com")</f>
        <v>offerup.com</v>
      </c>
      <c r="B1418" s="6" t="str">
        <f>IFERROR(__xludf.DUMMYFUNCTION("""COMPUTED_VALUE"""),"orchestra.bio")</f>
        <v>orchestra.bio</v>
      </c>
    </row>
    <row r="1419">
      <c r="A1419" s="5" t="str">
        <f>IFERROR(__xludf.DUMMYFUNCTION("""COMPUTED_VALUE"""),"omadahealth.com")</f>
        <v>omadahealth.com</v>
      </c>
      <c r="B1419" s="5" t="str">
        <f>IFERROR(__xludf.DUMMYFUNCTION("""COMPUTED_VALUE"""),"orchid.com")</f>
        <v>orchid.com</v>
      </c>
    </row>
    <row r="1420">
      <c r="A1420" s="5" t="str">
        <f>IFERROR(__xludf.DUMMYFUNCTION("""COMPUTED_VALUE"""),"onemoregame.com")</f>
        <v>onemoregame.com</v>
      </c>
      <c r="B1420" s="5" t="str">
        <f>IFERROR(__xludf.DUMMYFUNCTION("""COMPUTED_VALUE"""),"orderful.com")</f>
        <v>orderful.com</v>
      </c>
    </row>
    <row r="1421">
      <c r="A1421" s="5" t="str">
        <f>IFERROR(__xludf.DUMMYFUNCTION("""COMPUTED_VALUE"""),"opensouls.org")</f>
        <v>opensouls.org</v>
      </c>
      <c r="B1421" s="5" t="str">
        <f>IFERROR(__xludf.DUMMYFUNCTION("""COMPUTED_VALUE"""),"originalgames.io")</f>
        <v>originalgames.io</v>
      </c>
    </row>
    <row r="1422">
      <c r="A1422" s="5" t="str">
        <f>IFERROR(__xludf.DUMMYFUNCTION("""COMPUTED_VALUE"""),"openai.com")</f>
        <v>openai.com</v>
      </c>
      <c r="B1422" s="5" t="str">
        <f>IFERROR(__xludf.DUMMYFUNCTION("""COMPUTED_VALUE"""),"joinouting.com")</f>
        <v>joinouting.com</v>
      </c>
    </row>
    <row r="1423">
      <c r="A1423" s="5" t="str">
        <f>IFERROR(__xludf.DUMMYFUNCTION("""COMPUTED_VALUE"""),"openbazaar.org")</f>
        <v>openbazaar.org</v>
      </c>
      <c r="B1423" s="5" t="str">
        <f>IFERROR(__xludf.DUMMYFUNCTION("""COMPUTED_VALUE"""),"overtime.tv")</f>
        <v>overtime.tv</v>
      </c>
    </row>
    <row r="1424">
      <c r="A1424" s="5" t="str">
        <f>IFERROR(__xludf.DUMMYFUNCTION("""COMPUTED_VALUE"""),"opengov.com")</f>
        <v>opengov.com</v>
      </c>
      <c r="B1424" s="5" t="str">
        <f>IFERROR(__xludf.DUMMYFUNCTION("""COMPUTED_VALUE"""),"overwolf.com")</f>
        <v>overwolf.com</v>
      </c>
    </row>
    <row r="1425">
      <c r="A1425" s="5" t="str">
        <f>IFERROR(__xludf.DUMMYFUNCTION("""COMPUTED_VALUE"""),"opensea.io")</f>
        <v>opensea.io</v>
      </c>
      <c r="B1425" s="5" t="str">
        <f>IFERROR(__xludf.DUMMYFUNCTION("""COMPUTED_VALUE"""),"pahdolabs.com")</f>
        <v>pahdolabs.com</v>
      </c>
    </row>
    <row r="1426">
      <c r="A1426" s="5" t="str">
        <f>IFERROR(__xludf.DUMMYFUNCTION("""COMPUTED_VALUE"""),"optimism.io")</f>
        <v>optimism.io</v>
      </c>
      <c r="B1426" s="6" t="str">
        <f>IFERROR(__xludf.DUMMYFUNCTION("""COMPUTED_VALUE"""),"paloma.club")</f>
        <v>paloma.club</v>
      </c>
    </row>
    <row r="1427">
      <c r="A1427" s="5" t="str">
        <f>IFERROR(__xludf.DUMMYFUNCTION("""COMPUTED_VALUE"""),"optimizerai.xyz")</f>
        <v>optimizerai.xyz</v>
      </c>
      <c r="B1427" s="5" t="str">
        <f>IFERROR(__xludf.DUMMYFUNCTION("""COMPUTED_VALUE"""),"withpantheon.ai")</f>
        <v>withpantheon.ai</v>
      </c>
    </row>
    <row r="1428">
      <c r="A1428" s="6" t="str">
        <f>IFERROR(__xludf.DUMMYFUNCTION("""COMPUTED_VALUE"""),"orbit.love")</f>
        <v>orbit.love</v>
      </c>
      <c r="B1428" s="5" t="str">
        <f>IFERROR(__xludf.DUMMYFUNCTION("""COMPUTED_VALUE"""),"gaudiumstudio.com")</f>
        <v>gaudiumstudio.com</v>
      </c>
    </row>
    <row r="1429">
      <c r="A1429" s="5" t="str">
        <f>IFERROR(__xludf.DUMMYFUNCTION("""COMPUTED_VALUE"""),"orbitaltx.com")</f>
        <v>orbitaltx.com</v>
      </c>
      <c r="B1429" s="6" t="str">
        <f>IFERROR(__xludf.DUMMYFUNCTION("""COMPUTED_VALUE"""),"partybid.app")</f>
        <v>partybid.app</v>
      </c>
    </row>
    <row r="1430">
      <c r="A1430" s="6" t="str">
        <f>IFERROR(__xludf.DUMMYFUNCTION("""COMPUTED_VALUE"""),"orchestra.bio")</f>
        <v>orchestra.bio</v>
      </c>
      <c r="B1430" s="5" t="str">
        <f>IFERROR(__xludf.DUMMYFUNCTION("""COMPUTED_VALUE"""),"patch.io")</f>
        <v>patch.io</v>
      </c>
    </row>
    <row r="1431">
      <c r="A1431" s="5" t="str">
        <f>IFERROR(__xludf.DUMMYFUNCTION("""COMPUTED_VALUE"""),"orchid.com")</f>
        <v>orchid.com</v>
      </c>
      <c r="B1431" s="5" t="str">
        <f>IFERROR(__xludf.DUMMYFUNCTION("""COMPUTED_VALUE"""),"patinahealth.com")</f>
        <v>patinahealth.com</v>
      </c>
    </row>
    <row r="1432">
      <c r="A1432" s="5" t="str">
        <f>IFERROR(__xludf.DUMMYFUNCTION("""COMPUTED_VALUE"""),"orderful.com")</f>
        <v>orderful.com</v>
      </c>
      <c r="B1432" s="5" t="str">
        <f>IFERROR(__xludf.DUMMYFUNCTION("""COMPUTED_VALUE"""),"payall.com")</f>
        <v>payall.com</v>
      </c>
    </row>
    <row r="1433">
      <c r="A1433" s="5" t="str">
        <f>IFERROR(__xludf.DUMMYFUNCTION("""COMPUTED_VALUE"""),"originalgames.io")</f>
        <v>originalgames.io</v>
      </c>
      <c r="B1433" s="5" t="str">
        <f>IFERROR(__xludf.DUMMYFUNCTION("""COMPUTED_VALUE"""),"payrails.com")</f>
        <v>payrails.com</v>
      </c>
    </row>
    <row r="1434">
      <c r="A1434" s="5" t="str">
        <f>IFERROR(__xludf.DUMMYFUNCTION("""COMPUTED_VALUE"""),"joinouting.com")</f>
        <v>joinouting.com</v>
      </c>
      <c r="B1434" s="5" t="str">
        <f>IFERROR(__xludf.DUMMYFUNCTION("""COMPUTED_VALUE"""),"pearlhealth.com")</f>
        <v>pearlhealth.com</v>
      </c>
    </row>
    <row r="1435">
      <c r="A1435" s="5" t="str">
        <f>IFERROR(__xludf.DUMMYFUNCTION("""COMPUTED_VALUE"""),"overtime.tv")</f>
        <v>overtime.tv</v>
      </c>
      <c r="B1435" s="5" t="str">
        <f>IFERROR(__xludf.DUMMYFUNCTION("""COMPUTED_VALUE"""),"coinswitch.co")</f>
        <v>coinswitch.co</v>
      </c>
    </row>
    <row r="1436">
      <c r="A1436" s="5" t="str">
        <f>IFERROR(__xludf.DUMMYFUNCTION("""COMPUTED_VALUE"""),"overwolf.com")</f>
        <v>overwolf.com</v>
      </c>
      <c r="B1436" s="5" t="str">
        <f>IFERROR(__xludf.DUMMYFUNCTION("""COMPUTED_VALUE"""),"peerstreet.com")</f>
        <v>peerstreet.com</v>
      </c>
    </row>
    <row r="1437">
      <c r="A1437" s="5" t="str">
        <f>IFERROR(__xludf.DUMMYFUNCTION("""COMPUTED_VALUE"""),"pahdolabs.com")</f>
        <v>pahdolabs.com</v>
      </c>
      <c r="B1437" s="5" t="str">
        <f>IFERROR(__xludf.DUMMYFUNCTION("""COMPUTED_VALUE"""),"people.ai")</f>
        <v>people.ai</v>
      </c>
    </row>
    <row r="1438">
      <c r="A1438" s="6" t="str">
        <f>IFERROR(__xludf.DUMMYFUNCTION("""COMPUTED_VALUE"""),"paloma.club")</f>
        <v>paloma.club</v>
      </c>
      <c r="B1438" s="6" t="str">
        <f>IFERROR(__xludf.DUMMYFUNCTION("""COMPUTED_VALUE"""),"phantom.app")</f>
        <v>phantom.app</v>
      </c>
    </row>
    <row r="1439">
      <c r="A1439" s="5" t="str">
        <f>IFERROR(__xludf.DUMMYFUNCTION("""COMPUTED_VALUE"""),"withpantheon.ai")</f>
        <v>withpantheon.ai</v>
      </c>
      <c r="B1439" s="5" t="str">
        <f>IFERROR(__xludf.DUMMYFUNCTION("""COMPUTED_VALUE"""),"pietrastudio.com")</f>
        <v>pietrastudio.com</v>
      </c>
    </row>
    <row r="1440">
      <c r="A1440" s="5" t="str">
        <f>IFERROR(__xludf.DUMMYFUNCTION("""COMPUTED_VALUE"""),"gaudiumstudio.com")</f>
        <v>gaudiumstudio.com</v>
      </c>
      <c r="B1440" s="5" t="str">
        <f>IFERROR(__xludf.DUMMYFUNCTION("""COMPUTED_VALUE"""),"pimlico.io")</f>
        <v>pimlico.io</v>
      </c>
    </row>
    <row r="1441">
      <c r="A1441" s="6" t="str">
        <f>IFERROR(__xludf.DUMMYFUNCTION("""COMPUTED_VALUE"""),"partybid.app")</f>
        <v>partybid.app</v>
      </c>
      <c r="B1441" s="5" t="str">
        <f>IFERROR(__xludf.DUMMYFUNCTION("""COMPUTED_VALUE"""),"pindrop.com")</f>
        <v>pindrop.com</v>
      </c>
    </row>
    <row r="1442">
      <c r="A1442" s="5" t="str">
        <f>IFERROR(__xludf.DUMMYFUNCTION("""COMPUTED_VALUE"""),"patch.io")</f>
        <v>patch.io</v>
      </c>
      <c r="B1442" s="5" t="str">
        <f>IFERROR(__xludf.DUMMYFUNCTION("""COMPUTED_VALUE"""),"pinecone.io")</f>
        <v>pinecone.io</v>
      </c>
    </row>
    <row r="1443">
      <c r="A1443" s="5" t="str">
        <f>IFERROR(__xludf.DUMMYFUNCTION("""COMPUTED_VALUE"""),"patinahealth.com")</f>
        <v>patinahealth.com</v>
      </c>
      <c r="B1443" s="5" t="str">
        <f>IFERROR(__xludf.DUMMYFUNCTION("""COMPUTED_VALUE"""),"champions.io")</f>
        <v>champions.io</v>
      </c>
    </row>
    <row r="1444">
      <c r="A1444" s="5" t="str">
        <f>IFERROR(__xludf.DUMMYFUNCTION("""COMPUTED_VALUE"""),"payall.com")</f>
        <v>payall.com</v>
      </c>
      <c r="B1444" s="5" t="str">
        <f>IFERROR(__xludf.DUMMYFUNCTION("""COMPUTED_VALUE"""),"planetscale.com")</f>
        <v>planetscale.com</v>
      </c>
    </row>
    <row r="1445">
      <c r="A1445" s="5" t="str">
        <f>IFERROR(__xludf.DUMMYFUNCTION("""COMPUTED_VALUE"""),"payrails.com")</f>
        <v>payrails.com</v>
      </c>
      <c r="B1445" s="5" t="str">
        <f>IFERROR(__xludf.DUMMYFUNCTION("""COMPUTED_VALUE"""),"plutus.gg")</f>
        <v>plutus.gg</v>
      </c>
    </row>
    <row r="1446">
      <c r="A1446" s="5" t="str">
        <f>IFERROR(__xludf.DUMMYFUNCTION("""COMPUTED_VALUE"""),"pearlhealth.com")</f>
        <v>pearlhealth.com</v>
      </c>
      <c r="B1446" s="5" t="str">
        <f>IFERROR(__xludf.DUMMYFUNCTION("""COMPUTED_VALUE"""),"point.com")</f>
        <v>point.com</v>
      </c>
    </row>
    <row r="1447">
      <c r="A1447" s="5" t="str">
        <f>IFERROR(__xludf.DUMMYFUNCTION("""COMPUTED_VALUE"""),"coinswitch.co")</f>
        <v>coinswitch.co</v>
      </c>
      <c r="B1447" s="6" t="str">
        <f>IFERROR(__xludf.DUMMYFUNCTION("""COMPUTED_VALUE"""),"polychain.capital")</f>
        <v>polychain.capital</v>
      </c>
    </row>
    <row r="1448">
      <c r="A1448" s="5" t="str">
        <f>IFERROR(__xludf.DUMMYFUNCTION("""COMPUTED_VALUE"""),"peerstreet.com")</f>
        <v>peerstreet.com</v>
      </c>
      <c r="B1448" s="5" t="str">
        <f>IFERROR(__xludf.DUMMYFUNCTION("""COMPUTED_VALUE"""),"polywork.com")</f>
        <v>polywork.com</v>
      </c>
    </row>
    <row r="1449">
      <c r="A1449" s="5" t="str">
        <f>IFERROR(__xludf.DUMMYFUNCTION("""COMPUTED_VALUE"""),"people.ai")</f>
        <v>people.ai</v>
      </c>
      <c r="B1449" s="5" t="str">
        <f>IFERROR(__xludf.DUMMYFUNCTION("""COMPUTED_VALUE"""),"pomelocare.com")</f>
        <v>pomelocare.com</v>
      </c>
    </row>
    <row r="1450">
      <c r="A1450" s="6" t="str">
        <f>IFERROR(__xludf.DUMMYFUNCTION("""COMPUTED_VALUE"""),"phantom.app")</f>
        <v>phantom.app</v>
      </c>
      <c r="B1450" s="5" t="str">
        <f>IFERROR(__xludf.DUMMYFUNCTION("""COMPUTED_VALUE"""),"practice.do")</f>
        <v>practice.do</v>
      </c>
    </row>
    <row r="1451">
      <c r="A1451" s="5" t="str">
        <f>IFERROR(__xludf.DUMMYFUNCTION("""COMPUTED_VALUE"""),"pietrastudio.com")</f>
        <v>pietrastudio.com</v>
      </c>
      <c r="B1451" s="5" t="str">
        <f>IFERROR(__xludf.DUMMYFUNCTION("""COMPUTED_VALUE"""),"prepared911.com")</f>
        <v>prepared911.com</v>
      </c>
    </row>
    <row r="1452">
      <c r="A1452" s="5" t="str">
        <f>IFERROR(__xludf.DUMMYFUNCTION("""COMPUTED_VALUE"""),"pimlico.io")</f>
        <v>pimlico.io</v>
      </c>
      <c r="B1452" s="5" t="str">
        <f>IFERROR(__xludf.DUMMYFUNCTION("""COMPUTED_VALUE"""),"preset.io")</f>
        <v>preset.io</v>
      </c>
    </row>
    <row r="1453">
      <c r="A1453" s="5" t="str">
        <f>IFERROR(__xludf.DUMMYFUNCTION("""COMPUTED_VALUE"""),"pindrop.com")</f>
        <v>pindrop.com</v>
      </c>
      <c r="B1453" s="5" t="str">
        <f>IFERROR(__xludf.DUMMYFUNCTION("""COMPUTED_VALUE"""),"primodium.com")</f>
        <v>primodium.com</v>
      </c>
    </row>
    <row r="1454">
      <c r="A1454" s="5" t="str">
        <f>IFERROR(__xludf.DUMMYFUNCTION("""COMPUTED_VALUE"""),"pinecone.io")</f>
        <v>pinecone.io</v>
      </c>
      <c r="B1454" s="5" t="str">
        <f>IFERROR(__xludf.DUMMYFUNCTION("""COMPUTED_VALUE"""),"prismsvr.com")</f>
        <v>prismsvr.com</v>
      </c>
    </row>
    <row r="1455">
      <c r="A1455" s="5" t="str">
        <f>IFERROR(__xludf.DUMMYFUNCTION("""COMPUTED_VALUE"""),"champions.io")</f>
        <v>champions.io</v>
      </c>
      <c r="B1455" s="5" t="str">
        <f>IFERROR(__xludf.DUMMYFUNCTION("""COMPUTED_VALUE"""),"promisestudios.com")</f>
        <v>promisestudios.com</v>
      </c>
    </row>
    <row r="1456">
      <c r="A1456" s="5" t="str">
        <f>IFERROR(__xludf.DUMMYFUNCTION("""COMPUTED_VALUE"""),"planetscale.com")</f>
        <v>planetscale.com</v>
      </c>
      <c r="B1456" s="6" t="str">
        <f>IFERROR(__xludf.DUMMYFUNCTION("""COMPUTED_VALUE"""),"promptfoo.dev")</f>
        <v>promptfoo.dev</v>
      </c>
    </row>
    <row r="1457">
      <c r="A1457" s="5" t="str">
        <f>IFERROR(__xludf.DUMMYFUNCTION("""COMPUTED_VALUE"""),"plutus.gg")</f>
        <v>plutus.gg</v>
      </c>
      <c r="B1457" s="5" t="str">
        <f>IFERROR(__xludf.DUMMYFUNCTION("""COMPUTED_VALUE"""),"proof.xyz")</f>
        <v>proof.xyz</v>
      </c>
    </row>
    <row r="1458">
      <c r="A1458" s="5" t="str">
        <f>IFERROR(__xludf.DUMMYFUNCTION("""COMPUTED_VALUE"""),"point.com")</f>
        <v>point.com</v>
      </c>
      <c r="B1458" s="5" t="str">
        <f>IFERROR(__xludf.DUMMYFUNCTION("""COMPUTED_VALUE"""),"proofofplay.com")</f>
        <v>proofofplay.com</v>
      </c>
    </row>
    <row r="1459">
      <c r="A1459" s="6" t="str">
        <f>IFERROR(__xludf.DUMMYFUNCTION("""COMPUTED_VALUE"""),"polychain.capital")</f>
        <v>polychain.capital</v>
      </c>
      <c r="B1459" s="5" t="str">
        <f>IFERROR(__xludf.DUMMYFUNCTION("""COMPUTED_VALUE"""),"joinpropel.com")</f>
        <v>joinpropel.com</v>
      </c>
    </row>
    <row r="1460">
      <c r="A1460" s="5" t="str">
        <f>IFERROR(__xludf.DUMMYFUNCTION("""COMPUTED_VALUE"""),"polywork.com")</f>
        <v>polywork.com</v>
      </c>
      <c r="B1460" s="5" t="str">
        <f>IFERROR(__xludf.DUMMYFUNCTION("""COMPUTED_VALUE"""),"protocol.ai")</f>
        <v>protocol.ai</v>
      </c>
    </row>
    <row r="1461">
      <c r="A1461" s="5" t="str">
        <f>IFERROR(__xludf.DUMMYFUNCTION("""COMPUTED_VALUE"""),"pomelocare.com")</f>
        <v>pomelocare.com</v>
      </c>
      <c r="B1461" s="5" t="str">
        <f>IFERROR(__xludf.DUMMYFUNCTION("""COMPUTED_VALUE"""),"proven.com")</f>
        <v>proven.com</v>
      </c>
    </row>
    <row r="1462">
      <c r="A1462" s="5" t="str">
        <f>IFERROR(__xludf.DUMMYFUNCTION("""COMPUTED_VALUE"""),"practice.do")</f>
        <v>practice.do</v>
      </c>
      <c r="B1462" s="5" t="str">
        <f>IFERROR(__xludf.DUMMYFUNCTION("""COMPUTED_VALUE"""),"pug.ai")</f>
        <v>pug.ai</v>
      </c>
    </row>
    <row r="1463">
      <c r="A1463" s="5" t="str">
        <f>IFERROR(__xludf.DUMMYFUNCTION("""COMPUTED_VALUE"""),"prepared911.com")</f>
        <v>prepared911.com</v>
      </c>
      <c r="B1463" s="5" t="str">
        <f>IFERROR(__xludf.DUMMYFUNCTION("""COMPUTED_VALUE"""),"usepylon.com")</f>
        <v>usepylon.com</v>
      </c>
    </row>
    <row r="1464">
      <c r="A1464" s="5" t="str">
        <f>IFERROR(__xludf.DUMMYFUNCTION("""COMPUTED_VALUE"""),"preset.io")</f>
        <v>preset.io</v>
      </c>
      <c r="B1464" s="5" t="str">
        <f>IFERROR(__xludf.DUMMYFUNCTION("""COMPUTED_VALUE"""),"pynhq.com")</f>
        <v>pynhq.com</v>
      </c>
    </row>
    <row r="1465">
      <c r="A1465" s="5" t="str">
        <f>IFERROR(__xludf.DUMMYFUNCTION("""COMPUTED_VALUE"""),"primodium.com")</f>
        <v>primodium.com</v>
      </c>
      <c r="B1465" s="6" t="str">
        <f>IFERROR(__xludf.DUMMYFUNCTION("""COMPUTED_VALUE"""),"q.bio")</f>
        <v>q.bio</v>
      </c>
    </row>
    <row r="1466">
      <c r="A1466" s="5" t="str">
        <f>IFERROR(__xludf.DUMMYFUNCTION("""COMPUTED_VALUE"""),"prismsvr.com")</f>
        <v>prismsvr.com</v>
      </c>
      <c r="B1466" s="5" t="str">
        <f>IFERROR(__xludf.DUMMYFUNCTION("""COMPUTED_VALUE"""),"quago.io")</f>
        <v>quago.io</v>
      </c>
    </row>
    <row r="1467">
      <c r="A1467" s="5" t="str">
        <f>IFERROR(__xludf.DUMMYFUNCTION("""COMPUTED_VALUE"""),"promisestudios.com")</f>
        <v>promisestudios.com</v>
      </c>
      <c r="B1467" s="5" t="str">
        <f>IFERROR(__xludf.DUMMYFUNCTION("""COMPUTED_VALUE"""),"quora.com")</f>
        <v>quora.com</v>
      </c>
    </row>
    <row r="1468">
      <c r="A1468" s="6" t="str">
        <f>IFERROR(__xludf.DUMMYFUNCTION("""COMPUTED_VALUE"""),"promptfoo.dev")</f>
        <v>promptfoo.dev</v>
      </c>
      <c r="B1468" s="5" t="str">
        <f>IFERROR(__xludf.DUMMYFUNCTION("""COMPUTED_VALUE"""),"rabb.it")</f>
        <v>rabb.it</v>
      </c>
    </row>
    <row r="1469">
      <c r="A1469" s="5" t="str">
        <f>IFERROR(__xludf.DUMMYFUNCTION("""COMPUTED_VALUE"""),"proof.xyz")</f>
        <v>proof.xyz</v>
      </c>
      <c r="B1469" s="5" t="str">
        <f>IFERROR(__xludf.DUMMYFUNCTION("""COMPUTED_VALUE"""),"rademploy.com")</f>
        <v>rademploy.com</v>
      </c>
    </row>
    <row r="1470">
      <c r="A1470" s="5" t="str">
        <f>IFERROR(__xludf.DUMMYFUNCTION("""COMPUTED_VALUE"""),"proofofplay.com")</f>
        <v>proofofplay.com</v>
      </c>
      <c r="B1470" s="5" t="str">
        <f>IFERROR(__xludf.DUMMYFUNCTION("""COMPUTED_VALUE"""),"radiantnuclear.com")</f>
        <v>radiantnuclear.com</v>
      </c>
    </row>
    <row r="1471">
      <c r="A1471" s="5" t="str">
        <f>IFERROR(__xludf.DUMMYFUNCTION("""COMPUTED_VALUE"""),"joinpropel.com")</f>
        <v>joinpropel.com</v>
      </c>
      <c r="B1471" s="5" t="str">
        <f>IFERROR(__xludf.DUMMYFUNCTION("""COMPUTED_VALUE"""),"raidbase.com")</f>
        <v>raidbase.com</v>
      </c>
    </row>
    <row r="1472">
      <c r="A1472" s="5" t="str">
        <f>IFERROR(__xludf.DUMMYFUNCTION("""COMPUTED_VALUE"""),"protocol.ai")</f>
        <v>protocol.ai</v>
      </c>
      <c r="B1472" s="5" t="str">
        <f>IFERROR(__xludf.DUMMYFUNCTION("""COMPUTED_VALUE"""),"rapidapi.com")</f>
        <v>rapidapi.com</v>
      </c>
    </row>
    <row r="1473">
      <c r="A1473" s="5" t="str">
        <f>IFERROR(__xludf.DUMMYFUNCTION("""COMPUTED_VALUE"""),"proven.com")</f>
        <v>proven.com</v>
      </c>
      <c r="B1473" s="5" t="str">
        <f>IFERROR(__xludf.DUMMYFUNCTION("""COMPUTED_VALUE"""),"about.rappi.com")</f>
        <v>about.rappi.com</v>
      </c>
    </row>
    <row r="1474">
      <c r="A1474" s="5" t="str">
        <f>IFERROR(__xludf.DUMMYFUNCTION("""COMPUTED_VALUE"""),"pug.ai")</f>
        <v>pug.ai</v>
      </c>
      <c r="B1474" s="5" t="str">
        <f>IFERROR(__xludf.DUMMYFUNCTION("""COMPUTED_VALUE"""),"rasa.com")</f>
        <v>rasa.com</v>
      </c>
    </row>
    <row r="1475">
      <c r="A1475" s="5" t="str">
        <f>IFERROR(__xludf.DUMMYFUNCTION("""COMPUTED_VALUE"""),"usepylon.com")</f>
        <v>usepylon.com</v>
      </c>
      <c r="B1475" s="5" t="str">
        <f>IFERROR(__xludf.DUMMYFUNCTION("""COMPUTED_VALUE"""),"rascalgames.com")</f>
        <v>rascalgames.com</v>
      </c>
    </row>
    <row r="1476">
      <c r="A1476" s="5" t="str">
        <f>IFERROR(__xludf.DUMMYFUNCTION("""COMPUTED_VALUE"""),"pynhq.com")</f>
        <v>pynhq.com</v>
      </c>
      <c r="B1476" s="5" t="str">
        <f>IFERROR(__xludf.DUMMYFUNCTION("""COMPUTED_VALUE"""),"raspberry.ai")</f>
        <v>raspberry.ai</v>
      </c>
    </row>
    <row r="1477">
      <c r="A1477" s="6" t="str">
        <f>IFERROR(__xludf.DUMMYFUNCTION("""COMPUTED_VALUE"""),"q.bio")</f>
        <v>q.bio</v>
      </c>
      <c r="B1477" s="5" t="str">
        <f>IFERROR(__xludf.DUMMYFUNCTION("""COMPUTED_VALUE"""),"playonray.com")</f>
        <v>playonray.com</v>
      </c>
    </row>
    <row r="1478">
      <c r="A1478" s="5" t="str">
        <f>IFERROR(__xludf.DUMMYFUNCTION("""COMPUTED_VALUE"""),"quago.io")</f>
        <v>quago.io</v>
      </c>
      <c r="B1478" s="5" t="str">
        <f>IFERROR(__xludf.DUMMYFUNCTION("""COMPUTED_VALUE"""),"readyplayer.me")</f>
        <v>readyplayer.me</v>
      </c>
    </row>
    <row r="1479">
      <c r="A1479" s="5" t="str">
        <f>IFERROR(__xludf.DUMMYFUNCTION("""COMPUTED_VALUE"""),"quora.com")</f>
        <v>quora.com</v>
      </c>
      <c r="B1479" s="5" t="str">
        <f>IFERROR(__xludf.DUMMYFUNCTION("""COMPUTED_VALUE"""),"reface.ai")</f>
        <v>reface.ai</v>
      </c>
    </row>
    <row r="1480">
      <c r="A1480" s="5" t="str">
        <f>IFERROR(__xludf.DUMMYFUNCTION("""COMPUTED_VALUE"""),"rabb.it")</f>
        <v>rabb.it</v>
      </c>
      <c r="B1480" s="5" t="str">
        <f>IFERROR(__xludf.DUMMYFUNCTION("""COMPUTED_VALUE"""),"reforge.com")</f>
        <v>reforge.com</v>
      </c>
    </row>
    <row r="1481">
      <c r="A1481" s="5" t="str">
        <f>IFERROR(__xludf.DUMMYFUNCTION("""COMPUTED_VALUE"""),"rademploy.com")</f>
        <v>rademploy.com</v>
      </c>
      <c r="B1481" s="5" t="str">
        <f>IFERROR(__xludf.DUMMYFUNCTION("""COMPUTED_VALUE"""),"regrello.com")</f>
        <v>regrello.com</v>
      </c>
    </row>
    <row r="1482">
      <c r="A1482" s="5" t="str">
        <f>IFERROR(__xludf.DUMMYFUNCTION("""COMPUTED_VALUE"""),"radiantnuclear.com")</f>
        <v>radiantnuclear.com</v>
      </c>
      <c r="B1482" s="5" t="str">
        <f>IFERROR(__xludf.DUMMYFUNCTION("""COMPUTED_VALUE"""),"regression.gg")</f>
        <v>regression.gg</v>
      </c>
    </row>
    <row r="1483">
      <c r="A1483" s="5" t="str">
        <f>IFERROR(__xludf.DUMMYFUNCTION("""COMPUTED_VALUE"""),"raidbase.com")</f>
        <v>raidbase.com</v>
      </c>
      <c r="B1483" s="6" t="str">
        <f>IFERROR(__xludf.DUMMYFUNCTION("""COMPUTED_VALUE"""),"relay.app")</f>
        <v>relay.app</v>
      </c>
    </row>
    <row r="1484">
      <c r="A1484" s="5" t="str">
        <f>IFERROR(__xludf.DUMMYFUNCTION("""COMPUTED_VALUE"""),"rapidapi.com")</f>
        <v>rapidapi.com</v>
      </c>
      <c r="B1484" s="5" t="str">
        <f>IFERROR(__xludf.DUMMYFUNCTION("""COMPUTED_VALUE"""),"replay.io")</f>
        <v>replay.io</v>
      </c>
    </row>
    <row r="1485">
      <c r="A1485" s="5" t="str">
        <f>IFERROR(__xludf.DUMMYFUNCTION("""COMPUTED_VALUE"""),"about.rappi.com")</f>
        <v>about.rappi.com</v>
      </c>
      <c r="B1485" s="5" t="str">
        <f>IFERROR(__xludf.DUMMYFUNCTION("""COMPUTED_VALUE"""),"replit.com")</f>
        <v>replit.com</v>
      </c>
    </row>
    <row r="1486">
      <c r="A1486" s="5" t="str">
        <f>IFERROR(__xludf.DUMMYFUNCTION("""COMPUTED_VALUE"""),"rasa.com")</f>
        <v>rasa.com</v>
      </c>
      <c r="B1486" s="5" t="str">
        <f>IFERROR(__xludf.DUMMYFUNCTION("""COMPUTED_VALUE"""),"resend.com")</f>
        <v>resend.com</v>
      </c>
    </row>
    <row r="1487">
      <c r="A1487" s="5" t="str">
        <f>IFERROR(__xludf.DUMMYFUNCTION("""COMPUTED_VALUE"""),"rascalgames.com")</f>
        <v>rascalgames.com</v>
      </c>
      <c r="B1487" s="5" t="str">
        <f>IFERROR(__xludf.DUMMYFUNCTION("""COMPUTED_VALUE"""),"resourcely.io")</f>
        <v>resourcely.io</v>
      </c>
    </row>
    <row r="1488">
      <c r="A1488" s="5" t="str">
        <f>IFERROR(__xludf.DUMMYFUNCTION("""COMPUTED_VALUE"""),"raspberry.ai")</f>
        <v>raspberry.ai</v>
      </c>
      <c r="B1488" s="5" t="str">
        <f>IFERROR(__xludf.DUMMYFUNCTION("""COMPUTED_VALUE"""),"rewatch.com")</f>
        <v>rewatch.com</v>
      </c>
    </row>
    <row r="1489">
      <c r="A1489" s="5" t="str">
        <f>IFERROR(__xludf.DUMMYFUNCTION("""COMPUTED_VALUE"""),"playonray.com")</f>
        <v>playonray.com</v>
      </c>
      <c r="B1489" s="5" t="str">
        <f>IFERROR(__xludf.DUMMYFUNCTION("""COMPUTED_VALUE"""),"rezotx.com")</f>
        <v>rezotx.com</v>
      </c>
    </row>
    <row r="1490">
      <c r="A1490" s="5" t="str">
        <f>IFERROR(__xludf.DUMMYFUNCTION("""COMPUTED_VALUE"""),"readyplayer.me")</f>
        <v>readyplayer.me</v>
      </c>
      <c r="B1490" s="6" t="str">
        <f>IFERROR(__xludf.DUMMYFUNCTION("""COMPUTED_VALUE"""),"rive.app")</f>
        <v>rive.app</v>
      </c>
    </row>
    <row r="1491">
      <c r="A1491" s="5" t="str">
        <f>IFERROR(__xludf.DUMMYFUNCTION("""COMPUTED_VALUE"""),"reface.ai")</f>
        <v>reface.ai</v>
      </c>
      <c r="B1491" s="5" t="str">
        <f>IFERROR(__xludf.DUMMYFUNCTION("""COMPUTED_VALUE"""),"rivet.gg")</f>
        <v>rivet.gg</v>
      </c>
    </row>
    <row r="1492">
      <c r="A1492" s="5" t="str">
        <f>IFERROR(__xludf.DUMMYFUNCTION("""COMPUTED_VALUE"""),"reforge.com")</f>
        <v>reforge.com</v>
      </c>
      <c r="B1492" s="5" t="str">
        <f>IFERROR(__xludf.DUMMYFUNCTION("""COMPUTED_VALUE"""),"forte.io")</f>
        <v>forte.io</v>
      </c>
    </row>
    <row r="1493">
      <c r="A1493" s="5" t="str">
        <f>IFERROR(__xludf.DUMMYFUNCTION("""COMPUTED_VALUE"""),"regrello.com")</f>
        <v>regrello.com</v>
      </c>
      <c r="B1493" s="5" t="str">
        <f>IFERROR(__xludf.DUMMYFUNCTION("""COMPUTED_VALUE"""),"robotogames.com")</f>
        <v>robotogames.com</v>
      </c>
    </row>
    <row r="1494">
      <c r="A1494" s="5" t="str">
        <f>IFERROR(__xludf.DUMMYFUNCTION("""COMPUTED_VALUE"""),"regression.gg")</f>
        <v>regression.gg</v>
      </c>
      <c r="B1494" s="5" t="str">
        <f>IFERROR(__xludf.DUMMYFUNCTION("""COMPUTED_VALUE"""),"rollup.ai")</f>
        <v>rollup.ai</v>
      </c>
    </row>
    <row r="1495">
      <c r="A1495" s="6" t="str">
        <f>IFERROR(__xludf.DUMMYFUNCTION("""COMPUTED_VALUE"""),"relay.app")</f>
        <v>relay.app</v>
      </c>
      <c r="B1495" s="5" t="str">
        <f>IFERROR(__xludf.DUMMYFUNCTION("""COMPUTED_VALUE"""),"rometx.com")</f>
        <v>rometx.com</v>
      </c>
    </row>
    <row r="1496">
      <c r="A1496" s="5" t="str">
        <f>IFERROR(__xludf.DUMMYFUNCTION("""COMPUTED_VALUE"""),"replay.io")</f>
        <v>replay.io</v>
      </c>
      <c r="B1496" s="5" t="str">
        <f>IFERROR(__xludf.DUMMYFUNCTION("""COMPUTED_VALUE"""),"rosebud.ai")</f>
        <v>rosebud.ai</v>
      </c>
    </row>
    <row r="1497">
      <c r="A1497" s="5" t="str">
        <f>IFERROR(__xludf.DUMMYFUNCTION("""COMPUTED_VALUE"""),"replit.com")</f>
        <v>replit.com</v>
      </c>
      <c r="B1497" s="5" t="str">
        <f>IFERROR(__xludf.DUMMYFUNCTION("""COMPUTED_VALUE"""),"royal.io")</f>
        <v>royal.io</v>
      </c>
    </row>
    <row r="1498">
      <c r="A1498" s="5" t="str">
        <f>IFERROR(__xludf.DUMMYFUNCTION("""COMPUTED_VALUE"""),"resend.com")</f>
        <v>resend.com</v>
      </c>
      <c r="B1498" s="6" t="str">
        <f>IFERROR(__xludf.DUMMYFUNCTION("""COMPUTED_VALUE"""),"runtheworld.today")</f>
        <v>runtheworld.today</v>
      </c>
    </row>
    <row r="1499">
      <c r="A1499" s="5" t="str">
        <f>IFERROR(__xludf.DUMMYFUNCTION("""COMPUTED_VALUE"""),"resourcely.io")</f>
        <v>resourcely.io</v>
      </c>
      <c r="B1499" s="5" t="str">
        <f>IFERROR(__xludf.DUMMYFUNCTION("""COMPUTED_VALUE"""),"runloop.xyz")</f>
        <v>runloop.xyz</v>
      </c>
    </row>
    <row r="1500">
      <c r="A1500" s="5" t="str">
        <f>IFERROR(__xludf.DUMMYFUNCTION("""COMPUTED_VALUE"""),"rewatch.com")</f>
        <v>rewatch.com</v>
      </c>
      <c r="B1500" s="5" t="str">
        <f>IFERROR(__xludf.DUMMYFUNCTION("""COMPUTED_VALUE"""),"picfinder.ai")</f>
        <v>picfinder.ai</v>
      </c>
    </row>
    <row r="1501">
      <c r="A1501" s="5" t="str">
        <f>IFERROR(__xludf.DUMMYFUNCTION("""COMPUTED_VALUE"""),"rezotx.com")</f>
        <v>rezotx.com</v>
      </c>
      <c r="B1501" s="5" t="str">
        <f>IFERROR(__xludf.DUMMYFUNCTION("""COMPUTED_VALUE"""),"runway.com")</f>
        <v>runway.com</v>
      </c>
    </row>
    <row r="1502">
      <c r="A1502" s="6" t="str">
        <f>IFERROR(__xludf.DUMMYFUNCTION("""COMPUTED_VALUE"""),"rive.app")</f>
        <v>rive.app</v>
      </c>
      <c r="B1502" s="5" t="str">
        <f>IFERROR(__xludf.DUMMYFUNCTION("""COMPUTED_VALUE"""),"rutter.com")</f>
        <v>rutter.com</v>
      </c>
    </row>
    <row r="1503">
      <c r="A1503" s="5" t="str">
        <f>IFERROR(__xludf.DUMMYFUNCTION("""COMPUTED_VALUE"""),"rivet.gg")</f>
        <v>rivet.gg</v>
      </c>
      <c r="B1503" s="6" t="str">
        <f>IFERROR(__xludf.DUMMYFUNCTION("""COMPUTED_VALUE"""),"rye.store")</f>
        <v>rye.store</v>
      </c>
    </row>
    <row r="1504">
      <c r="A1504" s="5" t="str">
        <f>IFERROR(__xludf.DUMMYFUNCTION("""COMPUTED_VALUE"""),"forte.io")</f>
        <v>forte.io</v>
      </c>
      <c r="B1504" s="6" t="str">
        <f>IFERROR(__xludf.DUMMYFUNCTION("""COMPUTED_VALUE"""),"ssi.inc")</f>
        <v>ssi.inc</v>
      </c>
    </row>
    <row r="1505">
      <c r="A1505" s="5" t="str">
        <f>IFERROR(__xludf.DUMMYFUNCTION("""COMPUTED_VALUE"""),"robotogames.com")</f>
        <v>robotogames.com</v>
      </c>
      <c r="B1505" s="5" t="str">
        <f>IFERROR(__xludf.DUMMYFUNCTION("""COMPUTED_VALUE"""),"sandboxvr.com")</f>
        <v>sandboxvr.com</v>
      </c>
    </row>
    <row r="1506">
      <c r="A1506" s="5" t="str">
        <f>IFERROR(__xludf.DUMMYFUNCTION("""COMPUTED_VALUE"""),"rollup.ai")</f>
        <v>rollup.ai</v>
      </c>
      <c r="B1506" s="5" t="str">
        <f>IFERROR(__xludf.DUMMYFUNCTION("""COMPUTED_VALUE"""),"santaanabio.com")</f>
        <v>santaanabio.com</v>
      </c>
    </row>
    <row r="1507">
      <c r="A1507" s="5" t="str">
        <f>IFERROR(__xludf.DUMMYFUNCTION("""COMPUTED_VALUE"""),"rometx.com")</f>
        <v>rometx.com</v>
      </c>
      <c r="B1507" s="5" t="str">
        <f>IFERROR(__xludf.DUMMYFUNCTION("""COMPUTED_VALUE"""),"sardine.ai")</f>
        <v>sardine.ai</v>
      </c>
    </row>
    <row r="1508">
      <c r="A1508" s="5" t="str">
        <f>IFERROR(__xludf.DUMMYFUNCTION("""COMPUTED_VALUE"""),"rosebud.ai")</f>
        <v>rosebud.ai</v>
      </c>
      <c r="B1508" s="5" t="str">
        <f>IFERROR(__xludf.DUMMYFUNCTION("""COMPUTED_VALUE"""),"saronic.com")</f>
        <v>saronic.com</v>
      </c>
    </row>
    <row r="1509">
      <c r="A1509" s="5" t="str">
        <f>IFERROR(__xludf.DUMMYFUNCTION("""COMPUTED_VALUE"""),"royal.io")</f>
        <v>royal.io</v>
      </c>
      <c r="B1509" s="5" t="str">
        <f>IFERROR(__xludf.DUMMYFUNCTION("""COMPUTED_VALUE"""),"sceneinfrastructure.com")</f>
        <v>sceneinfrastructure.com</v>
      </c>
    </row>
    <row r="1510">
      <c r="A1510" s="6" t="str">
        <f>IFERROR(__xludf.DUMMYFUNCTION("""COMPUTED_VALUE"""),"runtheworld.today")</f>
        <v>runtheworld.today</v>
      </c>
      <c r="B1510" s="5" t="str">
        <f>IFERROR(__xludf.DUMMYFUNCTION("""COMPUTED_VALUE"""),"scribetx.com")</f>
        <v>scribetx.com</v>
      </c>
    </row>
    <row r="1511">
      <c r="A1511" s="5" t="str">
        <f>IFERROR(__xludf.DUMMYFUNCTION("""COMPUTED_VALUE"""),"runloop.xyz")</f>
        <v>runloop.xyz</v>
      </c>
      <c r="B1511" s="5" t="str">
        <f>IFERROR(__xludf.DUMMYFUNCTION("""COMPUTED_VALUE"""),"scribenote.com")</f>
        <v>scribenote.com</v>
      </c>
    </row>
    <row r="1512">
      <c r="A1512" s="5" t="str">
        <f>IFERROR(__xludf.DUMMYFUNCTION("""COMPUTED_VALUE"""),"picfinder.ai")</f>
        <v>picfinder.ai</v>
      </c>
      <c r="B1512" s="5" t="str">
        <f>IFERROR(__xludf.DUMMYFUNCTION("""COMPUTED_VALUE"""),"seasonhealth.com")</f>
        <v>seasonhealth.com</v>
      </c>
    </row>
    <row r="1513">
      <c r="A1513" s="5" t="str">
        <f>IFERROR(__xludf.DUMMYFUNCTION("""COMPUTED_VALUE"""),"runway.com")</f>
        <v>runway.com</v>
      </c>
      <c r="B1513" s="5" t="str">
        <f>IFERROR(__xludf.DUMMYFUNCTION("""COMPUTED_VALUE"""),"sentilink.com")</f>
        <v>sentilink.com</v>
      </c>
    </row>
    <row r="1514">
      <c r="A1514" s="5" t="str">
        <f>IFERROR(__xludf.DUMMYFUNCTION("""COMPUTED_VALUE"""),"rutter.com")</f>
        <v>rutter.com</v>
      </c>
      <c r="B1514" s="5" t="str">
        <f>IFERROR(__xludf.DUMMYFUNCTION("""COMPUTED_VALUE"""),"sequencehq.com")</f>
        <v>sequencehq.com</v>
      </c>
    </row>
    <row r="1515">
      <c r="A1515" s="6" t="str">
        <f>IFERROR(__xludf.DUMMYFUNCTION("""COMPUTED_VALUE"""),"rye.store")</f>
        <v>rye.store</v>
      </c>
      <c r="B1515" s="6" t="str">
        <f>IFERROR(__xludf.DUMMYFUNCTION("""COMPUTED_VALUE"""),"series.inc")</f>
        <v>series.inc</v>
      </c>
    </row>
    <row r="1516">
      <c r="A1516" s="6" t="str">
        <f>IFERROR(__xludf.DUMMYFUNCTION("""COMPUTED_VALUE"""),"ssi.inc")</f>
        <v>ssi.inc</v>
      </c>
      <c r="B1516" s="5" t="str">
        <f>IFERROR(__xludf.DUMMYFUNCTION("""COMPUTED_VALUE"""),"setpoint.io")</f>
        <v>setpoint.io</v>
      </c>
    </row>
    <row r="1517">
      <c r="A1517" s="5" t="str">
        <f>IFERROR(__xludf.DUMMYFUNCTION("""COMPUTED_VALUE"""),"sandboxvr.com")</f>
        <v>sandboxvr.com</v>
      </c>
      <c r="B1517" s="5" t="str">
        <f>IFERROR(__xludf.DUMMYFUNCTION("""COMPUTED_VALUE"""),"shef.com")</f>
        <v>shef.com</v>
      </c>
    </row>
    <row r="1518">
      <c r="A1518" s="5" t="str">
        <f>IFERROR(__xludf.DUMMYFUNCTION("""COMPUTED_VALUE"""),"santaanabio.com")</f>
        <v>santaanabio.com</v>
      </c>
      <c r="B1518" s="5" t="str">
        <f>IFERROR(__xludf.DUMMYFUNCTION("""COMPUTED_VALUE"""),"shibuya.xyz")</f>
        <v>shibuya.xyz</v>
      </c>
    </row>
    <row r="1519">
      <c r="A1519" s="5" t="str">
        <f>IFERROR(__xludf.DUMMYFUNCTION("""COMPUTED_VALUE"""),"sardine.ai")</f>
        <v>sardine.ai</v>
      </c>
      <c r="B1519" s="5" t="str">
        <f>IFERROR(__xludf.DUMMYFUNCTION("""COMPUTED_VALUE"""),"shield.ai")</f>
        <v>shield.ai</v>
      </c>
    </row>
    <row r="1520">
      <c r="A1520" s="5" t="str">
        <f>IFERROR(__xludf.DUMMYFUNCTION("""COMPUTED_VALUE"""),"saronic.com")</f>
        <v>saronic.com</v>
      </c>
      <c r="B1520" s="5" t="str">
        <f>IFERROR(__xludf.DUMMYFUNCTION("""COMPUTED_VALUE"""),"singularity6.com")</f>
        <v>singularity6.com</v>
      </c>
    </row>
    <row r="1521">
      <c r="A1521" s="5" t="str">
        <f>IFERROR(__xludf.DUMMYFUNCTION("""COMPUTED_VALUE"""),"sceneinfrastructure.com")</f>
        <v>sceneinfrastructure.com</v>
      </c>
      <c r="B1521" s="5" t="str">
        <f>IFERROR(__xludf.DUMMYFUNCTION("""COMPUTED_VALUE"""),"skymavis.com")</f>
        <v>skymavis.com</v>
      </c>
    </row>
    <row r="1522">
      <c r="A1522" s="5" t="str">
        <f>IFERROR(__xludf.DUMMYFUNCTION("""COMPUTED_VALUE"""),"scribetx.com")</f>
        <v>scribetx.com</v>
      </c>
      <c r="B1522" s="5" t="str">
        <f>IFERROR(__xludf.DUMMYFUNCTION("""COMPUTED_VALUE"""),"skydio.com")</f>
        <v>skydio.com</v>
      </c>
    </row>
    <row r="1523">
      <c r="A1523" s="5" t="str">
        <f>IFERROR(__xludf.DUMMYFUNCTION("""COMPUTED_VALUE"""),"scribenote.com")</f>
        <v>scribenote.com</v>
      </c>
      <c r="B1523" s="5" t="str">
        <f>IFERROR(__xludf.DUMMYFUNCTION("""COMPUTED_VALUE"""),"skypunk.com")</f>
        <v>skypunk.com</v>
      </c>
    </row>
    <row r="1524">
      <c r="A1524" s="5" t="str">
        <f>IFERROR(__xludf.DUMMYFUNCTION("""COMPUTED_VALUE"""),"seasonhealth.com")</f>
        <v>seasonhealth.com</v>
      </c>
      <c r="B1524" s="5" t="str">
        <f>IFERROR(__xludf.DUMMYFUNCTION("""COMPUTED_VALUE"""),"skysafe.io")</f>
        <v>skysafe.io</v>
      </c>
    </row>
    <row r="1525">
      <c r="A1525" s="5" t="str">
        <f>IFERROR(__xludf.DUMMYFUNCTION("""COMPUTED_VALUE"""),"sentilink.com")</f>
        <v>sentilink.com</v>
      </c>
      <c r="B1525" s="5" t="str">
        <f>IFERROR(__xludf.DUMMYFUNCTION("""COMPUTED_VALUE"""),"sleeper.com")</f>
        <v>sleeper.com</v>
      </c>
    </row>
    <row r="1526">
      <c r="A1526" s="5" t="str">
        <f>IFERROR(__xludf.DUMMYFUNCTION("""COMPUTED_VALUE"""),"sequencehq.com")</f>
        <v>sequencehq.com</v>
      </c>
      <c r="B1526" s="5" t="str">
        <f>IFERROR(__xludf.DUMMYFUNCTION("""COMPUTED_VALUE"""),"slingshot.xyz")</f>
        <v>slingshot.xyz</v>
      </c>
    </row>
    <row r="1527">
      <c r="A1527" s="6" t="str">
        <f>IFERROR(__xludf.DUMMYFUNCTION("""COMPUTED_VALUE"""),"series.inc")</f>
        <v>series.inc</v>
      </c>
      <c r="B1527" s="5" t="str">
        <f>IFERROR(__xludf.DUMMYFUNCTION("""COMPUTED_VALUE"""),"sloyd.ai")</f>
        <v>sloyd.ai</v>
      </c>
    </row>
    <row r="1528">
      <c r="A1528" s="5" t="str">
        <f>IFERROR(__xludf.DUMMYFUNCTION("""COMPUTED_VALUE"""),"setpoint.io")</f>
        <v>setpoint.io</v>
      </c>
      <c r="B1528" s="5" t="str">
        <f>IFERROR(__xludf.DUMMYFUNCTION("""COMPUTED_VALUE"""),"smartcar.com")</f>
        <v>smartcar.com</v>
      </c>
    </row>
    <row r="1529">
      <c r="A1529" s="5" t="str">
        <f>IFERROR(__xludf.DUMMYFUNCTION("""COMPUTED_VALUE"""),"shef.com")</f>
        <v>shef.com</v>
      </c>
      <c r="B1529" s="5" t="str">
        <f>IFERROR(__xludf.DUMMYFUNCTION("""COMPUTED_VALUE"""),"snackpass.co")</f>
        <v>snackpass.co</v>
      </c>
    </row>
    <row r="1530">
      <c r="A1530" s="5" t="str">
        <f>IFERROR(__xludf.DUMMYFUNCTION("""COMPUTED_VALUE"""),"shibuya.xyz")</f>
        <v>shibuya.xyz</v>
      </c>
      <c r="B1530" s="5" t="str">
        <f>IFERROR(__xludf.DUMMYFUNCTION("""COMPUTED_VALUE"""),"snaplogic.com")</f>
        <v>snaplogic.com</v>
      </c>
    </row>
    <row r="1531">
      <c r="A1531" s="5" t="str">
        <f>IFERROR(__xludf.DUMMYFUNCTION("""COMPUTED_VALUE"""),"shield.ai")</f>
        <v>shield.ai</v>
      </c>
      <c r="B1531" s="5" t="str">
        <f>IFERROR(__xludf.DUMMYFUNCTION("""COMPUTED_VALUE"""),"snapser.com")</f>
        <v>snapser.com</v>
      </c>
    </row>
    <row r="1532">
      <c r="A1532" s="5" t="str">
        <f>IFERROR(__xludf.DUMMYFUNCTION("""COMPUTED_VALUE"""),"singularity6.com")</f>
        <v>singularity6.com</v>
      </c>
      <c r="B1532" s="6" t="str">
        <f>IFERROR(__xludf.DUMMYFUNCTION("""COMPUTED_VALUE"""),"socket.dev")</f>
        <v>socket.dev</v>
      </c>
    </row>
    <row r="1533">
      <c r="A1533" s="5" t="str">
        <f>IFERROR(__xludf.DUMMYFUNCTION("""COMPUTED_VALUE"""),"skymavis.com")</f>
        <v>skymavis.com</v>
      </c>
      <c r="B1533" s="5" t="str">
        <f>IFERROR(__xludf.DUMMYFUNCTION("""COMPUTED_VALUE"""),"solana.com")</f>
        <v>solana.com</v>
      </c>
    </row>
    <row r="1534">
      <c r="A1534" s="5" t="str">
        <f>IFERROR(__xludf.DUMMYFUNCTION("""COMPUTED_VALUE"""),"skydio.com")</f>
        <v>skydio.com</v>
      </c>
      <c r="B1534" s="5" t="str">
        <f>IFERROR(__xludf.DUMMYFUNCTION("""COMPUTED_VALUE"""),"sound.xyz")</f>
        <v>sound.xyz</v>
      </c>
    </row>
    <row r="1535">
      <c r="A1535" s="5" t="str">
        <f>IFERROR(__xludf.DUMMYFUNCTION("""COMPUTED_VALUE"""),"skypunk.com")</f>
        <v>skypunk.com</v>
      </c>
      <c r="B1535" s="5" t="str">
        <f>IFERROR(__xludf.DUMMYFUNCTION("""COMPUTED_VALUE"""),"about.sourcegraph.com")</f>
        <v>about.sourcegraph.com</v>
      </c>
    </row>
    <row r="1536">
      <c r="A1536" s="5" t="str">
        <f>IFERROR(__xludf.DUMMYFUNCTION("""COMPUTED_VALUE"""),"skysafe.io")</f>
        <v>skysafe.io</v>
      </c>
      <c r="B1536" s="5" t="str">
        <f>IFERROR(__xludf.DUMMYFUNCTION("""COMPUTED_VALUE"""),"spacex.com")</f>
        <v>spacex.com</v>
      </c>
    </row>
    <row r="1537">
      <c r="A1537" s="5" t="str">
        <f>IFERROR(__xludf.DUMMYFUNCTION("""COMPUTED_VALUE"""),"sleeper.com")</f>
        <v>sleeper.com</v>
      </c>
      <c r="B1537" s="5" t="str">
        <f>IFERROR(__xludf.DUMMYFUNCTION("""COMPUTED_VALUE"""),"spade.com")</f>
        <v>spade.com</v>
      </c>
    </row>
    <row r="1538">
      <c r="A1538" s="5" t="str">
        <f>IFERROR(__xludf.DUMMYFUNCTION("""COMPUTED_VALUE"""),"slingshot.xyz")</f>
        <v>slingshot.xyz</v>
      </c>
      <c r="B1538" s="5" t="str">
        <f>IFERROR(__xludf.DUMMYFUNCTION("""COMPUTED_VALUE"""),"spoton.com")</f>
        <v>spoton.com</v>
      </c>
    </row>
    <row r="1539">
      <c r="A1539" s="5" t="str">
        <f>IFERROR(__xludf.DUMMYFUNCTION("""COMPUTED_VALUE"""),"sloyd.ai")</f>
        <v>sloyd.ai</v>
      </c>
      <c r="B1539" s="5" t="str">
        <f>IFERROR(__xludf.DUMMYFUNCTION("""COMPUTED_VALUE"""),"sprig.com")</f>
        <v>sprig.com</v>
      </c>
    </row>
    <row r="1540">
      <c r="A1540" s="5" t="str">
        <f>IFERROR(__xludf.DUMMYFUNCTION("""COMPUTED_VALUE"""),"smartcar.com")</f>
        <v>smartcar.com</v>
      </c>
      <c r="B1540" s="5" t="str">
        <f>IFERROR(__xludf.DUMMYFUNCTION("""COMPUTED_VALUE"""),"sprinterhealth.com")</f>
        <v>sprinterhealth.com</v>
      </c>
    </row>
    <row r="1541">
      <c r="A1541" s="5" t="str">
        <f>IFERROR(__xludf.DUMMYFUNCTION("""COMPUTED_VALUE"""),"snackpass.co")</f>
        <v>snackpass.co</v>
      </c>
      <c r="B1541" s="5" t="str">
        <f>IFERROR(__xludf.DUMMYFUNCTION("""COMPUTED_VALUE"""),"spruceid.com")</f>
        <v>spruceid.com</v>
      </c>
    </row>
    <row r="1542">
      <c r="A1542" s="5" t="str">
        <f>IFERROR(__xludf.DUMMYFUNCTION("""COMPUTED_VALUE"""),"snaplogic.com")</f>
        <v>snaplogic.com</v>
      </c>
      <c r="B1542" s="5" t="str">
        <f>IFERROR(__xludf.DUMMYFUNCTION("""COMPUTED_VALUE"""),"stackerhq.com")</f>
        <v>stackerhq.com</v>
      </c>
    </row>
    <row r="1543">
      <c r="A1543" s="5" t="str">
        <f>IFERROR(__xludf.DUMMYFUNCTION("""COMPUTED_VALUE"""),"snapser.com")</f>
        <v>snapser.com</v>
      </c>
      <c r="B1543" s="5" t="str">
        <f>IFERROR(__xludf.DUMMYFUNCTION("""COMPUTED_VALUE"""),"starburst.io")</f>
        <v>starburst.io</v>
      </c>
    </row>
    <row r="1544">
      <c r="A1544" s="6" t="str">
        <f>IFERROR(__xludf.DUMMYFUNCTION("""COMPUTED_VALUE"""),"socket.dev")</f>
        <v>socket.dev</v>
      </c>
      <c r="B1544" s="5" t="str">
        <f>IFERROR(__xludf.DUMMYFUNCTION("""COMPUTED_VALUE"""),"starstock.com")</f>
        <v>starstock.com</v>
      </c>
    </row>
    <row r="1545">
      <c r="A1545" s="5" t="str">
        <f>IFERROR(__xludf.DUMMYFUNCTION("""COMPUTED_VALUE"""),"solana.com")</f>
        <v>solana.com</v>
      </c>
      <c r="B1545" s="6" t="str">
        <f>IFERROR(__xludf.DUMMYFUNCTION("""COMPUTED_VALUE"""),"startplaying.games")</f>
        <v>startplaying.games</v>
      </c>
    </row>
    <row r="1546">
      <c r="A1546" s="5" t="str">
        <f>IFERROR(__xludf.DUMMYFUNCTION("""COMPUTED_VALUE"""),"sound.xyz")</f>
        <v>sound.xyz</v>
      </c>
      <c r="B1546" s="5" t="str">
        <f>IFERROR(__xludf.DUMMYFUNCTION("""COMPUTED_VALUE"""),"stelolabs.com")</f>
        <v>stelolabs.com</v>
      </c>
    </row>
    <row r="1547">
      <c r="A1547" s="5" t="str">
        <f>IFERROR(__xludf.DUMMYFUNCTION("""COMPUTED_VALUE"""),"about.sourcegraph.com")</f>
        <v>about.sourcegraph.com</v>
      </c>
      <c r="B1547" s="5" t="str">
        <f>IFERROR(__xludf.DUMMYFUNCTION("""COMPUTED_VALUE"""),"stoik.io")</f>
        <v>stoik.io</v>
      </c>
    </row>
    <row r="1548">
      <c r="A1548" s="5" t="str">
        <f>IFERROR(__xludf.DUMMYFUNCTION("""COMPUTED_VALUE"""),"spacex.com")</f>
        <v>spacex.com</v>
      </c>
      <c r="B1548" s="5" t="str">
        <f>IFERROR(__xludf.DUMMYFUNCTION("""COMPUTED_VALUE"""),"stonks.com")</f>
        <v>stonks.com</v>
      </c>
    </row>
    <row r="1549">
      <c r="A1549" s="5" t="str">
        <f>IFERROR(__xludf.DUMMYFUNCTION("""COMPUTED_VALUE"""),"spade.com")</f>
        <v>spade.com</v>
      </c>
      <c r="B1549" s="5" t="str">
        <f>IFERROR(__xludf.DUMMYFUNCTION("""COMPUTED_VALUE"""),"storyprotocol.xyz")</f>
        <v>storyprotocol.xyz</v>
      </c>
    </row>
    <row r="1550">
      <c r="A1550" s="5" t="str">
        <f>IFERROR(__xludf.DUMMYFUNCTION("""COMPUTED_VALUE"""),"spoton.com")</f>
        <v>spoton.com</v>
      </c>
      <c r="B1550" s="5" t="str">
        <f>IFERROR(__xludf.DUMMYFUNCTION("""COMPUTED_VALUE"""),"stripe.com")</f>
        <v>stripe.com</v>
      </c>
    </row>
    <row r="1551">
      <c r="A1551" s="5" t="str">
        <f>IFERROR(__xludf.DUMMYFUNCTION("""COMPUTED_VALUE"""),"sprig.com")</f>
        <v>sprig.com</v>
      </c>
      <c r="B1551" s="5" t="str">
        <f>IFERROR(__xludf.DUMMYFUNCTION("""COMPUTED_VALUE"""),"substack.com")</f>
        <v>substack.com</v>
      </c>
    </row>
    <row r="1552">
      <c r="A1552" s="5" t="str">
        <f>IFERROR(__xludf.DUMMYFUNCTION("""COMPUTED_VALUE"""),"sprinterhealth.com")</f>
        <v>sprinterhealth.com</v>
      </c>
      <c r="B1552" s="5" t="str">
        <f>IFERROR(__xludf.DUMMYFUNCTION("""COMPUTED_VALUE"""),"supergaming.com")</f>
        <v>supergaming.com</v>
      </c>
    </row>
    <row r="1553">
      <c r="A1553" s="5" t="str">
        <f>IFERROR(__xludf.DUMMYFUNCTION("""COMPUTED_VALUE"""),"spruceid.com")</f>
        <v>spruceid.com</v>
      </c>
      <c r="B1553" s="5" t="str">
        <f>IFERROR(__xludf.DUMMYFUNCTION("""COMPUTED_VALUE"""),"superhuman.com")</f>
        <v>superhuman.com</v>
      </c>
    </row>
    <row r="1554">
      <c r="A1554" s="5" t="str">
        <f>IFERROR(__xludf.DUMMYFUNCTION("""COMPUTED_VALUE"""),"stackerhq.com")</f>
        <v>stackerhq.com</v>
      </c>
      <c r="B1554" s="5" t="str">
        <f>IFERROR(__xludf.DUMMYFUNCTION("""COMPUTED_VALUE"""),"supermove.com")</f>
        <v>supermove.com</v>
      </c>
    </row>
    <row r="1555">
      <c r="A1555" s="5" t="str">
        <f>IFERROR(__xludf.DUMMYFUNCTION("""COMPUTED_VALUE"""),"starburst.io")</f>
        <v>starburst.io</v>
      </c>
      <c r="B1555" s="5" t="str">
        <f>IFERROR(__xludf.DUMMYFUNCTION("""COMPUTED_VALUE"""),"svix.com")</f>
        <v>svix.com</v>
      </c>
    </row>
    <row r="1556">
      <c r="A1556" s="5" t="str">
        <f>IFERROR(__xludf.DUMMYFUNCTION("""COMPUTED_VALUE"""),"starstock.com")</f>
        <v>starstock.com</v>
      </c>
      <c r="B1556" s="6" t="str">
        <f>IFERROR(__xludf.DUMMYFUNCTION("""COMPUTED_VALUE"""),"swan.tech")</f>
        <v>swan.tech</v>
      </c>
    </row>
    <row r="1557">
      <c r="A1557" s="6" t="str">
        <f>IFERROR(__xludf.DUMMYFUNCTION("""COMPUTED_VALUE"""),"startplaying.games")</f>
        <v>startplaying.games</v>
      </c>
      <c r="B1557" s="5" t="str">
        <f>IFERROR(__xludf.DUMMYFUNCTION("""COMPUTED_VALUE"""),"swaybrand.com")</f>
        <v>swaybrand.com</v>
      </c>
    </row>
    <row r="1558">
      <c r="A1558" s="5" t="str">
        <f>IFERROR(__xludf.DUMMYFUNCTION("""COMPUTED_VALUE"""),"stelolabs.com")</f>
        <v>stelolabs.com</v>
      </c>
      <c r="B1558" s="5" t="str">
        <f>IFERROR(__xludf.DUMMYFUNCTION("""COMPUTED_VALUE"""),"synapsefi.com")</f>
        <v>synapsefi.com</v>
      </c>
    </row>
    <row r="1559">
      <c r="A1559" s="5" t="str">
        <f>IFERROR(__xludf.DUMMYFUNCTION("""COMPUTED_VALUE"""),"stoik.io")</f>
        <v>stoik.io</v>
      </c>
      <c r="B1559" s="5" t="str">
        <f>IFERROR(__xludf.DUMMYFUNCTION("""COMPUTED_VALUE"""),"syndicate.io")</f>
        <v>syndicate.io</v>
      </c>
    </row>
    <row r="1560">
      <c r="A1560" s="5" t="str">
        <f>IFERROR(__xludf.DUMMYFUNCTION("""COMPUTED_VALUE"""),"stonks.com")</f>
        <v>stonks.com</v>
      </c>
      <c r="B1560" s="6" t="str">
        <f>IFERROR(__xludf.DUMMYFUNCTION("""COMPUTED_VALUE"""),"synonym.bio")</f>
        <v>synonym.bio</v>
      </c>
    </row>
    <row r="1561">
      <c r="A1561" s="5" t="str">
        <f>IFERROR(__xludf.DUMMYFUNCTION("""COMPUTED_VALUE"""),"storyprotocol.xyz")</f>
        <v>storyprotocol.xyz</v>
      </c>
      <c r="B1561" s="5" t="str">
        <f>IFERROR(__xludf.DUMMYFUNCTION("""COMPUTED_VALUE"""),"tackle.io")</f>
        <v>tackle.io</v>
      </c>
    </row>
    <row r="1562">
      <c r="A1562" s="5" t="str">
        <f>IFERROR(__xludf.DUMMYFUNCTION("""COMPUTED_VALUE"""),"stripe.com")</f>
        <v>stripe.com</v>
      </c>
      <c r="B1562" s="5" t="str">
        <f>IFERROR(__xludf.DUMMYFUNCTION("""COMPUTED_VALUE"""),"usetako.com")</f>
        <v>usetako.com</v>
      </c>
    </row>
    <row r="1563">
      <c r="A1563" s="5" t="str">
        <f>IFERROR(__xludf.DUMMYFUNCTION("""COMPUTED_VALUE"""),"substack.com")</f>
        <v>substack.com</v>
      </c>
      <c r="B1563" s="5" t="str">
        <f>IFERROR(__xludf.DUMMYFUNCTION("""COMPUTED_VALUE"""),"talkiatry.com")</f>
        <v>talkiatry.com</v>
      </c>
    </row>
    <row r="1564">
      <c r="A1564" s="5" t="str">
        <f>IFERROR(__xludf.DUMMYFUNCTION("""COMPUTED_VALUE"""),"supergaming.com")</f>
        <v>supergaming.com</v>
      </c>
      <c r="B1564" s="5" t="str">
        <f>IFERROR(__xludf.DUMMYFUNCTION("""COMPUTED_VALUE"""),"meettally.com")</f>
        <v>meettally.com</v>
      </c>
    </row>
    <row r="1565">
      <c r="A1565" s="5" t="str">
        <f>IFERROR(__xludf.DUMMYFUNCTION("""COMPUTED_VALUE"""),"superhuman.com")</f>
        <v>superhuman.com</v>
      </c>
      <c r="B1565" s="5" t="str">
        <f>IFERROR(__xludf.DUMMYFUNCTION("""COMPUTED_VALUE"""),"tallylabs.xyz")</f>
        <v>tallylabs.xyz</v>
      </c>
    </row>
    <row r="1566">
      <c r="A1566" s="5" t="str">
        <f>IFERROR(__xludf.DUMMYFUNCTION("""COMPUTED_VALUE"""),"supermove.com")</f>
        <v>supermove.com</v>
      </c>
      <c r="B1566" s="5" t="str">
        <f>IFERROR(__xludf.DUMMYFUNCTION("""COMPUTED_VALUE"""),"talofagames.com")</f>
        <v>talofagames.com</v>
      </c>
    </row>
    <row r="1567">
      <c r="A1567" s="5" t="str">
        <f>IFERROR(__xludf.DUMMYFUNCTION("""COMPUTED_VALUE"""),"svix.com")</f>
        <v>svix.com</v>
      </c>
      <c r="B1567" s="5" t="str">
        <f>IFERROR(__xludf.DUMMYFUNCTION("""COMPUTED_VALUE"""),"talos.com")</f>
        <v>talos.com</v>
      </c>
    </row>
    <row r="1568">
      <c r="A1568" s="6" t="str">
        <f>IFERROR(__xludf.DUMMYFUNCTION("""COMPUTED_VALUE"""),"swan.tech")</f>
        <v>swan.tech</v>
      </c>
      <c r="B1568" s="5" t="str">
        <f>IFERROR(__xludf.DUMMYFUNCTION("""COMPUTED_VALUE"""),"tanium.com")</f>
        <v>tanium.com</v>
      </c>
    </row>
    <row r="1569">
      <c r="A1569" s="5" t="str">
        <f>IFERROR(__xludf.DUMMYFUNCTION("""COMPUTED_VALUE"""),"swaybrand.com")</f>
        <v>swaybrand.com</v>
      </c>
      <c r="B1569" s="5" t="str">
        <f>IFERROR(__xludf.DUMMYFUNCTION("""COMPUTED_VALUE"""),"tapi.la")</f>
        <v>tapi.la</v>
      </c>
    </row>
    <row r="1570">
      <c r="A1570" s="5" t="str">
        <f>IFERROR(__xludf.DUMMYFUNCTION("""COMPUTED_VALUE"""),"synapsefi.com")</f>
        <v>synapsefi.com</v>
      </c>
      <c r="B1570" s="5" t="str">
        <f>IFERROR(__xludf.DUMMYFUNCTION("""COMPUTED_VALUE"""),"tecton.ai")</f>
        <v>tecton.ai</v>
      </c>
    </row>
    <row r="1571">
      <c r="A1571" s="5" t="str">
        <f>IFERROR(__xludf.DUMMYFUNCTION("""COMPUTED_VALUE"""),"syndicate.io")</f>
        <v>syndicate.io</v>
      </c>
      <c r="B1571" s="5" t="str">
        <f>IFERROR(__xludf.DUMMYFUNCTION("""COMPUTED_VALUE"""),"teespring.com")</f>
        <v>teespring.com</v>
      </c>
    </row>
    <row r="1572">
      <c r="A1572" s="6" t="str">
        <f>IFERROR(__xludf.DUMMYFUNCTION("""COMPUTED_VALUE"""),"synonym.bio")</f>
        <v>synonym.bio</v>
      </c>
      <c r="B1572" s="5" t="str">
        <f>IFERROR(__xludf.DUMMYFUNCTION("""COMPUTED_VALUE"""),"tellusapp.com")</f>
        <v>tellusapp.com</v>
      </c>
    </row>
    <row r="1573">
      <c r="A1573" s="5" t="str">
        <f>IFERROR(__xludf.DUMMYFUNCTION("""COMPUTED_VALUE"""),"tackle.io")</f>
        <v>tackle.io</v>
      </c>
      <c r="B1573" s="5" t="str">
        <f>IFERROR(__xludf.DUMMYFUNCTION("""COMPUTED_VALUE"""),"tenex.ai")</f>
        <v>tenex.ai</v>
      </c>
    </row>
    <row r="1574">
      <c r="A1574" s="5" t="str">
        <f>IFERROR(__xludf.DUMMYFUNCTION("""COMPUTED_VALUE"""),"usetako.com")</f>
        <v>usetako.com</v>
      </c>
      <c r="B1574" s="5" t="str">
        <f>IFERROR(__xludf.DUMMYFUNCTION("""COMPUTED_VALUE"""),"tennr.com")</f>
        <v>tennr.com</v>
      </c>
    </row>
    <row r="1575">
      <c r="A1575" s="5" t="str">
        <f>IFERROR(__xludf.DUMMYFUNCTION("""COMPUTED_VALUE"""),"talkiatry.com")</f>
        <v>talkiatry.com</v>
      </c>
      <c r="B1575" s="5" t="str">
        <f>IFERROR(__xludf.DUMMYFUNCTION("""COMPUTED_VALUE"""),"testco.de")</f>
        <v>testco.de</v>
      </c>
    </row>
    <row r="1576">
      <c r="A1576" s="5" t="str">
        <f>IFERROR(__xludf.DUMMYFUNCTION("""COMPUTED_VALUE"""),"meettally.com")</f>
        <v>meettally.com</v>
      </c>
      <c r="B1576" s="5" t="str">
        <f>IFERROR(__xludf.DUMMYFUNCTION("""COMPUTED_VALUE"""),"thecoterie.co")</f>
        <v>thecoterie.co</v>
      </c>
    </row>
    <row r="1577">
      <c r="A1577" s="5" t="str">
        <f>IFERROR(__xludf.DUMMYFUNCTION("""COMPUTED_VALUE"""),"tallylabs.xyz")</f>
        <v>tallylabs.xyz</v>
      </c>
      <c r="B1577" s="5" t="str">
        <f>IFERROR(__xludf.DUMMYFUNCTION("""COMPUTED_VALUE"""),"thepossible.io")</f>
        <v>thepossible.io</v>
      </c>
    </row>
    <row r="1578">
      <c r="A1578" s="5" t="str">
        <f>IFERROR(__xludf.DUMMYFUNCTION("""COMPUTED_VALUE"""),"talofagames.com")</f>
        <v>talofagames.com</v>
      </c>
      <c r="B1578" s="5" t="str">
        <f>IFERROR(__xludf.DUMMYFUNCTION("""COMPUTED_VALUE"""),"thepromenade.ai")</f>
        <v>thepromenade.ai</v>
      </c>
    </row>
    <row r="1579">
      <c r="A1579" s="5" t="str">
        <f>IFERROR(__xludf.DUMMYFUNCTION("""COMPUTED_VALUE"""),"talos.com")</f>
        <v>talos.com</v>
      </c>
      <c r="B1579" s="5" t="str">
        <f>IFERROR(__xludf.DUMMYFUNCTION("""COMPUTED_VALUE"""),"theorycraftgames.com")</f>
        <v>theorycraftgames.com</v>
      </c>
    </row>
    <row r="1580">
      <c r="A1580" s="5" t="str">
        <f>IFERROR(__xludf.DUMMYFUNCTION("""COMPUTED_VALUE"""),"tanium.com")</f>
        <v>tanium.com</v>
      </c>
      <c r="B1580" s="5" t="str">
        <f>IFERROR(__xludf.DUMMYFUNCTION("""COMPUTED_VALUE"""),"thymecare.com")</f>
        <v>thymecare.com</v>
      </c>
    </row>
    <row r="1581">
      <c r="A1581" s="5" t="str">
        <f>IFERROR(__xludf.DUMMYFUNCTION("""COMPUTED_VALUE"""),"tapi.la")</f>
        <v>tapi.la</v>
      </c>
      <c r="B1581" s="5" t="str">
        <f>IFERROR(__xludf.DUMMYFUNCTION("""COMPUTED_VALUE"""),"tigrisdata.com")</f>
        <v>tigrisdata.com</v>
      </c>
    </row>
    <row r="1582">
      <c r="A1582" s="5" t="str">
        <f>IFERROR(__xludf.DUMMYFUNCTION("""COMPUTED_VALUE"""),"tecton.ai")</f>
        <v>tecton.ai</v>
      </c>
      <c r="B1582" s="5" t="str">
        <f>IFERROR(__xludf.DUMMYFUNCTION("""COMPUTED_VALUE"""),"thetimbucktoo.com")</f>
        <v>thetimbucktoo.com</v>
      </c>
    </row>
    <row r="1583">
      <c r="A1583" s="5" t="str">
        <f>IFERROR(__xludf.DUMMYFUNCTION("""COMPUTED_VALUE"""),"teespring.com")</f>
        <v>teespring.com</v>
      </c>
      <c r="B1583" s="5" t="str">
        <f>IFERROR(__xludf.DUMMYFUNCTION("""COMPUTED_VALUE"""),"tinycometstudios.com")</f>
        <v>tinycometstudios.com</v>
      </c>
    </row>
    <row r="1584">
      <c r="A1584" s="5" t="str">
        <f>IFERROR(__xludf.DUMMYFUNCTION("""COMPUTED_VALUE"""),"tellusapp.com")</f>
        <v>tellusapp.com</v>
      </c>
      <c r="B1584" s="5" t="str">
        <f>IFERROR(__xludf.DUMMYFUNCTION("""COMPUTED_VALUE"""),"tiptop.com")</f>
        <v>tiptop.com</v>
      </c>
    </row>
    <row r="1585">
      <c r="A1585" s="5" t="str">
        <f>IFERROR(__xludf.DUMMYFUNCTION("""COMPUTED_VALUE"""),"tenex.ai")</f>
        <v>tenex.ai</v>
      </c>
      <c r="B1585" s="5" t="str">
        <f>IFERROR(__xludf.DUMMYFUNCTION("""COMPUTED_VALUE"""),"titan.com")</f>
        <v>titan.com</v>
      </c>
    </row>
    <row r="1586">
      <c r="A1586" s="5" t="str">
        <f>IFERROR(__xludf.DUMMYFUNCTION("""COMPUTED_VALUE"""),"tennr.com")</f>
        <v>tennr.com</v>
      </c>
      <c r="B1586" s="5" t="str">
        <f>IFERROR(__xludf.DUMMYFUNCTION("""COMPUTED_VALUE"""),"urbit.org")</f>
        <v>urbit.org</v>
      </c>
    </row>
    <row r="1587">
      <c r="A1587" s="5" t="str">
        <f>IFERROR(__xludf.DUMMYFUNCTION("""COMPUTED_VALUE"""),"testco.de")</f>
        <v>testco.de</v>
      </c>
      <c r="B1587" s="5" t="str">
        <f>IFERROR(__xludf.DUMMYFUNCTION("""COMPUTED_VALUE"""),"tokagroup.com")</f>
        <v>tokagroup.com</v>
      </c>
    </row>
    <row r="1588">
      <c r="A1588" s="5" t="str">
        <f>IFERROR(__xludf.DUMMYFUNCTION("""COMPUTED_VALUE"""),"thecoterie.co")</f>
        <v>thecoterie.co</v>
      </c>
      <c r="B1588" s="5" t="str">
        <f>IFERROR(__xludf.DUMMYFUNCTION("""COMPUTED_VALUE"""),"home.tomorrowhealth.com")</f>
        <v>home.tomorrowhealth.com</v>
      </c>
    </row>
    <row r="1589">
      <c r="A1589" s="5" t="str">
        <f>IFERROR(__xludf.DUMMYFUNCTION("""COMPUTED_VALUE"""),"thepossible.io")</f>
        <v>thepossible.io</v>
      </c>
      <c r="B1589" s="5" t="str">
        <f>IFERROR(__xludf.DUMMYFUNCTION("""COMPUTED_VALUE"""),"topkey.io")</f>
        <v>topkey.io</v>
      </c>
    </row>
    <row r="1590">
      <c r="A1590" s="5" t="str">
        <f>IFERROR(__xludf.DUMMYFUNCTION("""COMPUTED_VALUE"""),"thepromenade.ai")</f>
        <v>thepromenade.ai</v>
      </c>
      <c r="B1590" s="5" t="str">
        <f>IFERROR(__xludf.DUMMYFUNCTION("""COMPUTED_VALUE"""),"jointopo.com")</f>
        <v>jointopo.com</v>
      </c>
    </row>
    <row r="1591">
      <c r="A1591" s="5" t="str">
        <f>IFERROR(__xludf.DUMMYFUNCTION("""COMPUTED_VALUE"""),"theorycraftgames.com")</f>
        <v>theorycraftgames.com</v>
      </c>
      <c r="B1591" s="5" t="str">
        <f>IFERROR(__xludf.DUMMYFUNCTION("""COMPUTED_VALUE"""),"torbiegames.com")</f>
        <v>torbiegames.com</v>
      </c>
    </row>
    <row r="1592">
      <c r="A1592" s="5" t="str">
        <f>IFERROR(__xludf.DUMMYFUNCTION("""COMPUTED_VALUE"""),"thymecare.com")</f>
        <v>thymecare.com</v>
      </c>
      <c r="B1592" s="5" t="str">
        <f>IFERROR(__xludf.DUMMYFUNCTION("""COMPUTED_VALUE"""),"tradeblock.com")</f>
        <v>tradeblock.com</v>
      </c>
    </row>
    <row r="1593">
      <c r="A1593" s="5" t="str">
        <f>IFERROR(__xludf.DUMMYFUNCTION("""COMPUTED_VALUE"""),"tigrisdata.com")</f>
        <v>tigrisdata.com</v>
      </c>
      <c r="B1593" s="5" t="str">
        <f>IFERROR(__xludf.DUMMYFUNCTION("""COMPUTED_VALUE"""),"trassgames.com")</f>
        <v>trassgames.com</v>
      </c>
    </row>
    <row r="1594">
      <c r="A1594" s="5" t="str">
        <f>IFERROR(__xludf.DUMMYFUNCTION("""COMPUTED_VALUE"""),"thetimbucktoo.com")</f>
        <v>thetimbucktoo.com</v>
      </c>
      <c r="B1594" s="5" t="str">
        <f>IFERROR(__xludf.DUMMYFUNCTION("""COMPUTED_VALUE"""),"trucksmarter.com")</f>
        <v>trucksmarter.com</v>
      </c>
    </row>
    <row r="1595">
      <c r="A1595" s="5" t="str">
        <f>IFERROR(__xludf.DUMMYFUNCTION("""COMPUTED_VALUE"""),"tinycometstudios.com")</f>
        <v>tinycometstudios.com</v>
      </c>
      <c r="B1595" s="5" t="str">
        <f>IFERROR(__xludf.DUMMYFUNCTION("""COMPUTED_VALUE"""),"trufflesecurity.com")</f>
        <v>trufflesecurity.com</v>
      </c>
    </row>
    <row r="1596">
      <c r="A1596" s="5" t="str">
        <f>IFERROR(__xludf.DUMMYFUNCTION("""COMPUTED_VALUE"""),"tiptop.com")</f>
        <v>tiptop.com</v>
      </c>
      <c r="B1596" s="5" t="str">
        <f>IFERROR(__xludf.DUMMYFUNCTION("""COMPUTED_VALUE"""),"trunk.io")</f>
        <v>trunk.io</v>
      </c>
    </row>
    <row r="1597">
      <c r="A1597" s="5" t="str">
        <f>IFERROR(__xludf.DUMMYFUNCTION("""COMPUTED_VALUE"""),"titan.com")</f>
        <v>titan.com</v>
      </c>
      <c r="B1597" s="5" t="str">
        <f>IFERROR(__xludf.DUMMYFUNCTION("""COMPUTED_VALUE"""),"trusttoken.com")</f>
        <v>trusttoken.com</v>
      </c>
    </row>
    <row r="1598">
      <c r="A1598" s="5" t="str">
        <f>IFERROR(__xludf.DUMMYFUNCTION("""COMPUTED_VALUE"""),"urbit.org")</f>
        <v>urbit.org</v>
      </c>
      <c r="B1598" s="6" t="str">
        <f>IFERROR(__xludf.DUMMYFUNCTION("""COMPUTED_VALUE"""),"turquoise.health")</f>
        <v>turquoise.health</v>
      </c>
    </row>
    <row r="1599">
      <c r="A1599" s="5" t="str">
        <f>IFERROR(__xludf.DUMMYFUNCTION("""COMPUTED_VALUE"""),"tokagroup.com")</f>
        <v>tokagroup.com</v>
      </c>
      <c r="B1599" s="5" t="str">
        <f>IFERROR(__xludf.DUMMYFUNCTION("""COMPUTED_VALUE"""),"udio.com")</f>
        <v>udio.com</v>
      </c>
    </row>
    <row r="1600">
      <c r="A1600" s="5" t="str">
        <f>IFERROR(__xludf.DUMMYFUNCTION("""COMPUTED_VALUE"""),"home.tomorrowhealth.com")</f>
        <v>home.tomorrowhealth.com</v>
      </c>
      <c r="B1600" s="5" t="str">
        <f>IFERROR(__xludf.DUMMYFUNCTION("""COMPUTED_VALUE"""),"ultimagenomics.com")</f>
        <v>ultimagenomics.com</v>
      </c>
    </row>
    <row r="1601">
      <c r="A1601" s="5" t="str">
        <f>IFERROR(__xludf.DUMMYFUNCTION("""COMPUTED_VALUE"""),"topkey.io")</f>
        <v>topkey.io</v>
      </c>
      <c r="B1601" s="5" t="str">
        <f>IFERROR(__xludf.DUMMYFUNCTION("""COMPUTED_VALUE"""),"unify.id")</f>
        <v>unify.id</v>
      </c>
    </row>
    <row r="1602">
      <c r="A1602" s="5" t="str">
        <f>IFERROR(__xludf.DUMMYFUNCTION("""COMPUTED_VALUE"""),"jointopo.com")</f>
        <v>jointopo.com</v>
      </c>
      <c r="B1602" s="5" t="str">
        <f>IFERROR(__xludf.DUMMYFUNCTION("""COMPUTED_VALUE"""),"uniswap.org")</f>
        <v>uniswap.org</v>
      </c>
    </row>
    <row r="1603">
      <c r="A1603" s="5" t="str">
        <f>IFERROR(__xludf.DUMMYFUNCTION("""COMPUTED_VALUE"""),"torbiegames.com")</f>
        <v>torbiegames.com</v>
      </c>
      <c r="B1603" s="5" t="str">
        <f>IFERROR(__xludf.DUMMYFUNCTION("""COMPUTED_VALUE"""),"unitedmasters.com")</f>
        <v>unitedmasters.com</v>
      </c>
    </row>
    <row r="1604">
      <c r="A1604" s="5" t="str">
        <f>IFERROR(__xludf.DUMMYFUNCTION("""COMPUTED_VALUE"""),"tradeblock.com")</f>
        <v>tradeblock.com</v>
      </c>
      <c r="B1604" s="5" t="str">
        <f>IFERROR(__xludf.DUMMYFUNCTION("""COMPUTED_VALUE"""),"unleashedgames.com")</f>
        <v>unleashedgames.com</v>
      </c>
    </row>
    <row r="1605">
      <c r="A1605" s="5" t="str">
        <f>IFERROR(__xludf.DUMMYFUNCTION("""COMPUTED_VALUE"""),"trassgames.com")</f>
        <v>trassgames.com</v>
      </c>
      <c r="B1605" s="5" t="str">
        <f>IFERROR(__xludf.DUMMYFUNCTION("""COMPUTED_VALUE"""),"upsmith.com")</f>
        <v>upsmith.com</v>
      </c>
    </row>
    <row r="1606">
      <c r="A1606" s="5" t="str">
        <f>IFERROR(__xludf.DUMMYFUNCTION("""COMPUTED_VALUE"""),"trucksmarter.com")</f>
        <v>trucksmarter.com</v>
      </c>
      <c r="B1606" s="5" t="str">
        <f>IFERROR(__xludf.DUMMYFUNCTION("""COMPUTED_VALUE"""),"upstash.com")</f>
        <v>upstash.com</v>
      </c>
    </row>
    <row r="1607">
      <c r="A1607" s="5" t="str">
        <f>IFERROR(__xludf.DUMMYFUNCTION("""COMPUTED_VALUE"""),"trufflesecurity.com")</f>
        <v>trufflesecurity.com</v>
      </c>
      <c r="B1607" s="5" t="str">
        <f>IFERROR(__xludf.DUMMYFUNCTION("""COMPUTED_VALUE"""),"uthana.com")</f>
        <v>uthana.com</v>
      </c>
    </row>
    <row r="1608">
      <c r="A1608" s="5" t="str">
        <f>IFERROR(__xludf.DUMMYFUNCTION("""COMPUTED_VALUE"""),"trunk.io")</f>
        <v>trunk.io</v>
      </c>
      <c r="B1608" s="5" t="str">
        <f>IFERROR(__xludf.DUMMYFUNCTION("""COMPUTED_VALUE"""),"getvaas.com")</f>
        <v>getvaas.com</v>
      </c>
    </row>
    <row r="1609">
      <c r="A1609" s="5" t="str">
        <f>IFERROR(__xludf.DUMMYFUNCTION("""COMPUTED_VALUE"""),"trusttoken.com")</f>
        <v>trusttoken.com</v>
      </c>
      <c r="B1609" s="5" t="str">
        <f>IFERROR(__xludf.DUMMYFUNCTION("""COMPUTED_VALUE"""),"valarlabs.com")</f>
        <v>valarlabs.com</v>
      </c>
    </row>
    <row r="1610">
      <c r="A1610" s="6" t="str">
        <f>IFERROR(__xludf.DUMMYFUNCTION("""COMPUTED_VALUE"""),"turquoise.health")</f>
        <v>turquoise.health</v>
      </c>
      <c r="B1610" s="5" t="str">
        <f>IFERROR(__xludf.DUMMYFUNCTION("""COMPUTED_VALUE"""),"valon.com")</f>
        <v>valon.com</v>
      </c>
    </row>
    <row r="1611">
      <c r="A1611" s="5" t="str">
        <f>IFERROR(__xludf.DUMMYFUNCTION("""COMPUTED_VALUE"""),"udio.com")</f>
        <v>udio.com</v>
      </c>
      <c r="B1611" s="5" t="str">
        <f>IFERROR(__xludf.DUMMYFUNCTION("""COMPUTED_VALUE"""),"valoraapp.com")</f>
        <v>valoraapp.com</v>
      </c>
    </row>
    <row r="1612">
      <c r="A1612" s="5" t="str">
        <f>IFERROR(__xludf.DUMMYFUNCTION("""COMPUTED_VALUE"""),"ultimagenomics.com")</f>
        <v>ultimagenomics.com</v>
      </c>
      <c r="B1612" s="5" t="str">
        <f>IFERROR(__xludf.DUMMYFUNCTION("""COMPUTED_VALUE"""),"vantage.sh")</f>
        <v>vantage.sh</v>
      </c>
    </row>
    <row r="1613">
      <c r="A1613" s="5" t="str">
        <f>IFERROR(__xludf.DUMMYFUNCTION("""COMPUTED_VALUE"""),"unify.id")</f>
        <v>unify.id</v>
      </c>
      <c r="B1613" s="5" t="str">
        <f>IFERROR(__xludf.DUMMYFUNCTION("""COMPUTED_VALUE"""),"veefriends.com")</f>
        <v>veefriends.com</v>
      </c>
    </row>
    <row r="1614">
      <c r="A1614" s="5" t="str">
        <f>IFERROR(__xludf.DUMMYFUNCTION("""COMPUTED_VALUE"""),"uniswap.org")</f>
        <v>uniswap.org</v>
      </c>
      <c r="B1614" s="5" t="str">
        <f>IFERROR(__xludf.DUMMYFUNCTION("""COMPUTED_VALUE"""),"ventrilo.ai")</f>
        <v>ventrilo.ai</v>
      </c>
    </row>
    <row r="1615">
      <c r="A1615" s="5" t="str">
        <f>IFERROR(__xludf.DUMMYFUNCTION("""COMPUTED_VALUE"""),"unitedmasters.com")</f>
        <v>unitedmasters.com</v>
      </c>
      <c r="B1615" s="5" t="str">
        <f>IFERROR(__xludf.DUMMYFUNCTION("""COMPUTED_VALUE"""),"ventustx.com")</f>
        <v>ventustx.com</v>
      </c>
    </row>
    <row r="1616">
      <c r="A1616" s="5" t="str">
        <f>IFERROR(__xludf.DUMMYFUNCTION("""COMPUTED_VALUE"""),"unleashedgames.com")</f>
        <v>unleashedgames.com</v>
      </c>
      <c r="B1616" s="5" t="str">
        <f>IFERROR(__xludf.DUMMYFUNCTION("""COMPUTED_VALUE"""),"verygoodsecurity.com")</f>
        <v>verygoodsecurity.com</v>
      </c>
    </row>
    <row r="1617">
      <c r="A1617" s="5" t="str">
        <f>IFERROR(__xludf.DUMMYFUNCTION("""COMPUTED_VALUE"""),"upsmith.com")</f>
        <v>upsmith.com</v>
      </c>
      <c r="B1617" s="5" t="str">
        <f>IFERROR(__xludf.DUMMYFUNCTION("""COMPUTED_VALUE"""),"usevesta.com")</f>
        <v>usevesta.com</v>
      </c>
    </row>
    <row r="1618">
      <c r="A1618" s="5" t="str">
        <f>IFERROR(__xludf.DUMMYFUNCTION("""COMPUTED_VALUE"""),"upstash.com")</f>
        <v>upstash.com</v>
      </c>
      <c r="B1618" s="5" t="str">
        <f>IFERROR(__xludf.DUMMYFUNCTION("""COMPUTED_VALUE"""),"vicinitas.com")</f>
        <v>vicinitas.com</v>
      </c>
    </row>
    <row r="1619">
      <c r="A1619" s="5" t="str">
        <f>IFERROR(__xludf.DUMMYFUNCTION("""COMPUTED_VALUE"""),"uthana.com")</f>
        <v>uthana.com</v>
      </c>
      <c r="B1619" s="5" t="str">
        <f>IFERROR(__xludf.DUMMYFUNCTION("""COMPUTED_VALUE"""),"videogame.ai")</f>
        <v>videogame.ai</v>
      </c>
    </row>
    <row r="1620">
      <c r="A1620" s="5" t="str">
        <f>IFERROR(__xludf.DUMMYFUNCTION("""COMPUTED_VALUE"""),"getvaas.com")</f>
        <v>getvaas.com</v>
      </c>
      <c r="B1620" s="5" t="str">
        <f>IFERROR(__xludf.DUMMYFUNCTION("""COMPUTED_VALUE"""),"viggle.ai")</f>
        <v>viggle.ai</v>
      </c>
    </row>
    <row r="1621">
      <c r="A1621" s="5" t="str">
        <f>IFERROR(__xludf.DUMMYFUNCTION("""COMPUTED_VALUE"""),"valarlabs.com")</f>
        <v>valarlabs.com</v>
      </c>
      <c r="B1621" s="5" t="str">
        <f>IFERROR(__xludf.DUMMYFUNCTION("""COMPUTED_VALUE"""),"virchmerchshop.com")</f>
        <v>virchmerchshop.com</v>
      </c>
    </row>
    <row r="1622">
      <c r="A1622" s="5" t="str">
        <f>IFERROR(__xludf.DUMMYFUNCTION("""COMPUTED_VALUE"""),"valon.com")</f>
        <v>valon.com</v>
      </c>
      <c r="B1622" s="5" t="str">
        <f>IFERROR(__xludf.DUMMYFUNCTION("""COMPUTED_VALUE"""),"vitally.io")</f>
        <v>vitally.io</v>
      </c>
    </row>
    <row r="1623">
      <c r="A1623" s="5" t="str">
        <f>IFERROR(__xludf.DUMMYFUNCTION("""COMPUTED_VALUE"""),"valoraapp.com")</f>
        <v>valoraapp.com</v>
      </c>
      <c r="B1623" s="5" t="str">
        <f>IFERROR(__xludf.DUMMYFUNCTION("""COMPUTED_VALUE"""),"voidpet.com")</f>
        <v>voidpet.com</v>
      </c>
    </row>
    <row r="1624">
      <c r="A1624" s="5" t="str">
        <f>IFERROR(__xludf.DUMMYFUNCTION("""COMPUTED_VALUE"""),"vantage.sh")</f>
        <v>vantage.sh</v>
      </c>
      <c r="B1624" s="5" t="str">
        <f>IFERROR(__xludf.DUMMYFUNCTION("""COMPUTED_VALUE"""),"voldex.com")</f>
        <v>voldex.com</v>
      </c>
    </row>
    <row r="1625">
      <c r="A1625" s="5" t="str">
        <f>IFERROR(__xludf.DUMMYFUNCTION("""COMPUTED_VALUE"""),"veefriends.com")</f>
        <v>veefriends.com</v>
      </c>
      <c r="B1625" s="6" t="str">
        <f>IFERROR(__xludf.DUMMYFUNCTION("""COMPUTED_VALUE"""),"goldfinch.finance")</f>
        <v>goldfinch.finance</v>
      </c>
    </row>
    <row r="1626">
      <c r="A1626" s="5" t="str">
        <f>IFERROR(__xludf.DUMMYFUNCTION("""COMPUTED_VALUE"""),"ventrilo.ai")</f>
        <v>ventrilo.ai</v>
      </c>
      <c r="B1626" s="5" t="str">
        <f>IFERROR(__xludf.DUMMYFUNCTION("""COMPUTED_VALUE"""),"waveforms.ai")</f>
        <v>waveforms.ai</v>
      </c>
    </row>
    <row r="1627">
      <c r="A1627" s="5" t="str">
        <f>IFERROR(__xludf.DUMMYFUNCTION("""COMPUTED_VALUE"""),"ventustx.com")</f>
        <v>ventustx.com</v>
      </c>
      <c r="B1627" s="5" t="str">
        <f>IFERROR(__xludf.DUMMYFUNCTION("""COMPUTED_VALUE"""),"waymarkcare.com")</f>
        <v>waymarkcare.com</v>
      </c>
    </row>
    <row r="1628">
      <c r="A1628" s="5" t="str">
        <f>IFERROR(__xludf.DUMMYFUNCTION("""COMPUTED_VALUE"""),"verygoodsecurity.com")</f>
        <v>verygoodsecurity.com</v>
      </c>
      <c r="B1628" s="5" t="str">
        <f>IFERROR(__xludf.DUMMYFUNCTION("""COMPUTED_VALUE"""),"waymo.com")</f>
        <v>waymo.com</v>
      </c>
    </row>
    <row r="1629">
      <c r="A1629" s="5" t="str">
        <f>IFERROR(__xludf.DUMMYFUNCTION("""COMPUTED_VALUE"""),"usevesta.com")</f>
        <v>usevesta.com</v>
      </c>
      <c r="B1629" s="5" t="str">
        <f>IFERROR(__xludf.DUMMYFUNCTION("""COMPUTED_VALUE"""),"wealthmore.net")</f>
        <v>wealthmore.net</v>
      </c>
    </row>
    <row r="1630">
      <c r="A1630" s="5" t="str">
        <f>IFERROR(__xludf.DUMMYFUNCTION("""COMPUTED_VALUE"""),"vicinitas.com")</f>
        <v>vicinitas.com</v>
      </c>
      <c r="B1630" s="5" t="str">
        <f>IFERROR(__xludf.DUMMYFUNCTION("""COMPUTED_VALUE"""),"whatnot.com")</f>
        <v>whatnot.com</v>
      </c>
    </row>
    <row r="1631">
      <c r="A1631" s="5" t="str">
        <f>IFERROR(__xludf.DUMMYFUNCTION("""COMPUTED_VALUE"""),"videogame.ai")</f>
        <v>videogame.ai</v>
      </c>
      <c r="B1631" s="5" t="str">
        <f>IFERROR(__xludf.DUMMYFUNCTION("""COMPUTED_VALUE"""),"windwalk.com")</f>
        <v>windwalk.com</v>
      </c>
    </row>
    <row r="1632">
      <c r="A1632" s="5" t="str">
        <f>IFERROR(__xludf.DUMMYFUNCTION("""COMPUTED_VALUE"""),"viggle.ai")</f>
        <v>viggle.ai</v>
      </c>
      <c r="B1632" s="6" t="str">
        <f>IFERROR(__xludf.DUMMYFUNCTION("""COMPUTED_VALUE"""),"wingspan.app")</f>
        <v>wingspan.app</v>
      </c>
    </row>
    <row r="1633">
      <c r="A1633" s="5" t="str">
        <f>IFERROR(__xludf.DUMMYFUNCTION("""COMPUTED_VALUE"""),"virchmerchshop.com")</f>
        <v>virchmerchshop.com</v>
      </c>
      <c r="B1633" s="5" t="str">
        <f>IFERROR(__xludf.DUMMYFUNCTION("""COMPUTED_VALUE"""),"wonderschool.com")</f>
        <v>wonderschool.com</v>
      </c>
    </row>
    <row r="1634">
      <c r="A1634" s="5" t="str">
        <f>IFERROR(__xludf.DUMMYFUNCTION("""COMPUTED_VALUE"""),"vitally.io")</f>
        <v>vitally.io</v>
      </c>
      <c r="B1634" s="5" t="str">
        <f>IFERROR(__xludf.DUMMYFUNCTION("""COMPUTED_VALUE"""),"workboard.com")</f>
        <v>workboard.com</v>
      </c>
    </row>
    <row r="1635">
      <c r="A1635" s="5" t="str">
        <f>IFERROR(__xludf.DUMMYFUNCTION("""COMPUTED_VALUE"""),"voidpet.com")</f>
        <v>voidpet.com</v>
      </c>
      <c r="B1635" s="5" t="str">
        <f>IFERROR(__xludf.DUMMYFUNCTION("""COMPUTED_VALUE"""),"workrise.com")</f>
        <v>workrise.com</v>
      </c>
    </row>
    <row r="1636">
      <c r="A1636" s="5" t="str">
        <f>IFERROR(__xludf.DUMMYFUNCTION("""COMPUTED_VALUE"""),"voldex.com")</f>
        <v>voldex.com</v>
      </c>
      <c r="B1636" s="5" t="str">
        <f>IFERROR(__xludf.DUMMYFUNCTION("""COMPUTED_VALUE"""),"worldlabs.ai")</f>
        <v>worldlabs.ai</v>
      </c>
    </row>
    <row r="1637">
      <c r="A1637" s="6" t="str">
        <f>IFERROR(__xludf.DUMMYFUNCTION("""COMPUTED_VALUE"""),"goldfinch.finance")</f>
        <v>goldfinch.finance</v>
      </c>
      <c r="B1637" s="5" t="str">
        <f>IFERROR(__xludf.DUMMYFUNCTION("""COMPUTED_VALUE"""),"worldcoin.org")</f>
        <v>worldcoin.org</v>
      </c>
    </row>
    <row r="1638">
      <c r="A1638" s="5" t="str">
        <f>IFERROR(__xludf.DUMMYFUNCTION("""COMPUTED_VALUE"""),"waveforms.ai")</f>
        <v>waveforms.ai</v>
      </c>
      <c r="B1638" s="5" t="str">
        <f>IFERROR(__xludf.DUMMYFUNCTION("""COMPUTED_VALUE"""),"wrapbook.com")</f>
        <v>wrapbook.com</v>
      </c>
    </row>
    <row r="1639">
      <c r="A1639" s="5" t="str">
        <f>IFERROR(__xludf.DUMMYFUNCTION("""COMPUTED_VALUE"""),"waymarkcare.com")</f>
        <v>waymarkcare.com</v>
      </c>
      <c r="B1639" s="5" t="str">
        <f>IFERROR(__xludf.DUMMYFUNCTION("""COMPUTED_VALUE"""),"x.ai")</f>
        <v>x.ai</v>
      </c>
    </row>
    <row r="1640">
      <c r="A1640" s="5" t="str">
        <f>IFERROR(__xludf.DUMMYFUNCTION("""COMPUTED_VALUE"""),"waymo.com")</f>
        <v>waymo.com</v>
      </c>
      <c r="B1640" s="6" t="str">
        <f>IFERROR(__xludf.DUMMYFUNCTION("""COMPUTED_VALUE"""),"x.build")</f>
        <v>x.build</v>
      </c>
    </row>
    <row r="1641">
      <c r="A1641" s="5" t="str">
        <f>IFERROR(__xludf.DUMMYFUNCTION("""COMPUTED_VALUE"""),"wealthmore.net")</f>
        <v>wealthmore.net</v>
      </c>
      <c r="B1641" s="5" t="str">
        <f>IFERROR(__xludf.DUMMYFUNCTION("""COMPUTED_VALUE"""),"xmtp.com")</f>
        <v>xmtp.com</v>
      </c>
    </row>
    <row r="1642">
      <c r="A1642" s="5" t="str">
        <f>IFERROR(__xludf.DUMMYFUNCTION("""COMPUTED_VALUE"""),"whatnot.com")</f>
        <v>whatnot.com</v>
      </c>
      <c r="B1642" s="5" t="str">
        <f>IFERROR(__xludf.DUMMYFUNCTION("""COMPUTED_VALUE"""),"yellow3d.com")</f>
        <v>yellow3d.com</v>
      </c>
    </row>
    <row r="1643">
      <c r="A1643" s="5" t="str">
        <f>IFERROR(__xludf.DUMMYFUNCTION("""COMPUTED_VALUE"""),"windwalk.com")</f>
        <v>windwalk.com</v>
      </c>
      <c r="B1643" s="5" t="str">
        <f>IFERROR(__xludf.DUMMYFUNCTION("""COMPUTED_VALUE"""),"yieldguild.io")</f>
        <v>yieldguild.io</v>
      </c>
    </row>
    <row r="1644">
      <c r="A1644" s="6" t="str">
        <f>IFERROR(__xludf.DUMMYFUNCTION("""COMPUTED_VALUE"""),"wingspan.app")</f>
        <v>wingspan.app</v>
      </c>
      <c r="B1644" s="5" t="str">
        <f>IFERROR(__xludf.DUMMYFUNCTION("""COMPUTED_VALUE"""),"yubico.com")</f>
        <v>yubico.com</v>
      </c>
    </row>
    <row r="1645">
      <c r="A1645" s="5" t="str">
        <f>IFERROR(__xludf.DUMMYFUNCTION("""COMPUTED_VALUE"""),"wonderschool.com")</f>
        <v>wonderschool.com</v>
      </c>
      <c r="B1645" s="5" t="str">
        <f>IFERROR(__xludf.DUMMYFUNCTION("""COMPUTED_VALUE"""),"yugalabs.io")</f>
        <v>yugalabs.io</v>
      </c>
    </row>
    <row r="1646">
      <c r="A1646" s="5" t="str">
        <f>IFERROR(__xludf.DUMMYFUNCTION("""COMPUTED_VALUE"""),"workboard.com")</f>
        <v>workboard.com</v>
      </c>
      <c r="B1646" s="6" t="str">
        <f>IFERROR(__xludf.DUMMYFUNCTION("""COMPUTED_VALUE"""),"y.uno")</f>
        <v>y.uno</v>
      </c>
    </row>
    <row r="1647">
      <c r="A1647" s="5" t="str">
        <f>IFERROR(__xludf.DUMMYFUNCTION("""COMPUTED_VALUE"""),"workrise.com")</f>
        <v>workrise.com</v>
      </c>
      <c r="B1647" s="5" t="str">
        <f>IFERROR(__xludf.DUMMYFUNCTION("""COMPUTED_VALUE"""),"zleague.gg")</f>
        <v>zleague.gg</v>
      </c>
    </row>
    <row r="1648">
      <c r="A1648" s="5" t="str">
        <f>IFERROR(__xludf.DUMMYFUNCTION("""COMPUTED_VALUE"""),"worldlabs.ai")</f>
        <v>worldlabs.ai</v>
      </c>
      <c r="B1648" s="5" t="str">
        <f>IFERROR(__xludf.DUMMYFUNCTION("""COMPUTED_VALUE"""),"vhslab.com")</f>
        <v>vhslab.com</v>
      </c>
    </row>
    <row r="1649">
      <c r="A1649" s="5" t="str">
        <f>IFERROR(__xludf.DUMMYFUNCTION("""COMPUTED_VALUE"""),"worldcoin.org")</f>
        <v>worldcoin.org</v>
      </c>
      <c r="B1649" s="5" t="str">
        <f>IFERROR(__xludf.DUMMYFUNCTION("""COMPUTED_VALUE"""),"linera.io")</f>
        <v>linera.io</v>
      </c>
    </row>
    <row r="1650">
      <c r="A1650" s="5" t="str">
        <f>IFERROR(__xludf.DUMMYFUNCTION("""COMPUTED_VALUE"""),"wrapbook.com")</f>
        <v>wrapbook.com</v>
      </c>
      <c r="B1650" s="5" t="str">
        <f>IFERROR(__xludf.DUMMYFUNCTION("""COMPUTED_VALUE"""),"zenefits.com")</f>
        <v>zenefits.com</v>
      </c>
    </row>
    <row r="1651">
      <c r="A1651" s="5" t="str">
        <f>IFERROR(__xludf.DUMMYFUNCTION("""COMPUTED_VALUE"""),"x.ai")</f>
        <v>x.ai</v>
      </c>
      <c r="B1651" s="5" t="str">
        <f>IFERROR(__xludf.DUMMYFUNCTION("""COMPUTED_VALUE"""),"zeromark.com")</f>
        <v>zeromark.com</v>
      </c>
    </row>
    <row r="1652">
      <c r="A1652" s="6" t="str">
        <f>IFERROR(__xludf.DUMMYFUNCTION("""COMPUTED_VALUE"""),"x.build")</f>
        <v>x.build</v>
      </c>
      <c r="B1652" s="5" t="str">
        <f>IFERROR(__xludf.DUMMYFUNCTION("""COMPUTED_VALUE"""),"effects.zibra.ai")</f>
        <v>effects.zibra.ai</v>
      </c>
    </row>
    <row r="1653">
      <c r="A1653" s="5" t="str">
        <f>IFERROR(__xludf.DUMMYFUNCTION("""COMPUTED_VALUE"""),"xmtp.com")</f>
        <v>xmtp.com</v>
      </c>
      <c r="B1653" s="5" t="str">
        <f>IFERROR(__xludf.DUMMYFUNCTION("""COMPUTED_VALUE"""),"flyzipline.com")</f>
        <v>flyzipline.com</v>
      </c>
    </row>
    <row r="1654">
      <c r="A1654" s="5" t="str">
        <f>IFERROR(__xludf.DUMMYFUNCTION("""COMPUTED_VALUE"""),"yellow3d.com")</f>
        <v>yellow3d.com</v>
      </c>
      <c r="B1654" s="5" t="str">
        <f>IFERROR(__xludf.DUMMYFUNCTION("""COMPUTED_VALUE"""),"zulily.com")</f>
        <v>zulily.com</v>
      </c>
    </row>
    <row r="1655">
      <c r="A1655" s="5" t="str">
        <f>IFERROR(__xludf.DUMMYFUNCTION("""COMPUTED_VALUE"""),"yieldguild.io")</f>
        <v>yieldguild.io</v>
      </c>
      <c r="B1655" s="5" t="str">
        <f>IFERROR(__xludf.DUMMYFUNCTION("""COMPUTED_VALUE"""),"getzuma.com")</f>
        <v>getzuma.com</v>
      </c>
    </row>
    <row r="1656">
      <c r="A1656" s="5" t="str">
        <f>IFERROR(__xludf.DUMMYFUNCTION("""COMPUTED_VALUE"""),"yubico.com")</f>
        <v>yubico.com</v>
      </c>
      <c r="B1656" s="5" t="str">
        <f>IFERROR(__xludf.DUMMYFUNCTION("""COMPUTED_VALUE"""),"zushealth.com")</f>
        <v>zushealth.com</v>
      </c>
    </row>
    <row r="1657">
      <c r="A1657" s="5" t="str">
        <f>IFERROR(__xludf.DUMMYFUNCTION("""COMPUTED_VALUE"""),"yugalabs.io")</f>
        <v>yugalabs.io</v>
      </c>
      <c r="B1657" s="5" t="str">
        <f>IFERROR(__xludf.DUMMYFUNCTION("""COMPUTED_VALUE"""),"fireflies.ai")</f>
        <v>fireflies.ai</v>
      </c>
    </row>
    <row r="1658">
      <c r="A1658" s="6" t="str">
        <f>IFERROR(__xludf.DUMMYFUNCTION("""COMPUTED_VALUE"""),"y.uno")</f>
        <v>y.uno</v>
      </c>
      <c r="B1658" s="5" t="str">
        <f>IFERROR(__xludf.DUMMYFUNCTION("""COMPUTED_VALUE"""),"sketchpro.ai")</f>
        <v>sketchpro.ai</v>
      </c>
    </row>
    <row r="1659">
      <c r="A1659" s="5" t="str">
        <f>IFERROR(__xludf.DUMMYFUNCTION("""COMPUTED_VALUE"""),"zleague.gg")</f>
        <v>zleague.gg</v>
      </c>
      <c r="B1659" s="5" t="str">
        <f>IFERROR(__xludf.DUMMYFUNCTION("""COMPUTED_VALUE"""),"sciphermedicine.com")</f>
        <v>sciphermedicine.com</v>
      </c>
    </row>
    <row r="1660">
      <c r="A1660" s="5" t="str">
        <f>IFERROR(__xludf.DUMMYFUNCTION("""COMPUTED_VALUE"""),"vhslab.com")</f>
        <v>vhslab.com</v>
      </c>
      <c r="B1660" s="5" t="str">
        <f>IFERROR(__xludf.DUMMYFUNCTION("""COMPUTED_VALUE"""),"eightsleep.com")</f>
        <v>eightsleep.com</v>
      </c>
    </row>
    <row r="1661">
      <c r="A1661" s="5" t="str">
        <f>IFERROR(__xludf.DUMMYFUNCTION("""COMPUTED_VALUE"""),"linera.io")</f>
        <v>linera.io</v>
      </c>
      <c r="B1661" s="5" t="str">
        <f>IFERROR(__xludf.DUMMYFUNCTION("""COMPUTED_VALUE"""),"honeyhomes.com")</f>
        <v>honeyhomes.com</v>
      </c>
    </row>
    <row r="1662">
      <c r="A1662" s="5" t="str">
        <f>IFERROR(__xludf.DUMMYFUNCTION("""COMPUTED_VALUE"""),"zenefits.com")</f>
        <v>zenefits.com</v>
      </c>
      <c r="B1662" s="5" t="str">
        <f>IFERROR(__xludf.DUMMYFUNCTION("""COMPUTED_VALUE"""),"popgun.ai")</f>
        <v>popgun.ai</v>
      </c>
    </row>
    <row r="1663">
      <c r="A1663" s="5" t="str">
        <f>IFERROR(__xludf.DUMMYFUNCTION("""COMPUTED_VALUE"""),"zeromark.com")</f>
        <v>zeromark.com</v>
      </c>
      <c r="B1663" s="5" t="str">
        <f>IFERROR(__xludf.DUMMYFUNCTION("""COMPUTED_VALUE"""),"astrus.ai")</f>
        <v>astrus.ai</v>
      </c>
    </row>
    <row r="1664">
      <c r="A1664" s="5" t="str">
        <f>IFERROR(__xludf.DUMMYFUNCTION("""COMPUTED_VALUE"""),"effects.zibra.ai")</f>
        <v>effects.zibra.ai</v>
      </c>
      <c r="B1664" s="5" t="str">
        <f>IFERROR(__xludf.DUMMYFUNCTION("""COMPUTED_VALUE"""),"cognition.ai")</f>
        <v>cognition.ai</v>
      </c>
    </row>
    <row r="1665">
      <c r="A1665" s="5" t="str">
        <f>IFERROR(__xludf.DUMMYFUNCTION("""COMPUTED_VALUE"""),"flyzipline.com")</f>
        <v>flyzipline.com</v>
      </c>
      <c r="B1665" s="5" t="str">
        <f>IFERROR(__xludf.DUMMYFUNCTION("""COMPUTED_VALUE"""),"kognitos.com")</f>
        <v>kognitos.com</v>
      </c>
    </row>
    <row r="1666">
      <c r="A1666" s="5" t="str">
        <f>IFERROR(__xludf.DUMMYFUNCTION("""COMPUTED_VALUE"""),"zulily.com")</f>
        <v>zulily.com</v>
      </c>
      <c r="B1666" s="6" t="str">
        <f>IFERROR(__xludf.DUMMYFUNCTION("""COMPUTED_VALUE"""),"neon.tech")</f>
        <v>neon.tech</v>
      </c>
    </row>
    <row r="1667">
      <c r="A1667" s="5" t="str">
        <f>IFERROR(__xludf.DUMMYFUNCTION("""COMPUTED_VALUE"""),"getzuma.com")</f>
        <v>getzuma.com</v>
      </c>
      <c r="B1667" s="5" t="str">
        <f>IFERROR(__xludf.DUMMYFUNCTION("""COMPUTED_VALUE"""),"parallel.ai")</f>
        <v>parallel.ai</v>
      </c>
    </row>
    <row r="1668">
      <c r="A1668" s="5" t="str">
        <f>IFERROR(__xludf.DUMMYFUNCTION("""COMPUTED_VALUE"""),"zushealth.com")</f>
        <v>zushealth.com</v>
      </c>
      <c r="B1668" s="5" t="str">
        <f>IFERROR(__xludf.DUMMYFUNCTION("""COMPUTED_VALUE"""),"ringcentral.com")</f>
        <v>ringcentral.com</v>
      </c>
    </row>
    <row r="1669">
      <c r="A1669" s="5" t="str">
        <f>IFERROR(__xludf.DUMMYFUNCTION("""COMPUTED_VALUE"""),"fireflies.ai")</f>
        <v>fireflies.ai</v>
      </c>
      <c r="B1669" s="5" t="str">
        <f>IFERROR(__xludf.DUMMYFUNCTION("""COMPUTED_VALUE"""),"rubrik.com")</f>
        <v>rubrik.com</v>
      </c>
    </row>
    <row r="1670">
      <c r="A1670" s="5" t="str">
        <f>IFERROR(__xludf.DUMMYFUNCTION("""COMPUTED_VALUE"""),"sketchpro.ai")</f>
        <v>sketchpro.ai</v>
      </c>
      <c r="B1670" s="5" t="str">
        <f>IFERROR(__xludf.DUMMYFUNCTION("""COMPUTED_VALUE"""),"skyflow.com")</f>
        <v>skyflow.com</v>
      </c>
    </row>
    <row r="1671">
      <c r="A1671" s="5" t="str">
        <f>IFERROR(__xludf.DUMMYFUNCTION("""COMPUTED_VALUE"""),"sciphermedicine.com")</f>
        <v>sciphermedicine.com</v>
      </c>
      <c r="B1671" s="5" t="str">
        <f>IFERROR(__xludf.DUMMYFUNCTION("""COMPUTED_VALUE"""),"roofstock.com")</f>
        <v>roofstock.com</v>
      </c>
    </row>
    <row r="1672">
      <c r="A1672" s="5" t="str">
        <f>IFERROR(__xludf.DUMMYFUNCTION("""COMPUTED_VALUE"""),"eightsleep.com")</f>
        <v>eightsleep.com</v>
      </c>
      <c r="B1672" s="5" t="str">
        <f>IFERROR(__xludf.DUMMYFUNCTION("""COMPUTED_VALUE"""),"berkshiregrey.com")</f>
        <v>berkshiregrey.com</v>
      </c>
    </row>
    <row r="1673">
      <c r="A1673" s="5" t="str">
        <f>IFERROR(__xludf.DUMMYFUNCTION("""COMPUTED_VALUE"""),"honeyhomes.com")</f>
        <v>honeyhomes.com</v>
      </c>
      <c r="B1673" s="5" t="str">
        <f>IFERROR(__xludf.DUMMYFUNCTION("""COMPUTED_VALUE"""),"nomagic.ai")</f>
        <v>nomagic.ai</v>
      </c>
    </row>
    <row r="1674">
      <c r="A1674" s="5" t="str">
        <f>IFERROR(__xludf.DUMMYFUNCTION("""COMPUTED_VALUE"""),"popgun.ai")</f>
        <v>popgun.ai</v>
      </c>
      <c r="B1674" s="5" t="str">
        <f>IFERROR(__xludf.DUMMYFUNCTION("""COMPUTED_VALUE"""),"symbolica.ai")</f>
        <v>symbolica.ai</v>
      </c>
    </row>
    <row r="1675">
      <c r="A1675" s="5" t="str">
        <f>IFERROR(__xludf.DUMMYFUNCTION("""COMPUTED_VALUE"""),"astrus.ai")</f>
        <v>astrus.ai</v>
      </c>
      <c r="B1675" s="5" t="str">
        <f>IFERROR(__xludf.DUMMYFUNCTION("""COMPUTED_VALUE"""),"bluerivertechnology.com")</f>
        <v>bluerivertechnology.com</v>
      </c>
    </row>
    <row r="1676">
      <c r="A1676" s="5" t="str">
        <f>IFERROR(__xludf.DUMMYFUNCTION("""COMPUTED_VALUE"""),"cognition.ai")</f>
        <v>cognition.ai</v>
      </c>
      <c r="B1676" s="5" t="str">
        <f>IFERROR(__xludf.DUMMYFUNCTION("""COMPUTED_VALUE"""),"redoxblox.com")</f>
        <v>redoxblox.com</v>
      </c>
    </row>
    <row r="1677">
      <c r="A1677" s="5" t="str">
        <f>IFERROR(__xludf.DUMMYFUNCTION("""COMPUTED_VALUE"""),"kognitos.com")</f>
        <v>kognitos.com</v>
      </c>
      <c r="B1677" s="5" t="str">
        <f>IFERROR(__xludf.DUMMYFUNCTION("""COMPUTED_VALUE"""),"limbic.ai")</f>
        <v>limbic.ai</v>
      </c>
    </row>
    <row r="1678">
      <c r="A1678" s="6" t="str">
        <f>IFERROR(__xludf.DUMMYFUNCTION("""COMPUTED_VALUE"""),"neon.tech")</f>
        <v>neon.tech</v>
      </c>
      <c r="B1678" s="5" t="str">
        <f>IFERROR(__xludf.DUMMYFUNCTION("""COMPUTED_VALUE"""),"vista.ai")</f>
        <v>vista.ai</v>
      </c>
    </row>
    <row r="1679">
      <c r="A1679" s="5" t="str">
        <f>IFERROR(__xludf.DUMMYFUNCTION("""COMPUTED_VALUE"""),"parallel.ai")</f>
        <v>parallel.ai</v>
      </c>
      <c r="B1679" s="5" t="str">
        <f>IFERROR(__xludf.DUMMYFUNCTION("""COMPUTED_VALUE"""),"opentrons.com")</f>
        <v>opentrons.com</v>
      </c>
    </row>
    <row r="1680">
      <c r="A1680" s="5" t="str">
        <f>IFERROR(__xludf.DUMMYFUNCTION("""COMPUTED_VALUE"""),"ringcentral.com")</f>
        <v>ringcentral.com</v>
      </c>
      <c r="B1680" s="5" t="str">
        <f>IFERROR(__xludf.DUMMYFUNCTION("""COMPUTED_VALUE"""),"pearlbio.com")</f>
        <v>pearlbio.com</v>
      </c>
    </row>
    <row r="1681">
      <c r="A1681" s="5" t="str">
        <f>IFERROR(__xludf.DUMMYFUNCTION("""COMPUTED_VALUE"""),"rubrik.com")</f>
        <v>rubrik.com</v>
      </c>
      <c r="B1681" s="5" t="str">
        <f>IFERROR(__xludf.DUMMYFUNCTION("""COMPUTED_VALUE"""),"zordi.com")</f>
        <v>zordi.com</v>
      </c>
    </row>
    <row r="1682">
      <c r="A1682" s="5" t="str">
        <f>IFERROR(__xludf.DUMMYFUNCTION("""COMPUTED_VALUE"""),"skyflow.com")</f>
        <v>skyflow.com</v>
      </c>
      <c r="B1682" s="5" t="str">
        <f>IFERROR(__xludf.DUMMYFUNCTION("""COMPUTED_VALUE"""),"nitricity.co")</f>
        <v>nitricity.co</v>
      </c>
    </row>
    <row r="1683">
      <c r="A1683" s="5" t="str">
        <f>IFERROR(__xludf.DUMMYFUNCTION("""COMPUTED_VALUE"""),"roofstock.com")</f>
        <v>roofstock.com</v>
      </c>
      <c r="B1683" s="5" t="str">
        <f>IFERROR(__xludf.DUMMYFUNCTION("""COMPUTED_VALUE"""),"arkifi.ai")</f>
        <v>arkifi.ai</v>
      </c>
    </row>
    <row r="1684">
      <c r="A1684" s="5" t="str">
        <f>IFERROR(__xludf.DUMMYFUNCTION("""COMPUTED_VALUE"""),"berkshiregrey.com")</f>
        <v>berkshiregrey.com</v>
      </c>
      <c r="B1684" s="5" t="str">
        <f>IFERROR(__xludf.DUMMYFUNCTION("""COMPUTED_VALUE"""),"lexion.ai")</f>
        <v>lexion.ai</v>
      </c>
    </row>
    <row r="1685">
      <c r="A1685" s="5" t="str">
        <f>IFERROR(__xludf.DUMMYFUNCTION("""COMPUTED_VALUE"""),"nomagic.ai")</f>
        <v>nomagic.ai</v>
      </c>
      <c r="B1685" s="5" t="str">
        <f>IFERROR(__xludf.DUMMYFUNCTION("""COMPUTED_VALUE"""),"guardanthealth.com")</f>
        <v>guardanthealth.com</v>
      </c>
    </row>
    <row r="1686">
      <c r="A1686" s="5" t="str">
        <f>IFERROR(__xludf.DUMMYFUNCTION("""COMPUTED_VALUE"""),"symbolica.ai")</f>
        <v>symbolica.ai</v>
      </c>
      <c r="B1686" s="5" t="str">
        <f>IFERROR(__xludf.DUMMYFUNCTION("""COMPUTED_VALUE"""),"siphox.com")</f>
        <v>siphox.com</v>
      </c>
    </row>
    <row r="1687">
      <c r="A1687" s="5" t="str">
        <f>IFERROR(__xludf.DUMMYFUNCTION("""COMPUTED_VALUE"""),"bluerivertechnology.com")</f>
        <v>bluerivertechnology.com</v>
      </c>
      <c r="B1687" s="5" t="str">
        <f>IFERROR(__xludf.DUMMYFUNCTION("""COMPUTED_VALUE"""),"doordash.com")</f>
        <v>doordash.com</v>
      </c>
    </row>
    <row r="1688">
      <c r="A1688" s="5" t="str">
        <f>IFERROR(__xludf.DUMMYFUNCTION("""COMPUTED_VALUE"""),"redoxblox.com")</f>
        <v>redoxblox.com</v>
      </c>
      <c r="B1688" s="5" t="str">
        <f>IFERROR(__xludf.DUMMYFUNCTION("""COMPUTED_VALUE"""),"playback.tv")</f>
        <v>playback.tv</v>
      </c>
    </row>
    <row r="1689">
      <c r="A1689" s="5" t="str">
        <f>IFERROR(__xludf.DUMMYFUNCTION("""COMPUTED_VALUE"""),"limbic.ai")</f>
        <v>limbic.ai</v>
      </c>
      <c r="B1689" s="5" t="str">
        <f>IFERROR(__xludf.DUMMYFUNCTION("""COMPUTED_VALUE"""),"replika.ai")</f>
        <v>replika.ai</v>
      </c>
    </row>
    <row r="1690">
      <c r="A1690" s="5" t="str">
        <f>IFERROR(__xludf.DUMMYFUNCTION("""COMPUTED_VALUE"""),"vista.ai")</f>
        <v>vista.ai</v>
      </c>
      <c r="B1690" s="5" t="str">
        <f>IFERROR(__xludf.DUMMYFUNCTION("""COMPUTED_VALUE"""),"athena.com")</f>
        <v>athena.com</v>
      </c>
    </row>
    <row r="1691">
      <c r="A1691" s="5" t="str">
        <f>IFERROR(__xludf.DUMMYFUNCTION("""COMPUTED_VALUE"""),"opentrons.com")</f>
        <v>opentrons.com</v>
      </c>
      <c r="B1691" s="5" t="str">
        <f>IFERROR(__xludf.DUMMYFUNCTION("""COMPUTED_VALUE"""),"chipstack.ai")</f>
        <v>chipstack.ai</v>
      </c>
    </row>
    <row r="1692">
      <c r="A1692" s="5" t="str">
        <f>IFERROR(__xludf.DUMMYFUNCTION("""COMPUTED_VALUE"""),"pearlbio.com")</f>
        <v>pearlbio.com</v>
      </c>
      <c r="B1692" s="5" t="str">
        <f>IFERROR(__xludf.DUMMYFUNCTION("""COMPUTED_VALUE"""),"loft.sh")</f>
        <v>loft.sh</v>
      </c>
    </row>
    <row r="1693">
      <c r="A1693" s="5" t="str">
        <f>IFERROR(__xludf.DUMMYFUNCTION("""COMPUTED_VALUE"""),"zordi.com")</f>
        <v>zordi.com</v>
      </c>
      <c r="B1693" s="5" t="str">
        <f>IFERROR(__xludf.DUMMYFUNCTION("""COMPUTED_VALUE"""),"fundbox.com")</f>
        <v>fundbox.com</v>
      </c>
    </row>
    <row r="1694">
      <c r="A1694" s="5" t="str">
        <f>IFERROR(__xludf.DUMMYFUNCTION("""COMPUTED_VALUE"""),"nitricity.co")</f>
        <v>nitricity.co</v>
      </c>
      <c r="B1694" s="5" t="str">
        <f>IFERROR(__xludf.DUMMYFUNCTION("""COMPUTED_VALUE"""),"analog-inference.com")</f>
        <v>analog-inference.com</v>
      </c>
    </row>
    <row r="1695">
      <c r="A1695" s="5" t="str">
        <f>IFERROR(__xludf.DUMMYFUNCTION("""COMPUTED_VALUE"""),"arkifi.ai")</f>
        <v>arkifi.ai</v>
      </c>
      <c r="B1695" s="5" t="str">
        <f>IFERROR(__xludf.DUMMYFUNCTION("""COMPUTED_VALUE"""),"vayurobotics.com")</f>
        <v>vayurobotics.com</v>
      </c>
    </row>
    <row r="1696">
      <c r="A1696" s="5" t="str">
        <f>IFERROR(__xludf.DUMMYFUNCTION("""COMPUTED_VALUE"""),"lexion.ai")</f>
        <v>lexion.ai</v>
      </c>
      <c r="B1696" s="5" t="str">
        <f>IFERROR(__xludf.DUMMYFUNCTION("""COMPUTED_VALUE"""),"li-ind.com")</f>
        <v>li-ind.com</v>
      </c>
    </row>
    <row r="1697">
      <c r="A1697" s="5" t="str">
        <f>IFERROR(__xludf.DUMMYFUNCTION("""COMPUTED_VALUE"""),"guardanthealth.com")</f>
        <v>guardanthealth.com</v>
      </c>
      <c r="B1697" s="6" t="str">
        <f>IFERROR(__xludf.DUMMYFUNCTION("""COMPUTED_VALUE"""),"rtv.earth")</f>
        <v>rtv.earth</v>
      </c>
    </row>
    <row r="1698">
      <c r="A1698" s="5" t="str">
        <f>IFERROR(__xludf.DUMMYFUNCTION("""COMPUTED_VALUE"""),"siphox.com")</f>
        <v>siphox.com</v>
      </c>
      <c r="B1698" s="5" t="str">
        <f>IFERROR(__xludf.DUMMYFUNCTION("""COMPUTED_VALUE"""),"helloheart.com")</f>
        <v>helloheart.com</v>
      </c>
    </row>
    <row r="1699">
      <c r="A1699" s="5" t="str">
        <f>IFERROR(__xludf.DUMMYFUNCTION("""COMPUTED_VALUE"""),"doordash.com")</f>
        <v>doordash.com</v>
      </c>
      <c r="B1699" s="5" t="str">
        <f>IFERROR(__xludf.DUMMYFUNCTION("""COMPUTED_VALUE"""),"hioscar.com")</f>
        <v>hioscar.com</v>
      </c>
    </row>
    <row r="1700">
      <c r="A1700" s="5" t="str">
        <f>IFERROR(__xludf.DUMMYFUNCTION("""COMPUTED_VALUE"""),"playback.tv")</f>
        <v>playback.tv</v>
      </c>
      <c r="B1700" s="5" t="str">
        <f>IFERROR(__xludf.DUMMYFUNCTION("""COMPUTED_VALUE"""),"inflammatix.com")</f>
        <v>inflammatix.com</v>
      </c>
    </row>
    <row r="1701">
      <c r="A1701" s="5" t="str">
        <f>IFERROR(__xludf.DUMMYFUNCTION("""COMPUTED_VALUE"""),"replika.ai")</f>
        <v>replika.ai</v>
      </c>
      <c r="B1701" s="5" t="str">
        <f>IFERROR(__xludf.DUMMYFUNCTION("""COMPUTED_VALUE"""),"synchron.com")</f>
        <v>synchron.com</v>
      </c>
    </row>
    <row r="1702">
      <c r="A1702" s="5" t="str">
        <f>IFERROR(__xludf.DUMMYFUNCTION("""COMPUTED_VALUE"""),"athena.com")</f>
        <v>athena.com</v>
      </c>
      <c r="B1702" s="5" t="str">
        <f>IFERROR(__xludf.DUMMYFUNCTION("""COMPUTED_VALUE"""),"rubedolife.com")</f>
        <v>rubedolife.com</v>
      </c>
    </row>
    <row r="1703">
      <c r="A1703" s="5" t="str">
        <f>IFERROR(__xludf.DUMMYFUNCTION("""COMPUTED_VALUE"""),"chipstack.ai")</f>
        <v>chipstack.ai</v>
      </c>
      <c r="B1703" s="5" t="str">
        <f>IFERROR(__xludf.DUMMYFUNCTION("""COMPUTED_VALUE"""),"faire.com")</f>
        <v>faire.com</v>
      </c>
    </row>
    <row r="1704">
      <c r="A1704" s="5" t="str">
        <f>IFERROR(__xludf.DUMMYFUNCTION("""COMPUTED_VALUE"""),"loft.sh")</f>
        <v>loft.sh</v>
      </c>
      <c r="B1704" s="5" t="str">
        <f>IFERROR(__xludf.DUMMYFUNCTION("""COMPUTED_VALUE"""),"inkitt.com")</f>
        <v>inkitt.com</v>
      </c>
    </row>
    <row r="1705">
      <c r="A1705" s="5" t="str">
        <f>IFERROR(__xludf.DUMMYFUNCTION("""COMPUTED_VALUE"""),"fundbox.com")</f>
        <v>fundbox.com</v>
      </c>
      <c r="B1705" s="5" t="str">
        <f>IFERROR(__xludf.DUMMYFUNCTION("""COMPUTED_VALUE"""),"proclaimhealth.com")</f>
        <v>proclaimhealth.com</v>
      </c>
    </row>
    <row r="1706">
      <c r="A1706" s="5" t="str">
        <f>IFERROR(__xludf.DUMMYFUNCTION("""COMPUTED_VALUE"""),"analog-inference.com")</f>
        <v>analog-inference.com</v>
      </c>
      <c r="B1706" s="6" t="str">
        <f>IFERROR(__xludf.DUMMYFUNCTION("""COMPUTED_VALUE"""),"rabbit.tech")</f>
        <v>rabbit.tech</v>
      </c>
    </row>
    <row r="1707">
      <c r="A1707" s="5" t="str">
        <f>IFERROR(__xludf.DUMMYFUNCTION("""COMPUTED_VALUE"""),"vayurobotics.com")</f>
        <v>vayurobotics.com</v>
      </c>
      <c r="B1707" s="5" t="str">
        <f>IFERROR(__xludf.DUMMYFUNCTION("""COMPUTED_VALUE"""),"blackberry.com")</f>
        <v>blackberry.com</v>
      </c>
    </row>
    <row r="1708">
      <c r="A1708" s="5" t="str">
        <f>IFERROR(__xludf.DUMMYFUNCTION("""COMPUTED_VALUE"""),"li-ind.com")</f>
        <v>li-ind.com</v>
      </c>
      <c r="B1708" s="5" t="str">
        <f>IFERROR(__xludf.DUMMYFUNCTION("""COMPUTED_VALUE"""),"moonhub.ai")</f>
        <v>moonhub.ai</v>
      </c>
    </row>
    <row r="1709">
      <c r="A1709" s="6" t="str">
        <f>IFERROR(__xludf.DUMMYFUNCTION("""COMPUTED_VALUE"""),"rtv.earth")</f>
        <v>rtv.earth</v>
      </c>
      <c r="B1709" s="5" t="str">
        <f>IFERROR(__xludf.DUMMYFUNCTION("""COMPUTED_VALUE"""),"nutanix.com")</f>
        <v>nutanix.com</v>
      </c>
    </row>
    <row r="1710">
      <c r="A1710" s="5" t="str">
        <f>IFERROR(__xludf.DUMMYFUNCTION("""COMPUTED_VALUE"""),"helloheart.com")</f>
        <v>helloheart.com</v>
      </c>
      <c r="B1710" s="5" t="str">
        <f>IFERROR(__xludf.DUMMYFUNCTION("""COMPUTED_VALUE"""),"polyai.com")</f>
        <v>polyai.com</v>
      </c>
    </row>
    <row r="1711">
      <c r="A1711" s="5" t="str">
        <f>IFERROR(__xludf.DUMMYFUNCTION("""COMPUTED_VALUE"""),"hioscar.com")</f>
        <v>hioscar.com</v>
      </c>
      <c r="B1711" s="5" t="str">
        <f>IFERROR(__xludf.DUMMYFUNCTION("""COMPUTED_VALUE"""),"sakana.ai")</f>
        <v>sakana.ai</v>
      </c>
    </row>
    <row r="1712">
      <c r="A1712" s="5" t="str">
        <f>IFERROR(__xludf.DUMMYFUNCTION("""COMPUTED_VALUE"""),"inflammatix.com")</f>
        <v>inflammatix.com</v>
      </c>
      <c r="B1712" s="5" t="str">
        <f>IFERROR(__xludf.DUMMYFUNCTION("""COMPUTED_VALUE"""),"sarvam.ai")</f>
        <v>sarvam.ai</v>
      </c>
    </row>
    <row r="1713">
      <c r="A1713" s="5" t="str">
        <f>IFERROR(__xludf.DUMMYFUNCTION("""COMPUTED_VALUE"""),"synchron.com")</f>
        <v>synchron.com</v>
      </c>
      <c r="B1713" s="5" t="str">
        <f>IFERROR(__xludf.DUMMYFUNCTION("""COMPUTED_VALUE"""),"vectranetworks.com")</f>
        <v>vectranetworks.com</v>
      </c>
    </row>
    <row r="1714">
      <c r="A1714" s="5" t="str">
        <f>IFERROR(__xludf.DUMMYFUNCTION("""COMPUTED_VALUE"""),"rubedolife.com")</f>
        <v>rubedolife.com</v>
      </c>
      <c r="B1714" s="5" t="str">
        <f>IFERROR(__xludf.DUMMYFUNCTION("""COMPUTED_VALUE"""),"at-bay.com")</f>
        <v>at-bay.com</v>
      </c>
    </row>
    <row r="1715">
      <c r="A1715" s="5" t="str">
        <f>IFERROR(__xludf.DUMMYFUNCTION("""COMPUTED_VALUE"""),"faire.com")</f>
        <v>faire.com</v>
      </c>
      <c r="B1715" s="5" t="str">
        <f>IFERROR(__xludf.DUMMYFUNCTION("""COMPUTED_VALUE"""),"upstart.com")</f>
        <v>upstart.com</v>
      </c>
    </row>
    <row r="1716">
      <c r="A1716" s="5" t="str">
        <f>IFERROR(__xludf.DUMMYFUNCTION("""COMPUTED_VALUE"""),"inkitt.com")</f>
        <v>inkitt.com</v>
      </c>
      <c r="B1716" s="5" t="str">
        <f>IFERROR(__xludf.DUMMYFUNCTION("""COMPUTED_VALUE"""),"hermeus.com")</f>
        <v>hermeus.com</v>
      </c>
    </row>
    <row r="1717">
      <c r="A1717" s="5" t="str">
        <f>IFERROR(__xludf.DUMMYFUNCTION("""COMPUTED_VALUE"""),"proclaimhealth.com")</f>
        <v>proclaimhealth.com</v>
      </c>
      <c r="B1717" s="5" t="str">
        <f>IFERROR(__xludf.DUMMYFUNCTION("""COMPUTED_VALUE"""),"caelux.com")</f>
        <v>caelux.com</v>
      </c>
    </row>
    <row r="1718">
      <c r="A1718" s="6" t="str">
        <f>IFERROR(__xludf.DUMMYFUNCTION("""COMPUTED_VALUE"""),"rabbit.tech")</f>
        <v>rabbit.tech</v>
      </c>
      <c r="B1718" s="6" t="str">
        <f>IFERROR(__xludf.DUMMYFUNCTION("""COMPUTED_VALUE"""),"cfs.energy")</f>
        <v>cfs.energy</v>
      </c>
    </row>
    <row r="1719">
      <c r="A1719" s="5" t="str">
        <f>IFERROR(__xludf.DUMMYFUNCTION("""COMPUTED_VALUE"""),"blackberry.com")</f>
        <v>blackberry.com</v>
      </c>
      <c r="B1719" s="5" t="str">
        <f>IFERROR(__xludf.DUMMYFUNCTION("""COMPUTED_VALUE"""),"lanzatech.com")</f>
        <v>lanzatech.com</v>
      </c>
    </row>
    <row r="1720">
      <c r="A1720" s="5" t="str">
        <f>IFERROR(__xludf.DUMMYFUNCTION("""COMPUTED_VALUE"""),"moonhub.ai")</f>
        <v>moonhub.ai</v>
      </c>
      <c r="B1720" s="5" t="str">
        <f>IFERROR(__xludf.DUMMYFUNCTION("""COMPUTED_VALUE"""),"mainspringenergy.com")</f>
        <v>mainspringenergy.com</v>
      </c>
    </row>
    <row r="1721">
      <c r="A1721" s="5" t="str">
        <f>IFERROR(__xludf.DUMMYFUNCTION("""COMPUTED_VALUE"""),"nutanix.com")</f>
        <v>nutanix.com</v>
      </c>
      <c r="B1721" s="5" t="str">
        <f>IFERROR(__xludf.DUMMYFUNCTION("""COMPUTED_VALUE"""),"quantumscape.com")</f>
        <v>quantumscape.com</v>
      </c>
    </row>
    <row r="1722">
      <c r="A1722" s="5" t="str">
        <f>IFERROR(__xludf.DUMMYFUNCTION("""COMPUTED_VALUE"""),"polyai.com")</f>
        <v>polyai.com</v>
      </c>
      <c r="B1722" s="5" t="str">
        <f>IFERROR(__xludf.DUMMYFUNCTION("""COMPUTED_VALUE"""),"verdagy.com")</f>
        <v>verdagy.com</v>
      </c>
    </row>
    <row r="1723">
      <c r="A1723" s="5" t="str">
        <f>IFERROR(__xludf.DUMMYFUNCTION("""COMPUTED_VALUE"""),"sakana.ai")</f>
        <v>sakana.ai</v>
      </c>
      <c r="B1723" s="5" t="str">
        <f>IFERROR(__xludf.DUMMYFUNCTION("""COMPUTED_VALUE"""),"radai.com")</f>
        <v>radai.com</v>
      </c>
    </row>
    <row r="1724">
      <c r="A1724" s="5" t="str">
        <f>IFERROR(__xludf.DUMMYFUNCTION("""COMPUTED_VALUE"""),"sarvam.ai")</f>
        <v>sarvam.ai</v>
      </c>
      <c r="B1724" s="5" t="str">
        <f>IFERROR(__xludf.DUMMYFUNCTION("""COMPUTED_VALUE"""),"rightwayhealthcare.com")</f>
        <v>rightwayhealthcare.com</v>
      </c>
    </row>
    <row r="1725">
      <c r="A1725" s="5" t="str">
        <f>IFERROR(__xludf.DUMMYFUNCTION("""COMPUTED_VALUE"""),"vectranetworks.com")</f>
        <v>vectranetworks.com</v>
      </c>
      <c r="B1725" s="5" t="str">
        <f>IFERROR(__xludf.DUMMYFUNCTION("""COMPUTED_VALUE"""),"tortus.ai")</f>
        <v>tortus.ai</v>
      </c>
    </row>
    <row r="1726">
      <c r="A1726" s="5" t="str">
        <f>IFERROR(__xludf.DUMMYFUNCTION("""COMPUTED_VALUE"""),"at-bay.com")</f>
        <v>at-bay.com</v>
      </c>
      <c r="B1726" s="5" t="str">
        <f>IFERROR(__xludf.DUMMYFUNCTION("""COMPUTED_VALUE"""),"flowneuroscience.com")</f>
        <v>flowneuroscience.com</v>
      </c>
    </row>
    <row r="1727">
      <c r="A1727" s="5" t="str">
        <f>IFERROR(__xludf.DUMMYFUNCTION("""COMPUTED_VALUE"""),"upstart.com")</f>
        <v>upstart.com</v>
      </c>
      <c r="B1727" s="6" t="str">
        <f>IFERROR(__xludf.DUMMYFUNCTION("""COMPUTED_VALUE"""),"overture.life")</f>
        <v>overture.life</v>
      </c>
    </row>
    <row r="1728">
      <c r="A1728" s="5" t="str">
        <f>IFERROR(__xludf.DUMMYFUNCTION("""COMPUTED_VALUE"""),"hermeus.com")</f>
        <v>hermeus.com</v>
      </c>
      <c r="B1728" s="5" t="str">
        <f>IFERROR(__xludf.DUMMYFUNCTION("""COMPUTED_VALUE"""),"bionautlabs.com")</f>
        <v>bionautlabs.com</v>
      </c>
    </row>
    <row r="1729">
      <c r="A1729" s="5" t="str">
        <f>IFERROR(__xludf.DUMMYFUNCTION("""COMPUTED_VALUE"""),"caelux.com")</f>
        <v>caelux.com</v>
      </c>
      <c r="B1729" s="5" t="str">
        <f>IFERROR(__xludf.DUMMYFUNCTION("""COMPUTED_VALUE"""),"cellinobio.com")</f>
        <v>cellinobio.com</v>
      </c>
    </row>
    <row r="1730">
      <c r="A1730" s="6" t="str">
        <f>IFERROR(__xludf.DUMMYFUNCTION("""COMPUTED_VALUE"""),"cfs.energy")</f>
        <v>cfs.energy</v>
      </c>
      <c r="B1730" s="5" t="str">
        <f>IFERROR(__xludf.DUMMYFUNCTION("""COMPUTED_VALUE"""),"everyonemedicines.com")</f>
        <v>everyonemedicines.com</v>
      </c>
    </row>
    <row r="1731">
      <c r="A1731" s="5" t="str">
        <f>IFERROR(__xludf.DUMMYFUNCTION("""COMPUTED_VALUE"""),"lanzatech.com")</f>
        <v>lanzatech.com</v>
      </c>
      <c r="B1731" s="5" t="str">
        <f>IFERROR(__xludf.DUMMYFUNCTION("""COMPUTED_VALUE"""),"liberatebio.com")</f>
        <v>liberatebio.com</v>
      </c>
    </row>
    <row r="1732">
      <c r="A1732" s="5" t="str">
        <f>IFERROR(__xludf.DUMMYFUNCTION("""COMPUTED_VALUE"""),"mainspringenergy.com")</f>
        <v>mainspringenergy.com</v>
      </c>
      <c r="B1732" s="5" t="str">
        <f>IFERROR(__xludf.DUMMYFUNCTION("""COMPUTED_VALUE"""),"prellisbio.com")</f>
        <v>prellisbio.com</v>
      </c>
    </row>
    <row r="1733">
      <c r="A1733" s="5" t="str">
        <f>IFERROR(__xludf.DUMMYFUNCTION("""COMPUTED_VALUE"""),"quantumscape.com")</f>
        <v>quantumscape.com</v>
      </c>
      <c r="B1733" s="5" t="str">
        <f>IFERROR(__xludf.DUMMYFUNCTION("""COMPUTED_VALUE"""),"lightfieldlab.com")</f>
        <v>lightfieldlab.com</v>
      </c>
    </row>
    <row r="1734">
      <c r="A1734" s="5" t="str">
        <f>IFERROR(__xludf.DUMMYFUNCTION("""COMPUTED_VALUE"""),"verdagy.com")</f>
        <v>verdagy.com</v>
      </c>
      <c r="B1734" s="5" t="str">
        <f>IFERROR(__xludf.DUMMYFUNCTION("""COMPUTED_VALUE"""),"luzia.com")</f>
        <v>luzia.com</v>
      </c>
    </row>
    <row r="1735">
      <c r="A1735" s="5" t="str">
        <f>IFERROR(__xludf.DUMMYFUNCTION("""COMPUTED_VALUE"""),"radai.com")</f>
        <v>radai.com</v>
      </c>
      <c r="B1735" s="5" t="str">
        <f>IFERROR(__xludf.DUMMYFUNCTION("""COMPUTED_VALUE"""),"somneesleep.com")</f>
        <v>somneesleep.com</v>
      </c>
    </row>
    <row r="1736">
      <c r="A1736" s="5" t="str">
        <f>IFERROR(__xludf.DUMMYFUNCTION("""COMPUTED_VALUE"""),"rightwayhealthcare.com")</f>
        <v>rightwayhealthcare.com</v>
      </c>
      <c r="B1736" s="5" t="str">
        <f>IFERROR(__xludf.DUMMYFUNCTION("""COMPUTED_VALUE"""),"exaforce.com")</f>
        <v>exaforce.com</v>
      </c>
    </row>
    <row r="1737">
      <c r="A1737" s="5" t="str">
        <f>IFERROR(__xludf.DUMMYFUNCTION("""COMPUTED_VALUE"""),"tortus.ai")</f>
        <v>tortus.ai</v>
      </c>
      <c r="B1737" s="5" t="str">
        <f>IFERROR(__xludf.DUMMYFUNCTION("""COMPUTED_VALUE"""),"aven.com")</f>
        <v>aven.com</v>
      </c>
    </row>
    <row r="1738">
      <c r="A1738" s="5" t="str">
        <f>IFERROR(__xludf.DUMMYFUNCTION("""COMPUTED_VALUE"""),"flowneuroscience.com")</f>
        <v>flowneuroscience.com</v>
      </c>
      <c r="B1738" s="6" t="str">
        <f>IFERROR(__xludf.DUMMYFUNCTION("""COMPUTED_VALUE"""),"lead.bank")</f>
        <v>lead.bank</v>
      </c>
    </row>
    <row r="1739">
      <c r="A1739" s="6" t="str">
        <f>IFERROR(__xludf.DUMMYFUNCTION("""COMPUTED_VALUE"""),"overture.life")</f>
        <v>overture.life</v>
      </c>
      <c r="B1739" s="5" t="str">
        <f>IFERROR(__xludf.DUMMYFUNCTION("""COMPUTED_VALUE"""),"upandup.co")</f>
        <v>upandup.co</v>
      </c>
    </row>
    <row r="1740">
      <c r="A1740" s="5" t="str">
        <f>IFERROR(__xludf.DUMMYFUNCTION("""COMPUTED_VALUE"""),"bionautlabs.com")</f>
        <v>bionautlabs.com</v>
      </c>
      <c r="B1740" s="6" t="str">
        <f>IFERROR(__xludf.DUMMYFUNCTION("""COMPUTED_VALUE"""),"co.bot")</f>
        <v>co.bot</v>
      </c>
    </row>
    <row r="1741">
      <c r="A1741" s="5" t="str">
        <f>IFERROR(__xludf.DUMMYFUNCTION("""COMPUTED_VALUE"""),"cellinobio.com")</f>
        <v>cellinobio.com</v>
      </c>
      <c r="B1741" s="5" t="str">
        <f>IFERROR(__xludf.DUMMYFUNCTION("""COMPUTED_VALUE"""),"fulfil.com")</f>
        <v>fulfil.com</v>
      </c>
    </row>
    <row r="1742">
      <c r="A1742" s="5" t="str">
        <f>IFERROR(__xludf.DUMMYFUNCTION("""COMPUTED_VALUE"""),"everyonemedicines.com")</f>
        <v>everyonemedicines.com</v>
      </c>
      <c r="B1742" s="5" t="str">
        <f>IFERROR(__xludf.DUMMYFUNCTION("""COMPUTED_VALUE"""),"abc.xyz")</f>
        <v>abc.xyz</v>
      </c>
    </row>
    <row r="1743">
      <c r="A1743" s="5" t="str">
        <f>IFERROR(__xludf.DUMMYFUNCTION("""COMPUTED_VALUE"""),"liberatebio.com")</f>
        <v>liberatebio.com</v>
      </c>
      <c r="B1743" s="5" t="str">
        <f>IFERROR(__xludf.DUMMYFUNCTION("""COMPUTED_VALUE"""),"windbornesystems.com")</f>
        <v>windbornesystems.com</v>
      </c>
    </row>
    <row r="1744">
      <c r="A1744" s="5" t="str">
        <f>IFERROR(__xludf.DUMMYFUNCTION("""COMPUTED_VALUE"""),"prellisbio.com")</f>
        <v>prellisbio.com</v>
      </c>
      <c r="B1744" s="5" t="str">
        <f>IFERROR(__xludf.DUMMYFUNCTION("""COMPUTED_VALUE"""),"aguamarina.cl")</f>
        <v>aguamarina.cl</v>
      </c>
    </row>
    <row r="1745">
      <c r="A1745" s="5" t="str">
        <f>IFERROR(__xludf.DUMMYFUNCTION("""COMPUTED_VALUE"""),"lightfieldlab.com")</f>
        <v>lightfieldlab.com</v>
      </c>
      <c r="B1745" s="5" t="str">
        <f>IFERROR(__xludf.DUMMYFUNCTION("""COMPUTED_VALUE"""),"leaftfoods.com")</f>
        <v>leaftfoods.com</v>
      </c>
    </row>
    <row r="1746">
      <c r="A1746" s="5" t="str">
        <f>IFERROR(__xludf.DUMMYFUNCTION("""COMPUTED_VALUE"""),"luzia.com")</f>
        <v>luzia.com</v>
      </c>
      <c r="B1746" s="5" t="str">
        <f>IFERROR(__xludf.DUMMYFUNCTION("""COMPUTED_VALUE"""),"headspacehealth.com")</f>
        <v>headspacehealth.com</v>
      </c>
    </row>
    <row r="1747">
      <c r="A1747" s="5" t="str">
        <f>IFERROR(__xludf.DUMMYFUNCTION("""COMPUTED_VALUE"""),"somneesleep.com")</f>
        <v>somneesleep.com</v>
      </c>
      <c r="B1747" s="5" t="str">
        <f>IFERROR(__xludf.DUMMYFUNCTION("""COMPUTED_VALUE"""),"cellfebiotech.com")</f>
        <v>cellfebiotech.com</v>
      </c>
    </row>
    <row r="1748">
      <c r="A1748" s="5" t="str">
        <f>IFERROR(__xludf.DUMMYFUNCTION("""COMPUTED_VALUE"""),"exaforce.com")</f>
        <v>exaforce.com</v>
      </c>
      <c r="B1748" s="5" t="str">
        <f>IFERROR(__xludf.DUMMYFUNCTION("""COMPUTED_VALUE"""),"loyalfordogs.com")</f>
        <v>loyalfordogs.com</v>
      </c>
    </row>
    <row r="1749">
      <c r="A1749" s="5" t="str">
        <f>IFERROR(__xludf.DUMMYFUNCTION("""COMPUTED_VALUE"""),"aven.com")</f>
        <v>aven.com</v>
      </c>
      <c r="B1749" s="6" t="str">
        <f>IFERROR(__xludf.DUMMYFUNCTION("""COMPUTED_VALUE"""),"moonwalk.bio")</f>
        <v>moonwalk.bio</v>
      </c>
    </row>
    <row r="1750">
      <c r="A1750" s="6" t="str">
        <f>IFERROR(__xludf.DUMMYFUNCTION("""COMPUTED_VALUE"""),"lead.bank")</f>
        <v>lead.bank</v>
      </c>
      <c r="B1750" s="6" t="str">
        <f>IFERROR(__xludf.DUMMYFUNCTION("""COMPUTED_VALUE"""),"nextvivo.bio")</f>
        <v>nextvivo.bio</v>
      </c>
    </row>
    <row r="1751">
      <c r="A1751" s="5" t="str">
        <f>IFERROR(__xludf.DUMMYFUNCTION("""COMPUTED_VALUE"""),"upandup.co")</f>
        <v>upandup.co</v>
      </c>
      <c r="B1751" s="5" t="str">
        <f>IFERROR(__xludf.DUMMYFUNCTION("""COMPUTED_VALUE"""),"stylusmedicine.com")</f>
        <v>stylusmedicine.com</v>
      </c>
    </row>
    <row r="1752">
      <c r="A1752" s="6" t="str">
        <f>IFERROR(__xludf.DUMMYFUNCTION("""COMPUTED_VALUE"""),"co.bot")</f>
        <v>co.bot</v>
      </c>
      <c r="B1752" s="5" t="str">
        <f>IFERROR(__xludf.DUMMYFUNCTION("""COMPUTED_VALUE"""),"vivodyne.com")</f>
        <v>vivodyne.com</v>
      </c>
    </row>
    <row r="1753">
      <c r="A1753" s="5" t="str">
        <f>IFERROR(__xludf.DUMMYFUNCTION("""COMPUTED_VALUE"""),"fulfil.com")</f>
        <v>fulfil.com</v>
      </c>
      <c r="B1753" s="5" t="str">
        <f>IFERROR(__xludf.DUMMYFUNCTION("""COMPUTED_VALUE"""),"teamshares.com")</f>
        <v>teamshares.com</v>
      </c>
    </row>
    <row r="1754">
      <c r="A1754" s="5" t="str">
        <f>IFERROR(__xludf.DUMMYFUNCTION("""COMPUTED_VALUE"""),"abc.xyz")</f>
        <v>abc.xyz</v>
      </c>
      <c r="B1754" s="5" t="str">
        <f>IFERROR(__xludf.DUMMYFUNCTION("""COMPUTED_VALUE"""),"varda.com")</f>
        <v>varda.com</v>
      </c>
    </row>
    <row r="1755">
      <c r="A1755" s="5" t="str">
        <f>IFERROR(__xludf.DUMMYFUNCTION("""COMPUTED_VALUE"""),"windbornesystems.com")</f>
        <v>windbornesystems.com</v>
      </c>
      <c r="B1755" s="5" t="str">
        <f>IFERROR(__xludf.DUMMYFUNCTION("""COMPUTED_VALUE"""),"zendar.io")</f>
        <v>zendar.io</v>
      </c>
    </row>
    <row r="1756">
      <c r="A1756" s="5" t="str">
        <f>IFERROR(__xludf.DUMMYFUNCTION("""COMPUTED_VALUE"""),"aguamarina.cl")</f>
        <v>aguamarina.cl</v>
      </c>
      <c r="B1756" s="5" t="str">
        <f>IFERROR(__xludf.DUMMYFUNCTION("""COMPUTED_VALUE"""),"glydways.com")</f>
        <v>glydways.com</v>
      </c>
    </row>
    <row r="1757">
      <c r="A1757" s="5" t="str">
        <f>IFERROR(__xludf.DUMMYFUNCTION("""COMPUTED_VALUE"""),"leaftfoods.com")</f>
        <v>leaftfoods.com</v>
      </c>
      <c r="B1757" s="5" t="str">
        <f>IFERROR(__xludf.DUMMYFUNCTION("""COMPUTED_VALUE"""),"koloma.com")</f>
        <v>koloma.com</v>
      </c>
    </row>
    <row r="1758">
      <c r="A1758" s="5" t="str">
        <f>IFERROR(__xludf.DUMMYFUNCTION("""COMPUTED_VALUE"""),"headspacehealth.com")</f>
        <v>headspacehealth.com</v>
      </c>
      <c r="B1758" s="5" t="str">
        <f>IFERROR(__xludf.DUMMYFUNCTION("""COMPUTED_VALUE"""),"realtafusion.com")</f>
        <v>realtafusion.com</v>
      </c>
    </row>
    <row r="1759">
      <c r="A1759" s="5" t="str">
        <f>IFERROR(__xludf.DUMMYFUNCTION("""COMPUTED_VALUE"""),"cellfebiotech.com")</f>
        <v>cellfebiotech.com</v>
      </c>
      <c r="B1759" s="5" t="str">
        <f>IFERROR(__xludf.DUMMYFUNCTION("""COMPUTED_VALUE"""),"spiritus.com")</f>
        <v>spiritus.com</v>
      </c>
    </row>
    <row r="1760">
      <c r="A1760" s="5" t="str">
        <f>IFERROR(__xludf.DUMMYFUNCTION("""COMPUTED_VALUE"""),"loyalfordogs.com")</f>
        <v>loyalfordogs.com</v>
      </c>
      <c r="B1760" s="5" t="str">
        <f>IFERROR(__xludf.DUMMYFUNCTION("""COMPUTED_VALUE"""),"terraai.com")</f>
        <v>terraai.com</v>
      </c>
    </row>
    <row r="1761">
      <c r="A1761" s="6" t="str">
        <f>IFERROR(__xludf.DUMMYFUNCTION("""COMPUTED_VALUE"""),"moonwalk.bio")</f>
        <v>moonwalk.bio</v>
      </c>
      <c r="B1761" s="5" t="str">
        <f>IFERROR(__xludf.DUMMYFUNCTION("""COMPUTED_VALUE"""),"curai.com")</f>
        <v>curai.com</v>
      </c>
    </row>
    <row r="1762">
      <c r="A1762" s="6" t="str">
        <f>IFERROR(__xludf.DUMMYFUNCTION("""COMPUTED_VALUE"""),"nextvivo.bio")</f>
        <v>nextvivo.bio</v>
      </c>
      <c r="B1762" s="5" t="str">
        <f>IFERROR(__xludf.DUMMYFUNCTION("""COMPUTED_VALUE"""),"vicarioussurgical.com")</f>
        <v>vicarioussurgical.com</v>
      </c>
    </row>
    <row r="1763">
      <c r="A1763" s="5" t="str">
        <f>IFERROR(__xludf.DUMMYFUNCTION("""COMPUTED_VALUE"""),"stylusmedicine.com")</f>
        <v>stylusmedicine.com</v>
      </c>
      <c r="B1763" s="5" t="str">
        <f>IFERROR(__xludf.DUMMYFUNCTION("""COMPUTED_VALUE"""),"vitara.com")</f>
        <v>vitara.com</v>
      </c>
    </row>
    <row r="1764">
      <c r="A1764" s="5" t="str">
        <f>IFERROR(__xludf.DUMMYFUNCTION("""COMPUTED_VALUE"""),"vivodyne.com")</f>
        <v>vivodyne.com</v>
      </c>
      <c r="B1764" s="6"/>
    </row>
    <row r="1765">
      <c r="A1765" s="5" t="str">
        <f>IFERROR(__xludf.DUMMYFUNCTION("""COMPUTED_VALUE"""),"teamshares.com")</f>
        <v>teamshares.com</v>
      </c>
      <c r="B1765" s="7" t="s">
        <v>54</v>
      </c>
    </row>
    <row r="1766">
      <c r="A1766" s="5" t="str">
        <f>IFERROR(__xludf.DUMMYFUNCTION("""COMPUTED_VALUE"""),"varda.com")</f>
        <v>varda.com</v>
      </c>
      <c r="B1766" s="7" t="s">
        <v>55</v>
      </c>
    </row>
    <row r="1767">
      <c r="A1767" s="5" t="str">
        <f>IFERROR(__xludf.DUMMYFUNCTION("""COMPUTED_VALUE"""),"zendar.io")</f>
        <v>zendar.io</v>
      </c>
      <c r="B1767" s="7" t="s">
        <v>56</v>
      </c>
    </row>
    <row r="1768">
      <c r="A1768" s="5" t="str">
        <f>IFERROR(__xludf.DUMMYFUNCTION("""COMPUTED_VALUE"""),"glydways.com")</f>
        <v>glydways.com</v>
      </c>
      <c r="B1768" s="7" t="s">
        <v>57</v>
      </c>
    </row>
    <row r="1769">
      <c r="A1769" s="5" t="str">
        <f>IFERROR(__xludf.DUMMYFUNCTION("""COMPUTED_VALUE"""),"koloma.com")</f>
        <v>koloma.com</v>
      </c>
      <c r="B1769" s="7" t="s">
        <v>58</v>
      </c>
    </row>
    <row r="1770">
      <c r="A1770" s="5" t="str">
        <f>IFERROR(__xludf.DUMMYFUNCTION("""COMPUTED_VALUE"""),"realtafusion.com")</f>
        <v>realtafusion.com</v>
      </c>
      <c r="B1770" s="7" t="s">
        <v>59</v>
      </c>
    </row>
    <row r="1771">
      <c r="A1771" s="5" t="str">
        <f>IFERROR(__xludf.DUMMYFUNCTION("""COMPUTED_VALUE"""),"spiritus.com")</f>
        <v>spiritus.com</v>
      </c>
      <c r="B1771" s="7" t="s">
        <v>60</v>
      </c>
    </row>
    <row r="1772">
      <c r="A1772" s="5" t="str">
        <f>IFERROR(__xludf.DUMMYFUNCTION("""COMPUTED_VALUE"""),"terraai.com")</f>
        <v>terraai.com</v>
      </c>
      <c r="B1772" s="7" t="s">
        <v>61</v>
      </c>
    </row>
    <row r="1773">
      <c r="A1773" s="5" t="str">
        <f>IFERROR(__xludf.DUMMYFUNCTION("""COMPUTED_VALUE"""),"curai.com")</f>
        <v>curai.com</v>
      </c>
      <c r="B1773" s="7" t="s">
        <v>62</v>
      </c>
    </row>
    <row r="1774">
      <c r="A1774" s="5" t="str">
        <f>IFERROR(__xludf.DUMMYFUNCTION("""COMPUTED_VALUE"""),"vicarioussurgical.com")</f>
        <v>vicarioussurgical.com</v>
      </c>
      <c r="B1774" s="7" t="s">
        <v>63</v>
      </c>
    </row>
    <row r="1775">
      <c r="A1775" s="5" t="str">
        <f>IFERROR(__xludf.DUMMYFUNCTION("""COMPUTED_VALUE"""),"vitara.com")</f>
        <v>vitara.com</v>
      </c>
      <c r="B1775" s="7" t="s">
        <v>64</v>
      </c>
    </row>
    <row r="1776">
      <c r="B1776" s="7" t="s">
        <v>65</v>
      </c>
    </row>
    <row r="1777">
      <c r="B1777" s="7" t="s">
        <v>66</v>
      </c>
    </row>
    <row r="1778">
      <c r="B1778" s="7" t="s">
        <v>67</v>
      </c>
    </row>
    <row r="1779">
      <c r="B1779" s="7" t="s">
        <v>68</v>
      </c>
    </row>
    <row r="1780">
      <c r="B1780" s="7" t="s">
        <v>69</v>
      </c>
    </row>
    <row r="1781">
      <c r="B1781" s="7" t="s">
        <v>70</v>
      </c>
    </row>
    <row r="1782">
      <c r="B1782" s="7" t="s">
        <v>71</v>
      </c>
    </row>
    <row r="1783">
      <c r="B1783" s="7" t="s">
        <v>72</v>
      </c>
    </row>
    <row r="1784">
      <c r="B1784" s="7" t="s">
        <v>73</v>
      </c>
    </row>
    <row r="1785">
      <c r="B1785" s="7" t="s">
        <v>74</v>
      </c>
    </row>
    <row r="1786">
      <c r="B1786" s="7" t="s">
        <v>75</v>
      </c>
    </row>
    <row r="1787">
      <c r="B1787" s="7" t="s">
        <v>76</v>
      </c>
    </row>
    <row r="1788">
      <c r="B1788" s="7" t="s">
        <v>77</v>
      </c>
    </row>
    <row r="1789">
      <c r="B1789" s="7" t="s">
        <v>78</v>
      </c>
    </row>
    <row r="1790">
      <c r="B1790" s="7" t="s">
        <v>79</v>
      </c>
    </row>
    <row r="1791">
      <c r="B1791" s="7" t="s">
        <v>80</v>
      </c>
    </row>
    <row r="1792">
      <c r="B1792" s="7" t="s">
        <v>81</v>
      </c>
    </row>
    <row r="1793">
      <c r="B1793" s="7" t="s">
        <v>82</v>
      </c>
    </row>
    <row r="1794">
      <c r="B1794" s="7" t="s">
        <v>83</v>
      </c>
    </row>
    <row r="1795">
      <c r="B1795" s="7" t="s">
        <v>84</v>
      </c>
    </row>
    <row r="1796">
      <c r="B1796" s="7" t="s">
        <v>85</v>
      </c>
    </row>
    <row r="1797">
      <c r="B1797" s="7" t="s">
        <v>86</v>
      </c>
    </row>
    <row r="1798">
      <c r="B1798" s="7" t="s">
        <v>87</v>
      </c>
    </row>
    <row r="1799">
      <c r="B1799" s="7" t="s">
        <v>88</v>
      </c>
    </row>
    <row r="1800">
      <c r="B1800" s="7" t="s">
        <v>89</v>
      </c>
    </row>
    <row r="1801">
      <c r="B1801" s="7" t="s">
        <v>90</v>
      </c>
    </row>
    <row r="1802">
      <c r="B1802" s="7" t="s">
        <v>91</v>
      </c>
    </row>
    <row r="1803">
      <c r="B1803" s="7" t="s">
        <v>92</v>
      </c>
    </row>
    <row r="1804">
      <c r="B1804" s="7" t="s">
        <v>93</v>
      </c>
    </row>
    <row r="1805">
      <c r="B1805" s="7" t="s">
        <v>94</v>
      </c>
    </row>
    <row r="1806">
      <c r="B1806" s="7" t="s">
        <v>95</v>
      </c>
    </row>
    <row r="1807">
      <c r="B1807" s="7" t="s">
        <v>96</v>
      </c>
    </row>
    <row r="1808">
      <c r="B1808" s="7" t="s">
        <v>97</v>
      </c>
    </row>
    <row r="1809">
      <c r="B1809" s="7" t="s">
        <v>98</v>
      </c>
    </row>
    <row r="1810">
      <c r="B1810" s="7" t="s">
        <v>99</v>
      </c>
    </row>
    <row r="1811">
      <c r="B1811" s="7" t="s">
        <v>100</v>
      </c>
    </row>
    <row r="1812">
      <c r="B1812" s="7" t="s">
        <v>101</v>
      </c>
    </row>
    <row r="1813">
      <c r="B1813" s="7" t="s">
        <v>102</v>
      </c>
    </row>
    <row r="1814">
      <c r="B1814" s="7" t="s">
        <v>103</v>
      </c>
    </row>
    <row r="1815">
      <c r="B1815" s="7" t="s">
        <v>104</v>
      </c>
    </row>
    <row r="1816">
      <c r="B1816" s="7" t="s">
        <v>105</v>
      </c>
    </row>
    <row r="1817">
      <c r="B1817" s="7" t="s">
        <v>106</v>
      </c>
    </row>
    <row r="1818">
      <c r="B1818" s="7" t="s">
        <v>107</v>
      </c>
    </row>
    <row r="1819">
      <c r="B1819" s="7" t="s">
        <v>108</v>
      </c>
    </row>
    <row r="1820">
      <c r="B1820" s="7" t="s">
        <v>109</v>
      </c>
    </row>
    <row r="1821">
      <c r="B1821" s="7" t="s">
        <v>110</v>
      </c>
    </row>
    <row r="1822">
      <c r="B1822" s="7" t="s">
        <v>111</v>
      </c>
    </row>
    <row r="1823">
      <c r="B1823" s="7" t="s">
        <v>112</v>
      </c>
    </row>
    <row r="1824">
      <c r="B1824" s="7" t="s">
        <v>113</v>
      </c>
    </row>
    <row r="1825">
      <c r="B1825" s="7" t="s">
        <v>114</v>
      </c>
    </row>
    <row r="1826">
      <c r="B1826" s="7" t="s">
        <v>115</v>
      </c>
    </row>
    <row r="1827">
      <c r="B1827" s="7" t="s">
        <v>116</v>
      </c>
    </row>
    <row r="1828">
      <c r="B1828" s="7" t="s">
        <v>117</v>
      </c>
    </row>
    <row r="1829">
      <c r="B1829" s="7" t="s">
        <v>118</v>
      </c>
    </row>
    <row r="1830">
      <c r="B1830" s="7" t="s">
        <v>119</v>
      </c>
    </row>
    <row r="1831">
      <c r="B1831" s="7" t="s">
        <v>120</v>
      </c>
    </row>
    <row r="1832">
      <c r="B1832" s="7" t="s">
        <v>121</v>
      </c>
    </row>
    <row r="1833">
      <c r="B1833" s="7" t="s">
        <v>122</v>
      </c>
    </row>
    <row r="1834">
      <c r="B1834" s="7" t="s">
        <v>123</v>
      </c>
    </row>
    <row r="1835">
      <c r="B1835" s="7" t="s">
        <v>124</v>
      </c>
    </row>
    <row r="1836">
      <c r="B1836" s="7" t="s">
        <v>125</v>
      </c>
    </row>
    <row r="1837">
      <c r="B1837" s="7" t="s">
        <v>126</v>
      </c>
    </row>
    <row r="1838">
      <c r="B1838" s="7" t="s">
        <v>127</v>
      </c>
    </row>
    <row r="1839">
      <c r="B1839" s="7" t="s">
        <v>128</v>
      </c>
    </row>
    <row r="1840">
      <c r="B1840" s="7" t="s">
        <v>129</v>
      </c>
    </row>
    <row r="1841">
      <c r="B1841" s="7" t="s">
        <v>130</v>
      </c>
    </row>
    <row r="1842">
      <c r="B1842" s="7" t="s">
        <v>131</v>
      </c>
    </row>
    <row r="1843">
      <c r="B1843" s="7" t="s">
        <v>132</v>
      </c>
    </row>
    <row r="1844">
      <c r="B1844" s="7" t="s">
        <v>133</v>
      </c>
    </row>
    <row r="1845">
      <c r="B1845" s="7" t="s">
        <v>134</v>
      </c>
    </row>
    <row r="1846">
      <c r="B1846" s="7" t="s">
        <v>135</v>
      </c>
    </row>
    <row r="1847">
      <c r="B1847" s="7" t="s">
        <v>136</v>
      </c>
    </row>
    <row r="1848">
      <c r="B1848" s="7" t="s">
        <v>137</v>
      </c>
    </row>
    <row r="1849">
      <c r="B1849" s="7" t="s">
        <v>138</v>
      </c>
    </row>
    <row r="1850">
      <c r="B1850" s="7" t="s">
        <v>139</v>
      </c>
    </row>
    <row r="1851">
      <c r="B1851" s="7" t="s">
        <v>140</v>
      </c>
    </row>
    <row r="1852">
      <c r="B1852" s="7" t="s">
        <v>141</v>
      </c>
    </row>
    <row r="1853">
      <c r="B1853" s="7" t="s">
        <v>142</v>
      </c>
    </row>
    <row r="1854">
      <c r="B1854" s="7" t="s">
        <v>143</v>
      </c>
    </row>
    <row r="1855">
      <c r="B1855" s="7" t="s">
        <v>144</v>
      </c>
    </row>
    <row r="1856">
      <c r="B1856" s="7" t="s">
        <v>145</v>
      </c>
    </row>
    <row r="1857">
      <c r="B1857" s="7" t="s">
        <v>146</v>
      </c>
    </row>
    <row r="1858">
      <c r="B1858" s="7" t="s">
        <v>147</v>
      </c>
    </row>
    <row r="1859">
      <c r="B1859" s="7" t="s">
        <v>148</v>
      </c>
    </row>
    <row r="1860">
      <c r="B1860" s="7" t="s">
        <v>149</v>
      </c>
    </row>
    <row r="1861">
      <c r="B1861" s="7" t="s">
        <v>150</v>
      </c>
    </row>
    <row r="1862">
      <c r="B1862" s="7" t="s">
        <v>151</v>
      </c>
    </row>
    <row r="1863">
      <c r="B1863" s="7" t="s">
        <v>152</v>
      </c>
    </row>
    <row r="1864">
      <c r="B1864" s="7" t="s">
        <v>153</v>
      </c>
    </row>
    <row r="1865">
      <c r="B1865" s="7" t="s">
        <v>154</v>
      </c>
    </row>
    <row r="1866">
      <c r="B1866" s="7" t="s">
        <v>155</v>
      </c>
    </row>
    <row r="1867">
      <c r="B1867" s="7" t="s">
        <v>156</v>
      </c>
    </row>
    <row r="1868">
      <c r="B1868" s="7" t="s">
        <v>157</v>
      </c>
    </row>
    <row r="1869">
      <c r="B1869" s="7" t="s">
        <v>158</v>
      </c>
    </row>
    <row r="1870">
      <c r="B1870" s="7" t="s">
        <v>159</v>
      </c>
    </row>
    <row r="1871">
      <c r="B1871" s="7" t="s">
        <v>160</v>
      </c>
    </row>
    <row r="1872">
      <c r="B1872" s="7" t="s">
        <v>161</v>
      </c>
    </row>
    <row r="1873">
      <c r="B1873" s="7" t="s">
        <v>162</v>
      </c>
    </row>
    <row r="1874">
      <c r="B1874" s="7" t="s">
        <v>163</v>
      </c>
    </row>
    <row r="1875">
      <c r="B1875" s="7" t="s">
        <v>164</v>
      </c>
    </row>
    <row r="1876">
      <c r="B1876" s="7" t="s">
        <v>165</v>
      </c>
    </row>
    <row r="1877">
      <c r="B1877" s="7" t="s">
        <v>166</v>
      </c>
    </row>
    <row r="1878">
      <c r="B1878" s="7" t="s">
        <v>167</v>
      </c>
    </row>
    <row r="1879">
      <c r="B1879" s="7" t="s">
        <v>168</v>
      </c>
    </row>
    <row r="1880">
      <c r="B1880" s="7" t="s">
        <v>169</v>
      </c>
    </row>
    <row r="1881">
      <c r="B1881" s="7" t="s">
        <v>170</v>
      </c>
    </row>
    <row r="1882">
      <c r="B1882" s="7" t="s">
        <v>171</v>
      </c>
    </row>
    <row r="1883">
      <c r="B1883" s="7" t="s">
        <v>172</v>
      </c>
    </row>
    <row r="1884">
      <c r="B1884" s="7" t="s">
        <v>173</v>
      </c>
    </row>
    <row r="1885">
      <c r="B1885" s="7" t="s">
        <v>174</v>
      </c>
    </row>
    <row r="1886">
      <c r="B1886" s="7" t="s">
        <v>175</v>
      </c>
    </row>
    <row r="1887">
      <c r="B1887" s="7" t="s">
        <v>176</v>
      </c>
    </row>
    <row r="1888">
      <c r="B1888" s="7" t="s">
        <v>177</v>
      </c>
    </row>
    <row r="1889">
      <c r="B1889" s="7" t="s">
        <v>178</v>
      </c>
    </row>
    <row r="1890">
      <c r="B1890" s="7" t="s">
        <v>179</v>
      </c>
    </row>
    <row r="1891">
      <c r="B1891" s="7" t="s">
        <v>180</v>
      </c>
    </row>
    <row r="1892">
      <c r="B1892" s="7" t="s">
        <v>181</v>
      </c>
    </row>
    <row r="1893">
      <c r="B1893" s="7" t="s">
        <v>182</v>
      </c>
    </row>
    <row r="1894">
      <c r="B1894" s="7" t="s">
        <v>183</v>
      </c>
    </row>
    <row r="1895">
      <c r="B1895" s="7" t="s">
        <v>184</v>
      </c>
    </row>
    <row r="1896">
      <c r="B1896" s="7" t="s">
        <v>185</v>
      </c>
    </row>
    <row r="1897">
      <c r="B1897" s="7" t="s">
        <v>186</v>
      </c>
    </row>
    <row r="1898">
      <c r="B1898" s="7" t="s">
        <v>187</v>
      </c>
    </row>
    <row r="1899">
      <c r="B1899" s="7" t="s">
        <v>188</v>
      </c>
    </row>
    <row r="1900">
      <c r="B1900" s="7" t="s">
        <v>189</v>
      </c>
    </row>
    <row r="1901">
      <c r="B1901" s="7" t="s">
        <v>190</v>
      </c>
    </row>
    <row r="1902">
      <c r="B1902" s="7" t="s">
        <v>191</v>
      </c>
    </row>
    <row r="1903">
      <c r="B1903" s="7" t="s">
        <v>192</v>
      </c>
    </row>
    <row r="1904">
      <c r="B1904" s="7" t="s">
        <v>193</v>
      </c>
    </row>
    <row r="1905">
      <c r="B1905" s="7" t="s">
        <v>194</v>
      </c>
    </row>
    <row r="1906">
      <c r="B1906" s="7" t="s">
        <v>195</v>
      </c>
    </row>
    <row r="1907">
      <c r="B1907" s="7" t="s">
        <v>196</v>
      </c>
    </row>
    <row r="1908">
      <c r="B1908" s="7" t="s">
        <v>197</v>
      </c>
    </row>
    <row r="1909">
      <c r="B1909" s="7" t="s">
        <v>198</v>
      </c>
    </row>
    <row r="1910">
      <c r="B1910" s="7" t="s">
        <v>199</v>
      </c>
    </row>
    <row r="1911">
      <c r="B1911" s="7" t="s">
        <v>200</v>
      </c>
    </row>
    <row r="1912">
      <c r="B1912" s="7" t="s">
        <v>201</v>
      </c>
    </row>
    <row r="1913">
      <c r="B1913" s="7" t="s">
        <v>202</v>
      </c>
    </row>
    <row r="1914">
      <c r="B1914" s="7" t="s">
        <v>203</v>
      </c>
    </row>
    <row r="1915">
      <c r="B1915" s="7" t="s">
        <v>204</v>
      </c>
    </row>
    <row r="1916">
      <c r="B1916" s="7" t="s">
        <v>205</v>
      </c>
    </row>
    <row r="1917">
      <c r="B1917" s="7" t="s">
        <v>206</v>
      </c>
    </row>
    <row r="1918">
      <c r="B1918" s="7" t="s">
        <v>207</v>
      </c>
    </row>
    <row r="1919">
      <c r="B1919" s="7" t="s">
        <v>208</v>
      </c>
    </row>
    <row r="1920">
      <c r="B1920" s="7" t="s">
        <v>209</v>
      </c>
    </row>
    <row r="1921">
      <c r="B1921" s="7" t="s">
        <v>210</v>
      </c>
    </row>
    <row r="1922">
      <c r="B1922" s="7" t="s">
        <v>211</v>
      </c>
    </row>
    <row r="1923">
      <c r="B1923" s="7" t="s">
        <v>212</v>
      </c>
    </row>
    <row r="1924">
      <c r="B1924" s="7" t="s">
        <v>213</v>
      </c>
    </row>
    <row r="1925">
      <c r="B1925" s="7" t="s">
        <v>214</v>
      </c>
    </row>
    <row r="1926">
      <c r="B1926" s="7" t="s">
        <v>215</v>
      </c>
    </row>
    <row r="1927">
      <c r="B1927" s="7" t="s">
        <v>216</v>
      </c>
    </row>
    <row r="1928">
      <c r="B1928" s="7" t="s">
        <v>217</v>
      </c>
    </row>
    <row r="1929">
      <c r="B1929" s="7" t="s">
        <v>218</v>
      </c>
    </row>
    <row r="1930">
      <c r="B1930" s="7" t="s">
        <v>219</v>
      </c>
    </row>
    <row r="1931">
      <c r="B1931" s="7" t="s">
        <v>220</v>
      </c>
    </row>
    <row r="1932">
      <c r="B1932" s="7" t="s">
        <v>221</v>
      </c>
    </row>
    <row r="1933">
      <c r="B1933" s="7" t="s">
        <v>222</v>
      </c>
    </row>
    <row r="1934">
      <c r="B1934" s="7" t="s">
        <v>223</v>
      </c>
    </row>
    <row r="1935">
      <c r="B1935" s="7" t="s">
        <v>224</v>
      </c>
    </row>
    <row r="1936">
      <c r="B1936" s="7" t="s">
        <v>225</v>
      </c>
    </row>
    <row r="1937">
      <c r="B1937" s="7" t="s">
        <v>226</v>
      </c>
    </row>
    <row r="1938">
      <c r="B1938" s="7" t="s">
        <v>227</v>
      </c>
    </row>
    <row r="1939">
      <c r="B1939" s="7" t="s">
        <v>228</v>
      </c>
    </row>
    <row r="1940">
      <c r="B1940" s="7" t="s">
        <v>229</v>
      </c>
    </row>
    <row r="1941">
      <c r="B1941" s="7" t="s">
        <v>230</v>
      </c>
    </row>
    <row r="1942">
      <c r="B1942" s="7" t="s">
        <v>231</v>
      </c>
    </row>
    <row r="1943">
      <c r="B1943" s="7" t="s">
        <v>232</v>
      </c>
    </row>
    <row r="1944">
      <c r="B1944" s="7" t="s">
        <v>233</v>
      </c>
    </row>
    <row r="1945">
      <c r="B1945" s="7" t="s">
        <v>234</v>
      </c>
    </row>
    <row r="1946">
      <c r="B1946" s="7" t="s">
        <v>235</v>
      </c>
    </row>
    <row r="1947">
      <c r="B1947" s="7" t="s">
        <v>236</v>
      </c>
    </row>
    <row r="1948">
      <c r="B1948" s="7" t="s">
        <v>237</v>
      </c>
    </row>
    <row r="1949">
      <c r="B1949" s="7" t="s">
        <v>238</v>
      </c>
    </row>
    <row r="1950">
      <c r="B1950" s="7" t="s">
        <v>239</v>
      </c>
    </row>
    <row r="1951">
      <c r="B1951" s="7" t="s">
        <v>240</v>
      </c>
    </row>
    <row r="1952">
      <c r="B1952" s="7" t="s">
        <v>241</v>
      </c>
    </row>
    <row r="1953">
      <c r="B1953" s="7" t="s">
        <v>242</v>
      </c>
    </row>
    <row r="1954">
      <c r="B1954" s="7" t="s">
        <v>243</v>
      </c>
    </row>
    <row r="1955">
      <c r="B1955" s="7" t="s">
        <v>244</v>
      </c>
    </row>
    <row r="1956">
      <c r="B1956" s="7" t="s">
        <v>245</v>
      </c>
    </row>
    <row r="1957">
      <c r="B1957" s="7" t="s">
        <v>246</v>
      </c>
    </row>
    <row r="1958">
      <c r="B1958" s="7" t="s">
        <v>247</v>
      </c>
    </row>
    <row r="1959">
      <c r="B1959" s="7" t="s">
        <v>248</v>
      </c>
    </row>
    <row r="1960">
      <c r="B1960" s="7" t="s">
        <v>249</v>
      </c>
    </row>
    <row r="1961">
      <c r="B1961" s="7" t="s">
        <v>250</v>
      </c>
    </row>
    <row r="1962">
      <c r="B1962" s="7" t="s">
        <v>251</v>
      </c>
    </row>
    <row r="1963">
      <c r="B1963" s="7" t="s">
        <v>252</v>
      </c>
    </row>
    <row r="1964">
      <c r="B1964" s="7" t="s">
        <v>253</v>
      </c>
    </row>
    <row r="1965">
      <c r="B1965" s="7" t="s">
        <v>254</v>
      </c>
    </row>
    <row r="1966">
      <c r="B1966" s="7" t="s">
        <v>255</v>
      </c>
    </row>
    <row r="1967">
      <c r="B1967" s="7" t="s">
        <v>256</v>
      </c>
    </row>
    <row r="1968">
      <c r="B1968" s="7" t="s">
        <v>257</v>
      </c>
    </row>
    <row r="1969">
      <c r="B1969" s="7" t="s">
        <v>258</v>
      </c>
    </row>
    <row r="1970">
      <c r="B1970" s="7" t="s">
        <v>259</v>
      </c>
    </row>
    <row r="1971">
      <c r="B1971" s="7" t="s">
        <v>260</v>
      </c>
    </row>
    <row r="1972">
      <c r="B1972" s="7" t="s">
        <v>261</v>
      </c>
    </row>
    <row r="1973">
      <c r="B1973" s="7" t="s">
        <v>262</v>
      </c>
    </row>
    <row r="1974">
      <c r="B1974" s="7" t="s">
        <v>263</v>
      </c>
    </row>
    <row r="1975">
      <c r="B1975" s="7" t="s">
        <v>264</v>
      </c>
    </row>
    <row r="1976">
      <c r="B1976" s="7" t="s">
        <v>265</v>
      </c>
    </row>
    <row r="1977">
      <c r="B1977" s="7" t="s">
        <v>266</v>
      </c>
    </row>
    <row r="1978">
      <c r="B1978" s="7" t="s">
        <v>267</v>
      </c>
    </row>
    <row r="1979">
      <c r="B1979" s="7" t="s">
        <v>268</v>
      </c>
    </row>
    <row r="1980">
      <c r="B1980" s="7" t="s">
        <v>269</v>
      </c>
    </row>
    <row r="1981">
      <c r="B1981" s="7" t="s">
        <v>270</v>
      </c>
    </row>
    <row r="1982">
      <c r="B1982" s="7" t="s">
        <v>271</v>
      </c>
    </row>
    <row r="1983">
      <c r="B1983" s="7" t="s">
        <v>272</v>
      </c>
    </row>
    <row r="1984">
      <c r="B1984" s="7" t="s">
        <v>273</v>
      </c>
    </row>
    <row r="1985">
      <c r="B1985" s="7" t="s">
        <v>274</v>
      </c>
    </row>
    <row r="1986">
      <c r="B1986" s="7" t="s">
        <v>275</v>
      </c>
    </row>
    <row r="1987">
      <c r="B1987" s="7" t="s">
        <v>276</v>
      </c>
    </row>
    <row r="1988">
      <c r="B1988" s="7" t="s">
        <v>277</v>
      </c>
    </row>
    <row r="1989">
      <c r="B1989" s="7" t="s">
        <v>278</v>
      </c>
    </row>
    <row r="1990">
      <c r="B1990" s="7" t="s">
        <v>279</v>
      </c>
    </row>
    <row r="1991">
      <c r="B1991" s="7" t="s">
        <v>280</v>
      </c>
    </row>
    <row r="1992">
      <c r="B1992" s="7" t="s">
        <v>281</v>
      </c>
    </row>
    <row r="1993">
      <c r="B1993" s="7" t="s">
        <v>282</v>
      </c>
    </row>
    <row r="1994">
      <c r="B1994" s="7" t="s">
        <v>283</v>
      </c>
    </row>
    <row r="1995">
      <c r="B1995" s="7" t="s">
        <v>284</v>
      </c>
    </row>
    <row r="1996">
      <c r="B1996" s="7" t="s">
        <v>285</v>
      </c>
    </row>
    <row r="1997">
      <c r="B1997" s="7" t="s">
        <v>286</v>
      </c>
    </row>
    <row r="1998">
      <c r="B1998" s="7" t="s">
        <v>287</v>
      </c>
    </row>
    <row r="1999">
      <c r="B1999" s="7" t="s">
        <v>288</v>
      </c>
    </row>
    <row r="2000">
      <c r="B2000" s="7" t="s">
        <v>289</v>
      </c>
    </row>
    <row r="2001">
      <c r="B2001" s="7" t="s">
        <v>290</v>
      </c>
    </row>
    <row r="2002">
      <c r="B2002" s="7" t="s">
        <v>291</v>
      </c>
    </row>
    <row r="2003">
      <c r="B2003" s="7" t="s">
        <v>292</v>
      </c>
    </row>
    <row r="2004">
      <c r="B2004" s="7" t="s">
        <v>293</v>
      </c>
    </row>
    <row r="2005">
      <c r="B2005" s="7" t="s">
        <v>294</v>
      </c>
    </row>
    <row r="2006">
      <c r="B2006" s="7" t="s">
        <v>295</v>
      </c>
    </row>
    <row r="2007">
      <c r="B2007" s="7" t="s">
        <v>296</v>
      </c>
    </row>
    <row r="2008">
      <c r="B2008" s="7" t="s">
        <v>297</v>
      </c>
    </row>
    <row r="2009">
      <c r="B2009" s="7" t="s">
        <v>298</v>
      </c>
    </row>
    <row r="2010">
      <c r="B2010" s="7" t="s">
        <v>299</v>
      </c>
    </row>
    <row r="2011">
      <c r="B2011" s="7" t="s">
        <v>300</v>
      </c>
    </row>
    <row r="2012">
      <c r="B2012" s="7" t="s">
        <v>301</v>
      </c>
    </row>
    <row r="2013">
      <c r="B2013" s="7" t="s">
        <v>302</v>
      </c>
    </row>
    <row r="2014">
      <c r="B2014" s="7" t="s">
        <v>303</v>
      </c>
    </row>
    <row r="2015">
      <c r="B2015" s="7" t="s">
        <v>304</v>
      </c>
    </row>
    <row r="2016">
      <c r="B2016" s="7" t="s">
        <v>305</v>
      </c>
    </row>
    <row r="2017">
      <c r="B2017" s="7" t="s">
        <v>306</v>
      </c>
    </row>
    <row r="2018">
      <c r="B2018" s="7" t="s">
        <v>307</v>
      </c>
    </row>
    <row r="2019">
      <c r="B2019" s="7" t="s">
        <v>308</v>
      </c>
    </row>
    <row r="2020">
      <c r="B2020" s="7" t="s">
        <v>309</v>
      </c>
    </row>
    <row r="2021">
      <c r="B2021" s="7" t="s">
        <v>310</v>
      </c>
    </row>
    <row r="2022">
      <c r="B2022" s="7" t="s">
        <v>311</v>
      </c>
    </row>
    <row r="2023">
      <c r="B2023" s="7" t="s">
        <v>312</v>
      </c>
    </row>
    <row r="2024">
      <c r="B2024" s="7" t="s">
        <v>313</v>
      </c>
    </row>
    <row r="2025">
      <c r="B2025" s="7" t="s">
        <v>314</v>
      </c>
    </row>
    <row r="2026">
      <c r="B2026" s="7" t="s">
        <v>315</v>
      </c>
    </row>
    <row r="2027">
      <c r="B2027" s="7" t="s">
        <v>316</v>
      </c>
    </row>
    <row r="2028">
      <c r="B2028" s="7" t="s">
        <v>317</v>
      </c>
    </row>
    <row r="2029">
      <c r="B2029" s="7" t="s">
        <v>318</v>
      </c>
    </row>
    <row r="2030">
      <c r="B2030" s="7" t="s">
        <v>319</v>
      </c>
    </row>
    <row r="2031">
      <c r="B2031" s="7" t="s">
        <v>320</v>
      </c>
    </row>
    <row r="2032">
      <c r="B2032" s="7" t="s">
        <v>321</v>
      </c>
    </row>
    <row r="2033">
      <c r="B2033" s="7" t="s">
        <v>322</v>
      </c>
    </row>
    <row r="2034">
      <c r="B2034" s="7" t="s">
        <v>323</v>
      </c>
    </row>
    <row r="2035">
      <c r="B2035" s="7" t="s">
        <v>324</v>
      </c>
    </row>
    <row r="2036">
      <c r="B2036" s="7" t="s">
        <v>325</v>
      </c>
    </row>
    <row r="2037">
      <c r="B2037" s="7" t="s">
        <v>326</v>
      </c>
    </row>
    <row r="2038">
      <c r="B2038" s="7" t="s">
        <v>327</v>
      </c>
    </row>
    <row r="2039">
      <c r="B2039" s="7" t="s">
        <v>328</v>
      </c>
    </row>
    <row r="2040">
      <c r="B2040" s="7" t="s">
        <v>329</v>
      </c>
    </row>
    <row r="2041">
      <c r="B2041" s="7" t="s">
        <v>330</v>
      </c>
    </row>
    <row r="2042">
      <c r="B2042" s="7" t="s">
        <v>331</v>
      </c>
    </row>
    <row r="2043">
      <c r="B2043" s="7" t="s">
        <v>332</v>
      </c>
    </row>
    <row r="2044">
      <c r="B2044" s="7" t="s">
        <v>333</v>
      </c>
    </row>
    <row r="2045">
      <c r="B2045" s="7" t="s">
        <v>334</v>
      </c>
    </row>
    <row r="2046">
      <c r="B2046" s="7" t="s">
        <v>335</v>
      </c>
    </row>
    <row r="2047">
      <c r="B2047" s="7" t="s">
        <v>336</v>
      </c>
    </row>
    <row r="2048">
      <c r="B2048" s="7" t="s">
        <v>337</v>
      </c>
    </row>
    <row r="2049">
      <c r="B2049" s="7" t="s">
        <v>338</v>
      </c>
    </row>
    <row r="2050">
      <c r="B2050" s="7" t="s">
        <v>339</v>
      </c>
    </row>
    <row r="2051">
      <c r="B2051" s="7" t="s">
        <v>340</v>
      </c>
    </row>
    <row r="2052">
      <c r="B2052" s="7" t="s">
        <v>341</v>
      </c>
    </row>
    <row r="2053">
      <c r="B2053" s="7" t="s">
        <v>342</v>
      </c>
    </row>
    <row r="2054">
      <c r="B2054" s="7" t="s">
        <v>343</v>
      </c>
    </row>
    <row r="2055">
      <c r="B2055" s="7" t="s">
        <v>344</v>
      </c>
    </row>
    <row r="2056">
      <c r="B2056" s="7" t="s">
        <v>345</v>
      </c>
    </row>
    <row r="2057">
      <c r="B2057" s="7" t="s">
        <v>346</v>
      </c>
    </row>
    <row r="2058">
      <c r="B2058" s="7" t="s">
        <v>347</v>
      </c>
    </row>
    <row r="2059">
      <c r="B2059" s="7" t="s">
        <v>348</v>
      </c>
    </row>
    <row r="2060">
      <c r="B2060" s="7" t="s">
        <v>349</v>
      </c>
    </row>
    <row r="2061">
      <c r="B2061" s="7" t="s">
        <v>350</v>
      </c>
    </row>
    <row r="2062">
      <c r="B2062" s="7" t="s">
        <v>351</v>
      </c>
    </row>
    <row r="2063">
      <c r="B2063" s="7" t="s">
        <v>352</v>
      </c>
    </row>
    <row r="2064">
      <c r="B2064" s="7" t="s">
        <v>353</v>
      </c>
    </row>
    <row r="2065">
      <c r="B2065" s="7" t="s">
        <v>354</v>
      </c>
    </row>
    <row r="2066">
      <c r="B2066" s="7" t="s">
        <v>355</v>
      </c>
    </row>
    <row r="2067">
      <c r="B2067" s="7" t="s">
        <v>356</v>
      </c>
    </row>
    <row r="2068">
      <c r="B2068" s="7" t="s">
        <v>357</v>
      </c>
    </row>
    <row r="2069">
      <c r="B2069" s="7" t="s">
        <v>358</v>
      </c>
    </row>
    <row r="2070">
      <c r="B2070" s="7" t="s">
        <v>359</v>
      </c>
    </row>
    <row r="2071">
      <c r="B2071" s="7" t="s">
        <v>360</v>
      </c>
    </row>
    <row r="2072">
      <c r="B2072" s="7" t="s">
        <v>361</v>
      </c>
    </row>
    <row r="2073">
      <c r="B2073" s="7" t="s">
        <v>362</v>
      </c>
    </row>
    <row r="2074">
      <c r="B2074" s="7" t="s">
        <v>363</v>
      </c>
    </row>
    <row r="2075">
      <c r="B2075" s="7" t="s">
        <v>364</v>
      </c>
    </row>
    <row r="2076">
      <c r="B2076" s="7" t="s">
        <v>365</v>
      </c>
    </row>
    <row r="2077">
      <c r="B2077" s="7" t="s">
        <v>366</v>
      </c>
    </row>
    <row r="2078">
      <c r="B2078" s="7" t="s">
        <v>367</v>
      </c>
    </row>
    <row r="2079">
      <c r="B2079" s="7" t="s">
        <v>368</v>
      </c>
    </row>
    <row r="2080">
      <c r="B2080" s="7" t="s">
        <v>369</v>
      </c>
    </row>
    <row r="2081">
      <c r="B2081" s="7" t="s">
        <v>370</v>
      </c>
    </row>
    <row r="2082">
      <c r="B2082" s="7" t="s">
        <v>371</v>
      </c>
    </row>
    <row r="2083">
      <c r="B2083" s="7" t="s">
        <v>372</v>
      </c>
    </row>
    <row r="2084">
      <c r="B2084" s="7" t="s">
        <v>373</v>
      </c>
    </row>
    <row r="2085">
      <c r="B2085" s="7" t="s">
        <v>374</v>
      </c>
    </row>
    <row r="2086">
      <c r="B2086" s="7" t="s">
        <v>375</v>
      </c>
    </row>
    <row r="2087">
      <c r="B2087" s="7" t="s">
        <v>376</v>
      </c>
    </row>
    <row r="2088">
      <c r="B2088" s="7" t="s">
        <v>377</v>
      </c>
    </row>
    <row r="2089">
      <c r="B2089" s="7" t="s">
        <v>378</v>
      </c>
    </row>
    <row r="2090">
      <c r="B2090" s="7" t="s">
        <v>379</v>
      </c>
    </row>
    <row r="2091">
      <c r="B2091" s="7" t="s">
        <v>380</v>
      </c>
    </row>
    <row r="2092">
      <c r="B2092" s="7" t="s">
        <v>381</v>
      </c>
    </row>
    <row r="2093">
      <c r="B2093" s="7" t="s">
        <v>382</v>
      </c>
    </row>
    <row r="2094">
      <c r="B2094" s="7" t="s">
        <v>383</v>
      </c>
    </row>
    <row r="2095">
      <c r="B2095" s="7" t="s">
        <v>384</v>
      </c>
    </row>
    <row r="2096">
      <c r="B2096" s="7" t="s">
        <v>385</v>
      </c>
    </row>
    <row r="2097">
      <c r="B2097" s="7" t="s">
        <v>386</v>
      </c>
    </row>
    <row r="2098">
      <c r="B2098" s="7" t="s">
        <v>387</v>
      </c>
    </row>
    <row r="2099">
      <c r="B2099" s="7" t="s">
        <v>388</v>
      </c>
    </row>
    <row r="2100">
      <c r="B2100" s="7" t="s">
        <v>389</v>
      </c>
    </row>
    <row r="2101">
      <c r="B2101" s="7" t="s">
        <v>390</v>
      </c>
    </row>
    <row r="2102">
      <c r="B2102" s="7" t="s">
        <v>391</v>
      </c>
    </row>
    <row r="2103">
      <c r="B2103" s="7" t="s">
        <v>392</v>
      </c>
    </row>
    <row r="2104">
      <c r="B2104" s="7" t="s">
        <v>393</v>
      </c>
    </row>
    <row r="2105">
      <c r="B2105" s="7" t="s">
        <v>394</v>
      </c>
    </row>
    <row r="2106">
      <c r="B2106" s="7" t="s">
        <v>395</v>
      </c>
    </row>
    <row r="2107">
      <c r="B2107" s="7" t="s">
        <v>396</v>
      </c>
    </row>
    <row r="2108">
      <c r="B2108" s="7" t="s">
        <v>397</v>
      </c>
    </row>
    <row r="2109">
      <c r="B2109" s="7" t="s">
        <v>398</v>
      </c>
    </row>
    <row r="2110">
      <c r="B2110" s="7" t="s">
        <v>399</v>
      </c>
    </row>
    <row r="2111">
      <c r="B2111" s="7" t="s">
        <v>400</v>
      </c>
    </row>
    <row r="2112">
      <c r="B2112" s="7" t="s">
        <v>401</v>
      </c>
    </row>
    <row r="2113">
      <c r="B2113" s="7" t="s">
        <v>402</v>
      </c>
    </row>
    <row r="2114">
      <c r="B2114" s="7" t="s">
        <v>403</v>
      </c>
    </row>
    <row r="2115">
      <c r="B2115" s="7" t="s">
        <v>404</v>
      </c>
    </row>
    <row r="2116">
      <c r="B2116" s="7" t="s">
        <v>405</v>
      </c>
    </row>
    <row r="2117">
      <c r="B2117" s="7" t="s">
        <v>406</v>
      </c>
    </row>
    <row r="2118">
      <c r="B2118" s="7" t="s">
        <v>407</v>
      </c>
    </row>
    <row r="2119">
      <c r="B2119" s="7" t="s">
        <v>408</v>
      </c>
    </row>
    <row r="2120">
      <c r="B2120" s="7" t="s">
        <v>409</v>
      </c>
    </row>
    <row r="2121">
      <c r="B2121" s="7" t="s">
        <v>410</v>
      </c>
    </row>
    <row r="2122">
      <c r="B2122" s="7" t="s">
        <v>411</v>
      </c>
    </row>
    <row r="2123">
      <c r="B2123" s="7" t="s">
        <v>412</v>
      </c>
    </row>
    <row r="2124">
      <c r="B2124" s="7" t="s">
        <v>413</v>
      </c>
    </row>
    <row r="2125">
      <c r="B2125" s="7" t="s">
        <v>414</v>
      </c>
    </row>
    <row r="2126">
      <c r="B2126" s="7" t="s">
        <v>415</v>
      </c>
    </row>
    <row r="2127">
      <c r="B2127" s="7" t="s">
        <v>416</v>
      </c>
    </row>
    <row r="2128">
      <c r="B2128" s="7" t="s">
        <v>417</v>
      </c>
    </row>
    <row r="2129">
      <c r="B2129" s="7" t="s">
        <v>418</v>
      </c>
    </row>
    <row r="2130">
      <c r="B2130" s="7" t="s">
        <v>419</v>
      </c>
    </row>
    <row r="2131">
      <c r="B2131" s="7" t="s">
        <v>420</v>
      </c>
    </row>
    <row r="2132">
      <c r="B2132" s="7" t="s">
        <v>421</v>
      </c>
    </row>
    <row r="2133">
      <c r="B2133" s="7" t="s">
        <v>422</v>
      </c>
    </row>
    <row r="2134">
      <c r="B2134" s="7" t="s">
        <v>423</v>
      </c>
    </row>
    <row r="2135">
      <c r="B2135" s="7" t="s">
        <v>424</v>
      </c>
    </row>
    <row r="2136">
      <c r="B2136" s="7" t="s">
        <v>425</v>
      </c>
    </row>
    <row r="2137">
      <c r="B2137" s="7" t="s">
        <v>426</v>
      </c>
    </row>
    <row r="2138">
      <c r="B2138" s="7" t="s">
        <v>427</v>
      </c>
    </row>
    <row r="2139">
      <c r="B2139" s="7" t="s">
        <v>428</v>
      </c>
    </row>
    <row r="2140">
      <c r="B2140" s="7" t="s">
        <v>429</v>
      </c>
    </row>
    <row r="2141">
      <c r="B2141" s="7" t="s">
        <v>430</v>
      </c>
    </row>
    <row r="2142">
      <c r="B2142" s="7" t="s">
        <v>431</v>
      </c>
    </row>
    <row r="2143">
      <c r="B2143" s="7" t="s">
        <v>432</v>
      </c>
    </row>
    <row r="2144">
      <c r="B2144" s="7" t="s">
        <v>433</v>
      </c>
    </row>
    <row r="2145">
      <c r="B2145" s="7" t="s">
        <v>434</v>
      </c>
    </row>
    <row r="2146">
      <c r="B2146" s="7" t="s">
        <v>435</v>
      </c>
    </row>
    <row r="2147">
      <c r="B2147" s="7" t="s">
        <v>436</v>
      </c>
    </row>
    <row r="2148">
      <c r="B2148" s="7" t="s">
        <v>437</v>
      </c>
    </row>
    <row r="2149">
      <c r="B2149" s="7" t="s">
        <v>438</v>
      </c>
    </row>
    <row r="2150">
      <c r="B2150" s="7" t="s">
        <v>439</v>
      </c>
    </row>
    <row r="2151">
      <c r="B2151" s="7" t="s">
        <v>440</v>
      </c>
    </row>
    <row r="2152">
      <c r="B2152" s="7" t="s">
        <v>441</v>
      </c>
    </row>
    <row r="2153">
      <c r="B2153" s="7" t="s">
        <v>442</v>
      </c>
    </row>
    <row r="2154">
      <c r="B2154" s="7" t="s">
        <v>443</v>
      </c>
    </row>
    <row r="2155">
      <c r="B2155" s="7" t="s">
        <v>444</v>
      </c>
    </row>
    <row r="2156">
      <c r="B2156" s="7" t="s">
        <v>445</v>
      </c>
    </row>
    <row r="2157">
      <c r="B2157" s="7" t="s">
        <v>446</v>
      </c>
    </row>
    <row r="2158">
      <c r="B2158" s="7" t="s">
        <v>447</v>
      </c>
    </row>
    <row r="2159">
      <c r="B2159" s="7" t="s">
        <v>448</v>
      </c>
    </row>
    <row r="2160">
      <c r="B2160" s="7" t="s">
        <v>449</v>
      </c>
    </row>
    <row r="2161">
      <c r="B2161" s="7" t="s">
        <v>450</v>
      </c>
    </row>
    <row r="2162">
      <c r="B2162" s="7" t="s">
        <v>451</v>
      </c>
    </row>
    <row r="2163">
      <c r="B2163" s="7" t="s">
        <v>452</v>
      </c>
    </row>
    <row r="2164">
      <c r="B2164" s="7" t="s">
        <v>453</v>
      </c>
    </row>
    <row r="2165">
      <c r="B2165" s="7" t="s">
        <v>454</v>
      </c>
    </row>
    <row r="2166">
      <c r="B2166" s="7" t="s">
        <v>455</v>
      </c>
    </row>
    <row r="2167">
      <c r="B2167" s="7" t="s">
        <v>456</v>
      </c>
    </row>
    <row r="2168">
      <c r="B2168" s="7" t="s">
        <v>457</v>
      </c>
    </row>
    <row r="2169">
      <c r="B2169" s="7" t="s">
        <v>458</v>
      </c>
    </row>
    <row r="2170">
      <c r="B2170" s="7" t="s">
        <v>459</v>
      </c>
    </row>
    <row r="2171">
      <c r="B2171" s="7" t="s">
        <v>460</v>
      </c>
    </row>
    <row r="2172">
      <c r="B2172" s="7" t="s">
        <v>461</v>
      </c>
    </row>
    <row r="2173">
      <c r="B2173" s="7" t="s">
        <v>462</v>
      </c>
    </row>
    <row r="2174">
      <c r="B2174" s="7" t="s">
        <v>463</v>
      </c>
    </row>
    <row r="2175">
      <c r="B2175" s="7" t="s">
        <v>464</v>
      </c>
    </row>
    <row r="2176">
      <c r="B2176" s="7" t="s">
        <v>465</v>
      </c>
    </row>
    <row r="2177">
      <c r="B2177" s="7" t="s">
        <v>466</v>
      </c>
    </row>
    <row r="2178">
      <c r="B2178" s="7" t="s">
        <v>467</v>
      </c>
    </row>
    <row r="2179">
      <c r="B2179" s="7" t="s">
        <v>468</v>
      </c>
    </row>
    <row r="2180">
      <c r="B2180" s="7" t="s">
        <v>469</v>
      </c>
    </row>
    <row r="2181">
      <c r="B2181" s="7" t="s">
        <v>470</v>
      </c>
    </row>
    <row r="2182">
      <c r="B2182" s="7" t="s">
        <v>471</v>
      </c>
    </row>
    <row r="2183">
      <c r="B2183" s="7" t="s">
        <v>472</v>
      </c>
    </row>
    <row r="2184">
      <c r="B2184" s="7" t="s">
        <v>473</v>
      </c>
    </row>
    <row r="2185">
      <c r="B2185" s="7" t="s">
        <v>474</v>
      </c>
    </row>
    <row r="2186">
      <c r="B2186" s="7" t="s">
        <v>475</v>
      </c>
    </row>
    <row r="2187">
      <c r="B2187" s="7" t="s">
        <v>476</v>
      </c>
    </row>
    <row r="2188">
      <c r="B2188" s="7" t="s">
        <v>477</v>
      </c>
    </row>
    <row r="2189">
      <c r="B2189" s="7" t="s">
        <v>478</v>
      </c>
    </row>
    <row r="2190">
      <c r="B2190" s="7" t="s">
        <v>479</v>
      </c>
    </row>
    <row r="2191">
      <c r="B2191" s="7" t="s">
        <v>480</v>
      </c>
    </row>
    <row r="2192">
      <c r="B2192" s="7" t="s">
        <v>481</v>
      </c>
    </row>
    <row r="2193">
      <c r="B2193" s="7" t="s">
        <v>482</v>
      </c>
    </row>
    <row r="2194">
      <c r="B2194" s="7" t="s">
        <v>483</v>
      </c>
    </row>
    <row r="2195">
      <c r="B2195" s="7" t="s">
        <v>484</v>
      </c>
    </row>
    <row r="2196">
      <c r="B2196" s="7" t="s">
        <v>485</v>
      </c>
    </row>
    <row r="2197">
      <c r="B2197" s="7" t="s">
        <v>486</v>
      </c>
    </row>
    <row r="2198">
      <c r="B2198" s="7" t="s">
        <v>487</v>
      </c>
    </row>
    <row r="2199">
      <c r="B2199" s="7" t="s">
        <v>488</v>
      </c>
    </row>
    <row r="2200">
      <c r="B2200" s="7" t="s">
        <v>489</v>
      </c>
    </row>
    <row r="2201">
      <c r="B2201" s="7" t="s">
        <v>490</v>
      </c>
    </row>
    <row r="2202">
      <c r="B2202" s="7" t="s">
        <v>491</v>
      </c>
    </row>
    <row r="2203">
      <c r="B2203" s="7" t="s">
        <v>492</v>
      </c>
    </row>
    <row r="2204">
      <c r="B2204" s="7" t="s">
        <v>493</v>
      </c>
    </row>
    <row r="2205">
      <c r="B2205" s="7" t="s">
        <v>494</v>
      </c>
    </row>
    <row r="2206">
      <c r="B2206" s="7" t="s">
        <v>495</v>
      </c>
    </row>
    <row r="2207">
      <c r="B2207" s="7" t="s">
        <v>496</v>
      </c>
    </row>
    <row r="2208">
      <c r="B2208" s="7" t="s">
        <v>497</v>
      </c>
    </row>
    <row r="2209">
      <c r="B2209" s="7" t="s">
        <v>498</v>
      </c>
    </row>
    <row r="2210">
      <c r="B2210" s="7" t="s">
        <v>499</v>
      </c>
    </row>
    <row r="2211">
      <c r="B2211" s="7" t="s">
        <v>500</v>
      </c>
    </row>
    <row r="2212">
      <c r="B2212" s="7" t="s">
        <v>501</v>
      </c>
    </row>
    <row r="2213">
      <c r="B2213" s="7" t="s">
        <v>502</v>
      </c>
    </row>
    <row r="2214">
      <c r="B2214" s="7" t="s">
        <v>503</v>
      </c>
    </row>
    <row r="2215">
      <c r="B2215" s="7" t="s">
        <v>504</v>
      </c>
    </row>
    <row r="2216">
      <c r="B2216" s="7" t="s">
        <v>505</v>
      </c>
    </row>
    <row r="2217">
      <c r="B2217" s="7" t="s">
        <v>506</v>
      </c>
    </row>
    <row r="2218">
      <c r="B2218" s="7" t="s">
        <v>507</v>
      </c>
    </row>
    <row r="2219">
      <c r="B2219" s="7" t="s">
        <v>508</v>
      </c>
    </row>
    <row r="2220">
      <c r="B2220" s="7" t="s">
        <v>509</v>
      </c>
    </row>
    <row r="2221">
      <c r="B2221" s="7" t="s">
        <v>510</v>
      </c>
    </row>
    <row r="2222">
      <c r="B2222" s="7" t="s">
        <v>511</v>
      </c>
    </row>
    <row r="2223">
      <c r="B2223" s="7" t="s">
        <v>512</v>
      </c>
    </row>
    <row r="2224">
      <c r="B2224" s="7" t="s">
        <v>513</v>
      </c>
    </row>
    <row r="2225">
      <c r="B2225" s="7" t="s">
        <v>514</v>
      </c>
    </row>
    <row r="2226">
      <c r="B2226" s="7" t="s">
        <v>515</v>
      </c>
    </row>
    <row r="2227">
      <c r="B2227" s="7" t="s">
        <v>516</v>
      </c>
    </row>
    <row r="2228">
      <c r="B2228" s="7" t="s">
        <v>517</v>
      </c>
    </row>
    <row r="2229">
      <c r="B2229" s="7" t="s">
        <v>518</v>
      </c>
    </row>
    <row r="2230">
      <c r="B2230" s="7" t="s">
        <v>519</v>
      </c>
    </row>
    <row r="2231">
      <c r="B2231" s="7" t="s">
        <v>520</v>
      </c>
    </row>
    <row r="2232">
      <c r="B2232" s="7" t="s">
        <v>521</v>
      </c>
    </row>
    <row r="2233">
      <c r="B2233" s="7" t="s">
        <v>522</v>
      </c>
    </row>
    <row r="2234">
      <c r="B2234" s="7" t="s">
        <v>523</v>
      </c>
    </row>
    <row r="2235">
      <c r="B2235" s="7" t="s">
        <v>524</v>
      </c>
    </row>
    <row r="2236">
      <c r="B2236" s="7" t="s">
        <v>525</v>
      </c>
    </row>
    <row r="2237">
      <c r="B2237" s="7" t="s">
        <v>526</v>
      </c>
    </row>
    <row r="2238">
      <c r="B2238" s="7" t="s">
        <v>527</v>
      </c>
    </row>
    <row r="2239">
      <c r="B2239" s="7" t="s">
        <v>528</v>
      </c>
    </row>
    <row r="2240">
      <c r="B2240" s="7" t="s">
        <v>529</v>
      </c>
    </row>
    <row r="2241">
      <c r="B2241" s="7" t="s">
        <v>530</v>
      </c>
    </row>
    <row r="2242">
      <c r="B2242" s="7" t="s">
        <v>531</v>
      </c>
    </row>
    <row r="2243">
      <c r="B2243" s="7" t="s">
        <v>532</v>
      </c>
    </row>
    <row r="2244">
      <c r="B2244" s="7" t="s">
        <v>533</v>
      </c>
    </row>
    <row r="2245">
      <c r="B2245" s="7" t="s">
        <v>534</v>
      </c>
    </row>
    <row r="2246">
      <c r="B2246" s="7" t="s">
        <v>535</v>
      </c>
    </row>
    <row r="2247">
      <c r="B2247" s="7" t="s">
        <v>536</v>
      </c>
    </row>
    <row r="2248">
      <c r="B2248" s="7" t="s">
        <v>537</v>
      </c>
    </row>
    <row r="2249">
      <c r="B2249" s="7" t="s">
        <v>538</v>
      </c>
    </row>
    <row r="2250">
      <c r="B2250" s="7" t="s">
        <v>539</v>
      </c>
    </row>
    <row r="2251">
      <c r="B2251" s="7" t="s">
        <v>540</v>
      </c>
    </row>
    <row r="2252">
      <c r="B2252" s="7" t="s">
        <v>541</v>
      </c>
    </row>
    <row r="2253">
      <c r="B2253" s="7" t="s">
        <v>542</v>
      </c>
    </row>
    <row r="2254">
      <c r="B2254" s="7" t="s">
        <v>543</v>
      </c>
    </row>
    <row r="2255">
      <c r="B2255" s="7" t="s">
        <v>544</v>
      </c>
    </row>
    <row r="2256">
      <c r="B2256" s="7" t="s">
        <v>545</v>
      </c>
    </row>
    <row r="2257">
      <c r="B2257" s="7" t="s">
        <v>546</v>
      </c>
    </row>
    <row r="2258">
      <c r="B2258" s="7" t="s">
        <v>547</v>
      </c>
    </row>
    <row r="2259">
      <c r="B2259" s="7" t="s">
        <v>548</v>
      </c>
    </row>
    <row r="2260">
      <c r="B2260" s="7" t="s">
        <v>549</v>
      </c>
    </row>
    <row r="2261">
      <c r="B2261" s="7" t="s">
        <v>550</v>
      </c>
    </row>
    <row r="2262">
      <c r="B2262" s="7" t="s">
        <v>551</v>
      </c>
    </row>
    <row r="2263">
      <c r="B2263" s="7" t="s">
        <v>552</v>
      </c>
    </row>
    <row r="2264">
      <c r="B2264" s="7" t="s">
        <v>553</v>
      </c>
    </row>
    <row r="2265">
      <c r="B2265" s="7" t="s">
        <v>554</v>
      </c>
    </row>
    <row r="2266">
      <c r="B2266" s="7" t="s">
        <v>555</v>
      </c>
    </row>
    <row r="2267">
      <c r="B2267" s="7" t="s">
        <v>556</v>
      </c>
    </row>
    <row r="2268">
      <c r="B2268" s="7" t="s">
        <v>557</v>
      </c>
    </row>
    <row r="2269">
      <c r="B2269" s="7" t="s">
        <v>558</v>
      </c>
    </row>
    <row r="2270">
      <c r="B2270" s="7" t="s">
        <v>559</v>
      </c>
    </row>
    <row r="2271">
      <c r="B2271" s="7" t="s">
        <v>560</v>
      </c>
    </row>
    <row r="2272">
      <c r="B2272" s="7" t="s">
        <v>561</v>
      </c>
    </row>
    <row r="2273">
      <c r="B2273" s="7" t="s">
        <v>562</v>
      </c>
    </row>
    <row r="2274">
      <c r="B2274" s="7" t="s">
        <v>563</v>
      </c>
    </row>
    <row r="2275">
      <c r="B2275" s="7" t="s">
        <v>564</v>
      </c>
    </row>
    <row r="2276">
      <c r="B2276" s="7" t="s">
        <v>565</v>
      </c>
    </row>
    <row r="2277">
      <c r="B2277" s="7" t="s">
        <v>566</v>
      </c>
    </row>
    <row r="2278">
      <c r="B2278" s="7" t="s">
        <v>567</v>
      </c>
    </row>
    <row r="2279">
      <c r="B2279" s="7" t="s">
        <v>568</v>
      </c>
    </row>
    <row r="2280">
      <c r="B2280" s="7" t="s">
        <v>569</v>
      </c>
    </row>
    <row r="2281">
      <c r="B2281" s="7" t="s">
        <v>570</v>
      </c>
    </row>
    <row r="2282">
      <c r="B2282" s="7" t="s">
        <v>571</v>
      </c>
    </row>
    <row r="2283">
      <c r="B2283" s="7" t="s">
        <v>572</v>
      </c>
    </row>
    <row r="2284">
      <c r="B2284" s="7" t="s">
        <v>573</v>
      </c>
    </row>
    <row r="2285">
      <c r="B2285" s="7" t="s">
        <v>574</v>
      </c>
    </row>
    <row r="2286">
      <c r="B2286" s="7" t="s">
        <v>575</v>
      </c>
    </row>
    <row r="2287">
      <c r="B2287" s="7" t="s">
        <v>576</v>
      </c>
    </row>
    <row r="2288">
      <c r="B2288" s="7" t="s">
        <v>577</v>
      </c>
    </row>
    <row r="2289">
      <c r="B2289" s="7" t="s">
        <v>578</v>
      </c>
    </row>
    <row r="2290">
      <c r="B2290" s="7" t="s">
        <v>579</v>
      </c>
    </row>
    <row r="2291">
      <c r="B2291" s="7" t="s">
        <v>580</v>
      </c>
    </row>
    <row r="2292">
      <c r="B2292" s="7" t="s">
        <v>581</v>
      </c>
    </row>
    <row r="2293">
      <c r="B2293" s="7" t="s">
        <v>582</v>
      </c>
    </row>
    <row r="2294">
      <c r="B2294" s="7" t="s">
        <v>583</v>
      </c>
    </row>
    <row r="2295">
      <c r="B2295" s="7" t="s">
        <v>584</v>
      </c>
    </row>
    <row r="2296">
      <c r="B2296" s="7" t="s">
        <v>585</v>
      </c>
    </row>
    <row r="2297">
      <c r="B2297" s="7" t="s">
        <v>586</v>
      </c>
    </row>
    <row r="2298">
      <c r="B2298" s="7" t="s">
        <v>587</v>
      </c>
    </row>
    <row r="2299">
      <c r="B2299" s="7" t="s">
        <v>588</v>
      </c>
    </row>
    <row r="2300">
      <c r="B2300" s="7" t="s">
        <v>589</v>
      </c>
    </row>
    <row r="2301">
      <c r="B2301" s="7" t="s">
        <v>590</v>
      </c>
    </row>
    <row r="2302">
      <c r="B2302" s="7" t="s">
        <v>591</v>
      </c>
    </row>
    <row r="2303">
      <c r="B2303" s="7" t="s">
        <v>592</v>
      </c>
    </row>
    <row r="2304">
      <c r="B2304" s="7" t="s">
        <v>593</v>
      </c>
    </row>
    <row r="2305">
      <c r="B2305" s="7" t="s">
        <v>594</v>
      </c>
    </row>
    <row r="2306">
      <c r="B2306" s="7" t="s">
        <v>595</v>
      </c>
    </row>
    <row r="2307">
      <c r="B2307" s="7" t="s">
        <v>596</v>
      </c>
    </row>
    <row r="2308">
      <c r="B2308" s="7" t="s">
        <v>597</v>
      </c>
    </row>
    <row r="2309">
      <c r="B2309" s="7" t="s">
        <v>598</v>
      </c>
    </row>
    <row r="2310">
      <c r="B2310" s="7" t="s">
        <v>599</v>
      </c>
    </row>
    <row r="2311">
      <c r="B2311" s="7" t="s">
        <v>600</v>
      </c>
    </row>
    <row r="2312">
      <c r="B2312" s="7" t="s">
        <v>601</v>
      </c>
    </row>
    <row r="2313">
      <c r="B2313" s="7" t="s">
        <v>602</v>
      </c>
    </row>
    <row r="2314">
      <c r="B2314" s="7" t="s">
        <v>603</v>
      </c>
    </row>
    <row r="2315">
      <c r="B2315" s="7" t="s">
        <v>604</v>
      </c>
    </row>
    <row r="2316">
      <c r="B2316" s="7" t="s">
        <v>605</v>
      </c>
    </row>
    <row r="2317">
      <c r="B2317" s="7" t="s">
        <v>606</v>
      </c>
    </row>
    <row r="2318">
      <c r="B2318" s="7" t="s">
        <v>607</v>
      </c>
    </row>
    <row r="2319">
      <c r="B2319" s="7" t="s">
        <v>608</v>
      </c>
    </row>
    <row r="2320">
      <c r="B2320" s="7" t="s">
        <v>609</v>
      </c>
    </row>
    <row r="2321">
      <c r="B2321" s="7" t="s">
        <v>610</v>
      </c>
    </row>
    <row r="2322">
      <c r="B2322" s="7" t="s">
        <v>611</v>
      </c>
    </row>
    <row r="2323">
      <c r="B2323" s="7" t="s">
        <v>612</v>
      </c>
    </row>
    <row r="2324">
      <c r="B2324" s="7" t="s">
        <v>613</v>
      </c>
    </row>
    <row r="2325">
      <c r="B2325" s="7" t="s">
        <v>614</v>
      </c>
    </row>
    <row r="2326">
      <c r="B2326" s="7" t="s">
        <v>615</v>
      </c>
    </row>
    <row r="2328">
      <c r="B2328" s="7" t="s">
        <v>616</v>
      </c>
    </row>
    <row r="2329">
      <c r="B2329" s="7" t="s">
        <v>617</v>
      </c>
    </row>
    <row r="2330">
      <c r="B2330" s="7" t="s">
        <v>618</v>
      </c>
    </row>
    <row r="2331">
      <c r="B2331" s="7" t="s">
        <v>619</v>
      </c>
    </row>
    <row r="2332">
      <c r="B2332" s="7" t="s">
        <v>620</v>
      </c>
    </row>
    <row r="2333">
      <c r="B2333" s="7" t="s">
        <v>621</v>
      </c>
    </row>
    <row r="2334">
      <c r="B2334" s="7" t="s">
        <v>622</v>
      </c>
    </row>
    <row r="2335">
      <c r="B2335" s="7" t="s">
        <v>623</v>
      </c>
    </row>
    <row r="2336">
      <c r="B2336" s="7" t="s">
        <v>624</v>
      </c>
    </row>
    <row r="2337">
      <c r="B2337" s="7" t="s">
        <v>625</v>
      </c>
    </row>
    <row r="2338">
      <c r="B2338" s="7" t="s">
        <v>626</v>
      </c>
    </row>
    <row r="2339">
      <c r="B2339" s="7" t="s">
        <v>627</v>
      </c>
    </row>
    <row r="2340">
      <c r="B2340" s="7" t="s">
        <v>628</v>
      </c>
    </row>
    <row r="2341">
      <c r="B2341" s="7" t="s">
        <v>629</v>
      </c>
    </row>
    <row r="2342">
      <c r="B2342" s="7" t="s">
        <v>630</v>
      </c>
    </row>
    <row r="2343">
      <c r="B2343" s="7" t="s">
        <v>631</v>
      </c>
    </row>
    <row r="2344">
      <c r="B2344" s="7" t="s">
        <v>632</v>
      </c>
    </row>
    <row r="2345">
      <c r="B2345" s="7" t="s">
        <v>633</v>
      </c>
    </row>
    <row r="2346">
      <c r="B2346" s="7" t="s">
        <v>634</v>
      </c>
    </row>
    <row r="2347">
      <c r="B2347" s="7" t="s">
        <v>635</v>
      </c>
    </row>
    <row r="2348">
      <c r="B2348" s="7" t="s">
        <v>636</v>
      </c>
    </row>
    <row r="2349">
      <c r="B2349" s="7" t="s">
        <v>637</v>
      </c>
    </row>
    <row r="2350">
      <c r="B2350" s="7" t="s">
        <v>638</v>
      </c>
    </row>
    <row r="2351">
      <c r="B2351" s="7" t="s">
        <v>639</v>
      </c>
    </row>
    <row r="2352">
      <c r="B2352" s="7" t="s">
        <v>640</v>
      </c>
    </row>
    <row r="2353">
      <c r="B2353" s="7" t="s">
        <v>641</v>
      </c>
    </row>
    <row r="2354">
      <c r="B2354" s="7" t="s">
        <v>642</v>
      </c>
    </row>
    <row r="2355">
      <c r="B2355" s="7" t="s">
        <v>643</v>
      </c>
    </row>
    <row r="2356">
      <c r="B2356" s="7" t="s">
        <v>644</v>
      </c>
    </row>
    <row r="2357">
      <c r="B2357" s="7" t="s">
        <v>645</v>
      </c>
    </row>
    <row r="2358">
      <c r="B2358" s="7" t="s">
        <v>646</v>
      </c>
    </row>
    <row r="2359">
      <c r="B2359" s="2" t="s">
        <v>647</v>
      </c>
    </row>
    <row r="2360">
      <c r="B2360" s="7" t="s">
        <v>648</v>
      </c>
    </row>
    <row r="2361">
      <c r="B2361" s="2" t="s">
        <v>647</v>
      </c>
    </row>
    <row r="2362">
      <c r="B2362" s="7" t="s">
        <v>649</v>
      </c>
    </row>
    <row r="2363">
      <c r="B2363" s="7" t="s">
        <v>650</v>
      </c>
    </row>
    <row r="2364">
      <c r="B2364" s="7" t="s">
        <v>651</v>
      </c>
    </row>
    <row r="2365">
      <c r="B2365" s="7" t="s">
        <v>652</v>
      </c>
    </row>
    <row r="2366">
      <c r="B2366" s="7" t="s">
        <v>653</v>
      </c>
    </row>
    <row r="2367">
      <c r="B2367" s="7" t="s">
        <v>654</v>
      </c>
    </row>
    <row r="2368">
      <c r="B2368" s="7" t="s">
        <v>655</v>
      </c>
    </row>
    <row r="2369">
      <c r="B2369" s="7" t="s">
        <v>656</v>
      </c>
    </row>
    <row r="2370">
      <c r="B2370" s="7" t="s">
        <v>657</v>
      </c>
    </row>
    <row r="2371">
      <c r="B2371" s="7" t="s">
        <v>658</v>
      </c>
    </row>
    <row r="2372">
      <c r="B2372" s="7" t="s">
        <v>659</v>
      </c>
    </row>
    <row r="2373">
      <c r="B2373" s="2" t="s">
        <v>647</v>
      </c>
    </row>
    <row r="2374">
      <c r="B2374" s="7" t="s">
        <v>660</v>
      </c>
    </row>
    <row r="2375">
      <c r="B2375" s="7" t="s">
        <v>661</v>
      </c>
    </row>
    <row r="2376">
      <c r="B2376" s="7" t="s">
        <v>662</v>
      </c>
    </row>
    <row r="2377">
      <c r="B2377" s="7" t="s">
        <v>663</v>
      </c>
    </row>
    <row r="2378">
      <c r="B2378" s="7" t="s">
        <v>664</v>
      </c>
    </row>
    <row r="2379">
      <c r="B2379" s="7" t="s">
        <v>665</v>
      </c>
    </row>
    <row r="2380">
      <c r="B2380" s="7" t="s">
        <v>666</v>
      </c>
    </row>
    <row r="2381">
      <c r="B2381" s="7" t="s">
        <v>667</v>
      </c>
    </row>
    <row r="2382">
      <c r="B2382" s="7" t="s">
        <v>668</v>
      </c>
    </row>
    <row r="2383">
      <c r="B2383" s="7" t="s">
        <v>669</v>
      </c>
    </row>
    <row r="2384">
      <c r="B2384" s="2" t="s">
        <v>647</v>
      </c>
    </row>
    <row r="2385">
      <c r="B2385" s="2" t="s">
        <v>647</v>
      </c>
    </row>
    <row r="2386">
      <c r="B2386" s="7" t="s">
        <v>670</v>
      </c>
    </row>
    <row r="2387">
      <c r="B2387" s="7" t="s">
        <v>671</v>
      </c>
    </row>
    <row r="2388">
      <c r="B2388" s="7" t="s">
        <v>672</v>
      </c>
    </row>
    <row r="2389">
      <c r="B2389" s="7" t="s">
        <v>673</v>
      </c>
    </row>
    <row r="2390">
      <c r="B2390" s="7" t="s">
        <v>674</v>
      </c>
    </row>
    <row r="2391">
      <c r="B2391" s="7" t="s">
        <v>675</v>
      </c>
    </row>
    <row r="2392">
      <c r="B2392" s="7" t="s">
        <v>676</v>
      </c>
    </row>
    <row r="2393">
      <c r="B2393" s="7" t="s">
        <v>677</v>
      </c>
    </row>
    <row r="2394">
      <c r="B2394" s="7" t="s">
        <v>678</v>
      </c>
    </row>
    <row r="2395">
      <c r="B2395" s="7" t="s">
        <v>679</v>
      </c>
    </row>
    <row r="2396">
      <c r="B2396" s="7" t="s">
        <v>680</v>
      </c>
    </row>
    <row r="2397">
      <c r="B2397" s="2" t="s">
        <v>647</v>
      </c>
    </row>
    <row r="2398">
      <c r="B2398" s="2" t="s">
        <v>647</v>
      </c>
    </row>
    <row r="2399">
      <c r="B2399" s="7" t="s">
        <v>681</v>
      </c>
    </row>
    <row r="2400">
      <c r="B2400" s="7" t="s">
        <v>682</v>
      </c>
    </row>
    <row r="2401">
      <c r="B2401" s="7" t="s">
        <v>683</v>
      </c>
    </row>
    <row r="2402">
      <c r="B2402" s="7" t="s">
        <v>684</v>
      </c>
    </row>
    <row r="2403">
      <c r="B2403" s="7" t="s">
        <v>685</v>
      </c>
    </row>
    <row r="2404">
      <c r="B2404" s="2" t="s">
        <v>647</v>
      </c>
    </row>
    <row r="2405">
      <c r="B2405" s="7" t="s">
        <v>686</v>
      </c>
    </row>
    <row r="2406">
      <c r="B2406" s="7" t="s">
        <v>687</v>
      </c>
    </row>
    <row r="2407">
      <c r="B2407" s="7" t="s">
        <v>688</v>
      </c>
    </row>
    <row r="2408">
      <c r="B2408" s="2" t="s">
        <v>647</v>
      </c>
    </row>
    <row r="2409">
      <c r="B2409" s="7" t="s">
        <v>689</v>
      </c>
    </row>
    <row r="2410">
      <c r="B2410" s="7" t="s">
        <v>690</v>
      </c>
    </row>
    <row r="2411">
      <c r="B2411" s="7" t="s">
        <v>691</v>
      </c>
    </row>
    <row r="2412">
      <c r="B2412" s="7" t="s">
        <v>692</v>
      </c>
    </row>
    <row r="2413">
      <c r="B2413" s="7" t="s">
        <v>693</v>
      </c>
    </row>
    <row r="2414">
      <c r="B2414" s="7" t="s">
        <v>694</v>
      </c>
    </row>
    <row r="2415">
      <c r="B2415" s="7" t="s">
        <v>695</v>
      </c>
    </row>
    <row r="2416">
      <c r="B2416" s="7" t="s">
        <v>696</v>
      </c>
    </row>
    <row r="2417">
      <c r="B2417" s="7" t="s">
        <v>697</v>
      </c>
    </row>
    <row r="2418">
      <c r="B2418" s="7" t="s">
        <v>698</v>
      </c>
    </row>
    <row r="2419">
      <c r="B2419" s="7" t="s">
        <v>699</v>
      </c>
    </row>
    <row r="2420">
      <c r="B2420" s="7" t="s">
        <v>700</v>
      </c>
    </row>
    <row r="2421">
      <c r="B2421" s="7" t="s">
        <v>701</v>
      </c>
    </row>
    <row r="2422">
      <c r="B2422" s="7" t="s">
        <v>702</v>
      </c>
    </row>
    <row r="2423">
      <c r="B2423" s="7" t="s">
        <v>703</v>
      </c>
    </row>
    <row r="2424">
      <c r="B2424" s="7" t="s">
        <v>704</v>
      </c>
    </row>
    <row r="2425">
      <c r="B2425" s="7" t="s">
        <v>705</v>
      </c>
    </row>
    <row r="2426">
      <c r="B2426" s="7" t="s">
        <v>706</v>
      </c>
    </row>
    <row r="2427">
      <c r="B2427" s="7" t="s">
        <v>707</v>
      </c>
    </row>
    <row r="2428">
      <c r="B2428" s="7" t="s">
        <v>708</v>
      </c>
    </row>
    <row r="2429">
      <c r="B2429" s="7" t="s">
        <v>709</v>
      </c>
    </row>
    <row r="2430">
      <c r="B2430" s="7" t="s">
        <v>710</v>
      </c>
    </row>
    <row r="2431">
      <c r="B2431" s="7" t="s">
        <v>711</v>
      </c>
    </row>
    <row r="2433">
      <c r="B2433" s="7" t="s">
        <v>712</v>
      </c>
    </row>
    <row r="2434">
      <c r="B2434" s="7" t="s">
        <v>713</v>
      </c>
    </row>
    <row r="2435">
      <c r="B2435" s="7" t="s">
        <v>714</v>
      </c>
    </row>
    <row r="2436">
      <c r="B2436" s="7" t="s">
        <v>715</v>
      </c>
    </row>
    <row r="2437">
      <c r="B2437" s="7" t="s">
        <v>716</v>
      </c>
    </row>
    <row r="2438">
      <c r="B2438" s="7" t="s">
        <v>717</v>
      </c>
    </row>
    <row r="2439">
      <c r="B2439" s="7" t="s">
        <v>718</v>
      </c>
    </row>
    <row r="2440">
      <c r="B2440" s="7" t="s">
        <v>719</v>
      </c>
    </row>
    <row r="2441">
      <c r="B2441" s="7" t="s">
        <v>720</v>
      </c>
    </row>
    <row r="2442">
      <c r="B2442" s="7" t="s">
        <v>721</v>
      </c>
    </row>
    <row r="2443">
      <c r="B2443" s="7" t="s">
        <v>722</v>
      </c>
    </row>
    <row r="2444">
      <c r="B2444" s="7" t="s">
        <v>723</v>
      </c>
    </row>
    <row r="2445">
      <c r="B2445" s="7" t="s">
        <v>724</v>
      </c>
    </row>
    <row r="2446">
      <c r="B2446" s="7" t="s">
        <v>725</v>
      </c>
    </row>
    <row r="2447">
      <c r="B2447" s="7" t="s">
        <v>726</v>
      </c>
    </row>
    <row r="2448">
      <c r="B2448" s="7" t="s">
        <v>727</v>
      </c>
    </row>
    <row r="2449">
      <c r="B2449" s="7" t="s">
        <v>728</v>
      </c>
    </row>
    <row r="2450">
      <c r="B2450" s="7" t="s">
        <v>729</v>
      </c>
    </row>
    <row r="2451">
      <c r="B2451" s="7" t="s">
        <v>730</v>
      </c>
    </row>
    <row r="2452">
      <c r="B2452" s="7" t="s">
        <v>731</v>
      </c>
    </row>
    <row r="2453">
      <c r="B2453" s="7" t="s">
        <v>732</v>
      </c>
    </row>
    <row r="2454">
      <c r="B2454" s="7" t="s">
        <v>733</v>
      </c>
    </row>
    <row r="2455">
      <c r="B2455" s="7" t="s">
        <v>734</v>
      </c>
    </row>
    <row r="2456">
      <c r="B2456" s="7" t="s">
        <v>735</v>
      </c>
    </row>
    <row r="2457">
      <c r="B2457" s="7" t="s">
        <v>736</v>
      </c>
    </row>
    <row r="2458">
      <c r="B2458" s="7" t="s">
        <v>737</v>
      </c>
    </row>
    <row r="2459">
      <c r="B2459" s="7" t="s">
        <v>738</v>
      </c>
    </row>
    <row r="2460">
      <c r="B2460" s="7" t="s">
        <v>739</v>
      </c>
    </row>
    <row r="2461">
      <c r="B2461" s="7" t="s">
        <v>740</v>
      </c>
    </row>
    <row r="2462">
      <c r="B2462" s="7" t="s">
        <v>741</v>
      </c>
    </row>
    <row r="2463">
      <c r="B2463" s="7" t="s">
        <v>742</v>
      </c>
    </row>
    <row r="2464">
      <c r="B2464" s="7" t="s">
        <v>743</v>
      </c>
    </row>
    <row r="2465">
      <c r="B2465" s="7" t="s">
        <v>744</v>
      </c>
    </row>
    <row r="2466">
      <c r="B2466" s="7" t="s">
        <v>745</v>
      </c>
    </row>
    <row r="2467">
      <c r="B2467" s="7" t="s">
        <v>746</v>
      </c>
    </row>
    <row r="2468">
      <c r="B2468" s="7" t="s">
        <v>747</v>
      </c>
    </row>
    <row r="2469">
      <c r="B2469" s="7" t="s">
        <v>748</v>
      </c>
    </row>
    <row r="2470">
      <c r="B2470" s="7" t="s">
        <v>749</v>
      </c>
    </row>
    <row r="2471">
      <c r="B2471" s="7" t="s">
        <v>750</v>
      </c>
    </row>
    <row r="2472">
      <c r="B2472" s="7" t="s">
        <v>751</v>
      </c>
    </row>
    <row r="2473">
      <c r="B2473" s="7" t="s">
        <v>752</v>
      </c>
    </row>
    <row r="2474">
      <c r="B2474" s="7" t="s">
        <v>753</v>
      </c>
    </row>
    <row r="2475">
      <c r="B2475" s="7" t="s">
        <v>754</v>
      </c>
    </row>
    <row r="2476">
      <c r="B2476" s="7" t="s">
        <v>755</v>
      </c>
    </row>
    <row r="2477">
      <c r="B2477" s="7" t="s">
        <v>756</v>
      </c>
    </row>
    <row r="2478">
      <c r="B2478" s="7" t="s">
        <v>757</v>
      </c>
    </row>
    <row r="2479">
      <c r="B2479" s="7" t="s">
        <v>758</v>
      </c>
    </row>
    <row r="2480">
      <c r="B2480" s="7" t="s">
        <v>759</v>
      </c>
    </row>
    <row r="2481">
      <c r="B2481" s="7" t="s">
        <v>760</v>
      </c>
    </row>
    <row r="2482">
      <c r="B2482" s="7" t="s">
        <v>761</v>
      </c>
    </row>
    <row r="2483">
      <c r="B2483" s="7" t="s">
        <v>762</v>
      </c>
    </row>
    <row r="2484">
      <c r="B2484" s="7" t="s">
        <v>763</v>
      </c>
    </row>
    <row r="2485">
      <c r="B2485" s="7" t="s">
        <v>764</v>
      </c>
    </row>
    <row r="2486">
      <c r="B2486" s="7" t="s">
        <v>765</v>
      </c>
    </row>
    <row r="2487">
      <c r="B2487" s="7" t="s">
        <v>766</v>
      </c>
    </row>
    <row r="2488">
      <c r="B2488" s="7" t="s">
        <v>767</v>
      </c>
    </row>
    <row r="2489">
      <c r="B2489" s="7" t="s">
        <v>768</v>
      </c>
    </row>
    <row r="2490">
      <c r="B2490" s="7" t="s">
        <v>769</v>
      </c>
    </row>
    <row r="2491">
      <c r="B2491" s="7" t="s">
        <v>770</v>
      </c>
    </row>
    <row r="2492">
      <c r="B2492" s="7" t="s">
        <v>771</v>
      </c>
    </row>
    <row r="2493">
      <c r="B2493" s="7" t="s">
        <v>772</v>
      </c>
    </row>
    <row r="2494">
      <c r="B2494" s="7" t="s">
        <v>773</v>
      </c>
    </row>
    <row r="2495">
      <c r="B2495" s="7" t="s">
        <v>774</v>
      </c>
    </row>
    <row r="2496">
      <c r="B2496" s="7" t="s">
        <v>775</v>
      </c>
    </row>
    <row r="2497">
      <c r="B2497" s="7" t="s">
        <v>776</v>
      </c>
    </row>
    <row r="2498">
      <c r="B2498" s="7" t="s">
        <v>777</v>
      </c>
    </row>
    <row r="2499">
      <c r="B2499" s="7" t="s">
        <v>778</v>
      </c>
    </row>
    <row r="2500">
      <c r="B2500" s="7" t="s">
        <v>779</v>
      </c>
    </row>
    <row r="2501">
      <c r="B2501" s="7" t="s">
        <v>780</v>
      </c>
    </row>
    <row r="2502">
      <c r="B2502" s="7" t="s">
        <v>781</v>
      </c>
    </row>
    <row r="2503">
      <c r="B2503" s="7" t="s">
        <v>782</v>
      </c>
    </row>
    <row r="2504">
      <c r="B2504" s="7" t="s">
        <v>783</v>
      </c>
    </row>
    <row r="2505">
      <c r="B2505" s="7" t="s">
        <v>784</v>
      </c>
    </row>
    <row r="2506">
      <c r="B2506" s="7" t="s">
        <v>785</v>
      </c>
    </row>
    <row r="2507">
      <c r="B2507" s="7" t="s">
        <v>786</v>
      </c>
    </row>
    <row r="2508">
      <c r="B2508" s="7" t="s">
        <v>787</v>
      </c>
    </row>
    <row r="2509">
      <c r="B2509" s="7" t="s">
        <v>788</v>
      </c>
    </row>
    <row r="2510">
      <c r="B2510" s="7" t="s">
        <v>789</v>
      </c>
    </row>
    <row r="2511">
      <c r="B2511" s="7" t="s">
        <v>790</v>
      </c>
    </row>
    <row r="2512">
      <c r="B2512" s="7" t="s">
        <v>791</v>
      </c>
    </row>
    <row r="2513">
      <c r="B2513" s="7" t="s">
        <v>792</v>
      </c>
    </row>
    <row r="2514">
      <c r="B2514" s="7" t="s">
        <v>793</v>
      </c>
    </row>
    <row r="2515">
      <c r="B2515" s="7" t="s">
        <v>794</v>
      </c>
    </row>
    <row r="2516">
      <c r="B2516" s="7" t="s">
        <v>795</v>
      </c>
    </row>
    <row r="2517">
      <c r="B2517" s="7" t="s">
        <v>796</v>
      </c>
    </row>
    <row r="2518">
      <c r="B2518" s="7" t="s">
        <v>89</v>
      </c>
    </row>
    <row r="2519">
      <c r="B2519" s="7" t="s">
        <v>797</v>
      </c>
    </row>
    <row r="2520">
      <c r="B2520" s="7" t="s">
        <v>798</v>
      </c>
    </row>
    <row r="2521">
      <c r="B2521" s="7" t="s">
        <v>799</v>
      </c>
    </row>
    <row r="2522">
      <c r="B2522" s="7" t="s">
        <v>800</v>
      </c>
    </row>
    <row r="2523">
      <c r="B2523" s="7" t="s">
        <v>801</v>
      </c>
    </row>
    <row r="2524">
      <c r="B2524" s="7" t="s">
        <v>802</v>
      </c>
    </row>
    <row r="2525">
      <c r="B2525" s="7" t="s">
        <v>803</v>
      </c>
    </row>
    <row r="2526">
      <c r="B2526" s="2" t="s">
        <v>647</v>
      </c>
    </row>
    <row r="2527">
      <c r="B2527" s="7" t="s">
        <v>804</v>
      </c>
    </row>
    <row r="2528">
      <c r="B2528" s="7" t="s">
        <v>805</v>
      </c>
    </row>
    <row r="2529">
      <c r="B2529" s="7" t="s">
        <v>806</v>
      </c>
    </row>
    <row r="2530">
      <c r="B2530" s="7" t="s">
        <v>807</v>
      </c>
    </row>
    <row r="2531">
      <c r="B2531" s="7" t="s">
        <v>808</v>
      </c>
    </row>
    <row r="2532">
      <c r="B2532" s="7" t="s">
        <v>809</v>
      </c>
    </row>
    <row r="2533">
      <c r="B2533" s="7" t="s">
        <v>810</v>
      </c>
    </row>
    <row r="2534">
      <c r="B2534" s="7" t="s">
        <v>811</v>
      </c>
    </row>
    <row r="2535">
      <c r="B2535" s="7" t="s">
        <v>812</v>
      </c>
    </row>
    <row r="2536">
      <c r="B2536" s="7" t="s">
        <v>813</v>
      </c>
    </row>
    <row r="2537">
      <c r="B2537" s="7" t="s">
        <v>814</v>
      </c>
    </row>
    <row r="2538">
      <c r="B2538" s="7" t="s">
        <v>815</v>
      </c>
    </row>
    <row r="2539">
      <c r="B2539" s="7" t="s">
        <v>816</v>
      </c>
    </row>
    <row r="2540">
      <c r="B2540" s="7" t="s">
        <v>817</v>
      </c>
    </row>
    <row r="2541">
      <c r="B2541" s="7" t="s">
        <v>818</v>
      </c>
    </row>
    <row r="2542">
      <c r="B2542" s="7" t="s">
        <v>819</v>
      </c>
    </row>
    <row r="2543">
      <c r="B2543" s="7" t="s">
        <v>820</v>
      </c>
    </row>
    <row r="2544">
      <c r="B2544" s="7" t="s">
        <v>821</v>
      </c>
    </row>
    <row r="2545">
      <c r="B2545" s="7" t="s">
        <v>822</v>
      </c>
    </row>
    <row r="2546">
      <c r="B2546" s="7" t="s">
        <v>823</v>
      </c>
    </row>
    <row r="2547">
      <c r="B2547" s="7" t="s">
        <v>824</v>
      </c>
    </row>
    <row r="2548">
      <c r="B2548" s="7" t="s">
        <v>825</v>
      </c>
    </row>
    <row r="2549">
      <c r="B2549" s="7" t="s">
        <v>826</v>
      </c>
    </row>
    <row r="2550">
      <c r="B2550" s="7" t="s">
        <v>827</v>
      </c>
    </row>
    <row r="2551">
      <c r="B2551" s="7" t="s">
        <v>828</v>
      </c>
    </row>
    <row r="2552">
      <c r="B2552" s="7" t="s">
        <v>829</v>
      </c>
    </row>
    <row r="2553">
      <c r="B2553" s="7" t="s">
        <v>830</v>
      </c>
    </row>
    <row r="2554">
      <c r="B2554" s="7" t="s">
        <v>831</v>
      </c>
    </row>
    <row r="2555">
      <c r="B2555" s="7" t="s">
        <v>832</v>
      </c>
    </row>
    <row r="2556">
      <c r="B2556" s="7" t="s">
        <v>833</v>
      </c>
    </row>
    <row r="2557">
      <c r="B2557" s="7" t="s">
        <v>834</v>
      </c>
    </row>
    <row r="2558">
      <c r="B2558" s="7" t="s">
        <v>835</v>
      </c>
    </row>
    <row r="2559">
      <c r="B2559" s="7" t="s">
        <v>836</v>
      </c>
    </row>
    <row r="2560">
      <c r="B2560" s="7" t="s">
        <v>837</v>
      </c>
    </row>
    <row r="2561">
      <c r="B2561" s="7" t="s">
        <v>838</v>
      </c>
    </row>
    <row r="2562">
      <c r="B2562" s="7" t="s">
        <v>839</v>
      </c>
    </row>
    <row r="2563">
      <c r="B2563" s="7" t="s">
        <v>840</v>
      </c>
    </row>
    <row r="2564">
      <c r="B2564" s="7" t="s">
        <v>841</v>
      </c>
    </row>
    <row r="2565">
      <c r="B2565" s="7" t="s">
        <v>842</v>
      </c>
    </row>
    <row r="2566">
      <c r="B2566" s="7" t="s">
        <v>843</v>
      </c>
    </row>
    <row r="2567">
      <c r="B2567" s="7" t="s">
        <v>844</v>
      </c>
    </row>
    <row r="2568">
      <c r="B2568" s="7" t="s">
        <v>845</v>
      </c>
    </row>
    <row r="2569">
      <c r="B2569" s="7" t="s">
        <v>846</v>
      </c>
    </row>
    <row r="2570">
      <c r="B2570" s="7" t="s">
        <v>847</v>
      </c>
    </row>
    <row r="2571">
      <c r="B2571" s="7" t="s">
        <v>848</v>
      </c>
    </row>
    <row r="2572">
      <c r="B2572" s="7" t="s">
        <v>849</v>
      </c>
    </row>
    <row r="2573">
      <c r="B2573" s="7" t="s">
        <v>850</v>
      </c>
    </row>
    <row r="2574">
      <c r="B2574" s="7" t="s">
        <v>851</v>
      </c>
    </row>
    <row r="2575">
      <c r="B2575" s="7" t="s">
        <v>852</v>
      </c>
    </row>
    <row r="2576">
      <c r="B2576" s="2" t="s">
        <v>647</v>
      </c>
    </row>
    <row r="2577">
      <c r="B2577" s="7" t="s">
        <v>853</v>
      </c>
    </row>
    <row r="2578">
      <c r="B2578" s="7" t="s">
        <v>854</v>
      </c>
    </row>
    <row r="2579">
      <c r="B2579" s="7" t="s">
        <v>855</v>
      </c>
    </row>
    <row r="2580">
      <c r="B2580" s="7" t="s">
        <v>856</v>
      </c>
    </row>
    <row r="2581">
      <c r="B2581" s="2" t="s">
        <v>647</v>
      </c>
    </row>
    <row r="2582">
      <c r="B2582" s="7" t="s">
        <v>857</v>
      </c>
    </row>
    <row r="2583">
      <c r="B2583" s="7" t="s">
        <v>858</v>
      </c>
    </row>
    <row r="2584">
      <c r="B2584" s="7" t="s">
        <v>859</v>
      </c>
    </row>
    <row r="2585">
      <c r="B2585" s="7" t="s">
        <v>860</v>
      </c>
    </row>
    <row r="2586">
      <c r="B2586" s="7" t="s">
        <v>861</v>
      </c>
    </row>
    <row r="2587">
      <c r="B2587" s="7" t="s">
        <v>862</v>
      </c>
    </row>
    <row r="2588">
      <c r="B2588" s="7" t="s">
        <v>863</v>
      </c>
    </row>
    <row r="2589">
      <c r="B2589" s="7" t="s">
        <v>864</v>
      </c>
    </row>
    <row r="2590">
      <c r="B2590" s="7" t="s">
        <v>865</v>
      </c>
    </row>
    <row r="2591">
      <c r="B2591" s="7" t="s">
        <v>866</v>
      </c>
    </row>
    <row r="2592">
      <c r="B2592" s="7" t="s">
        <v>867</v>
      </c>
    </row>
    <row r="2593">
      <c r="B2593" s="7" t="s">
        <v>868</v>
      </c>
    </row>
    <row r="2594">
      <c r="B2594" s="7" t="s">
        <v>869</v>
      </c>
    </row>
    <row r="2595">
      <c r="B2595" s="7" t="s">
        <v>870</v>
      </c>
    </row>
    <row r="2596">
      <c r="B2596" s="7" t="s">
        <v>871</v>
      </c>
    </row>
    <row r="2597">
      <c r="B2597" s="7" t="s">
        <v>872</v>
      </c>
    </row>
    <row r="2598">
      <c r="B2598" s="7" t="s">
        <v>873</v>
      </c>
    </row>
    <row r="2599">
      <c r="B2599" s="7" t="s">
        <v>874</v>
      </c>
    </row>
    <row r="2600">
      <c r="B2600" s="7" t="s">
        <v>875</v>
      </c>
    </row>
    <row r="2601">
      <c r="B2601" s="7" t="s">
        <v>876</v>
      </c>
    </row>
    <row r="2602">
      <c r="B2602" s="7" t="s">
        <v>877</v>
      </c>
    </row>
    <row r="2603">
      <c r="B2603" s="7" t="s">
        <v>878</v>
      </c>
    </row>
    <row r="2604">
      <c r="B2604" s="7" t="s">
        <v>879</v>
      </c>
    </row>
    <row r="2605">
      <c r="B2605" s="7" t="s">
        <v>880</v>
      </c>
    </row>
    <row r="2606">
      <c r="B2606" s="7" t="s">
        <v>881</v>
      </c>
    </row>
    <row r="2607">
      <c r="B2607" s="7" t="s">
        <v>882</v>
      </c>
    </row>
    <row r="2608">
      <c r="B2608" s="7" t="s">
        <v>883</v>
      </c>
    </row>
    <row r="2609">
      <c r="B2609" s="7" t="s">
        <v>884</v>
      </c>
    </row>
    <row r="2610">
      <c r="B2610" s="7" t="s">
        <v>885</v>
      </c>
    </row>
    <row r="2611">
      <c r="B2611" s="7" t="s">
        <v>886</v>
      </c>
    </row>
    <row r="2612">
      <c r="B2612" s="7" t="s">
        <v>887</v>
      </c>
    </row>
    <row r="2613">
      <c r="B2613" s="7" t="s">
        <v>888</v>
      </c>
    </row>
    <row r="2614">
      <c r="B2614" s="7" t="s">
        <v>889</v>
      </c>
    </row>
    <row r="2615">
      <c r="B2615" s="7" t="s">
        <v>890</v>
      </c>
    </row>
    <row r="2616">
      <c r="B2616" s="7" t="s">
        <v>891</v>
      </c>
    </row>
    <row r="2617">
      <c r="B2617" s="7" t="s">
        <v>892</v>
      </c>
    </row>
    <row r="2618">
      <c r="B2618" s="7" t="s">
        <v>893</v>
      </c>
    </row>
    <row r="2619">
      <c r="B2619" s="2" t="s">
        <v>647</v>
      </c>
    </row>
    <row r="2620">
      <c r="B2620" s="7" t="s">
        <v>894</v>
      </c>
    </row>
    <row r="2621">
      <c r="B2621" s="7" t="s">
        <v>895</v>
      </c>
    </row>
    <row r="2622">
      <c r="B2622" s="7" t="s">
        <v>896</v>
      </c>
    </row>
    <row r="2623">
      <c r="B2623" s="7" t="s">
        <v>897</v>
      </c>
    </row>
    <row r="2624">
      <c r="B2624" s="7" t="s">
        <v>898</v>
      </c>
    </row>
    <row r="2625">
      <c r="B2625" s="7" t="s">
        <v>899</v>
      </c>
    </row>
    <row r="2626">
      <c r="B2626" s="2" t="s">
        <v>647</v>
      </c>
    </row>
    <row r="2627">
      <c r="B2627" s="7" t="s">
        <v>900</v>
      </c>
    </row>
    <row r="2628">
      <c r="B2628" s="7" t="s">
        <v>901</v>
      </c>
    </row>
    <row r="2629">
      <c r="B2629" s="7" t="s">
        <v>902</v>
      </c>
    </row>
    <row r="2630">
      <c r="B2630" s="7" t="s">
        <v>903</v>
      </c>
    </row>
    <row r="2631">
      <c r="B2631" s="7" t="s">
        <v>904</v>
      </c>
    </row>
    <row r="2632">
      <c r="B2632" s="2" t="s">
        <v>647</v>
      </c>
    </row>
    <row r="2633">
      <c r="B2633" s="7" t="s">
        <v>905</v>
      </c>
    </row>
    <row r="2634">
      <c r="B2634" s="7" t="s">
        <v>906</v>
      </c>
    </row>
    <row r="2635">
      <c r="B2635" s="7" t="s">
        <v>907</v>
      </c>
    </row>
    <row r="2636">
      <c r="B2636" s="2" t="s">
        <v>647</v>
      </c>
    </row>
    <row r="2637">
      <c r="B2637" s="7" t="s">
        <v>908</v>
      </c>
    </row>
    <row r="2638">
      <c r="B2638" s="7" t="s">
        <v>909</v>
      </c>
    </row>
    <row r="2639">
      <c r="B2639" s="7" t="s">
        <v>910</v>
      </c>
    </row>
    <row r="2640">
      <c r="B2640" s="7" t="s">
        <v>911</v>
      </c>
    </row>
    <row r="2641">
      <c r="B2641" s="7" t="s">
        <v>912</v>
      </c>
    </row>
    <row r="2642">
      <c r="B2642" s="7" t="s">
        <v>913</v>
      </c>
    </row>
    <row r="2643">
      <c r="B2643" s="7" t="s">
        <v>914</v>
      </c>
    </row>
    <row r="2644">
      <c r="B2644" s="7" t="s">
        <v>915</v>
      </c>
    </row>
    <row r="2645">
      <c r="B2645" s="7" t="s">
        <v>916</v>
      </c>
    </row>
    <row r="2646">
      <c r="B2646" s="7" t="s">
        <v>917</v>
      </c>
    </row>
    <row r="2647">
      <c r="B2647" s="7" t="s">
        <v>918</v>
      </c>
    </row>
    <row r="2648">
      <c r="B2648" s="7" t="s">
        <v>919</v>
      </c>
    </row>
    <row r="2649">
      <c r="B2649" s="7" t="s">
        <v>920</v>
      </c>
    </row>
    <row r="2650">
      <c r="B2650" s="7" t="s">
        <v>921</v>
      </c>
    </row>
    <row r="2651">
      <c r="B2651" s="7" t="s">
        <v>922</v>
      </c>
    </row>
    <row r="2652">
      <c r="B2652" s="7" t="s">
        <v>923</v>
      </c>
    </row>
    <row r="2653">
      <c r="B2653" s="7" t="s">
        <v>691</v>
      </c>
    </row>
    <row r="2654">
      <c r="B2654" s="7" t="s">
        <v>924</v>
      </c>
    </row>
    <row r="2655">
      <c r="B2655" s="7" t="s">
        <v>249</v>
      </c>
    </row>
    <row r="2656">
      <c r="B2656" s="7" t="s">
        <v>925</v>
      </c>
    </row>
    <row r="2657">
      <c r="B2657" s="7" t="s">
        <v>926</v>
      </c>
    </row>
    <row r="2658">
      <c r="B2658" s="7" t="s">
        <v>927</v>
      </c>
    </row>
    <row r="2659">
      <c r="B2659" s="7" t="s">
        <v>928</v>
      </c>
    </row>
    <row r="2660">
      <c r="B2660" s="7" t="s">
        <v>929</v>
      </c>
    </row>
    <row r="2661">
      <c r="B2661" s="7" t="s">
        <v>930</v>
      </c>
    </row>
    <row r="2662">
      <c r="B2662" s="7" t="s">
        <v>931</v>
      </c>
    </row>
    <row r="2663">
      <c r="B2663" s="2" t="s">
        <v>647</v>
      </c>
    </row>
    <row r="2664">
      <c r="B2664" s="7" t="s">
        <v>932</v>
      </c>
    </row>
    <row r="2665">
      <c r="B2665" s="7" t="s">
        <v>933</v>
      </c>
    </row>
    <row r="2666">
      <c r="B2666" s="7" t="s">
        <v>934</v>
      </c>
    </row>
    <row r="2667">
      <c r="B2667" s="7" t="s">
        <v>935</v>
      </c>
    </row>
    <row r="2668">
      <c r="B2668" s="7" t="s">
        <v>936</v>
      </c>
    </row>
    <row r="2669">
      <c r="B2669" s="7" t="s">
        <v>937</v>
      </c>
    </row>
    <row r="2670">
      <c r="B2670" s="7" t="s">
        <v>938</v>
      </c>
    </row>
    <row r="2671">
      <c r="B2671" s="7" t="s">
        <v>939</v>
      </c>
    </row>
    <row r="2672">
      <c r="B2672" s="7" t="s">
        <v>940</v>
      </c>
    </row>
    <row r="2673">
      <c r="B2673" s="2" t="s">
        <v>647</v>
      </c>
    </row>
    <row r="2674">
      <c r="B2674" s="7" t="s">
        <v>941</v>
      </c>
    </row>
    <row r="2675">
      <c r="B2675" s="7" t="s">
        <v>942</v>
      </c>
    </row>
    <row r="2676">
      <c r="B2676" s="7" t="s">
        <v>943</v>
      </c>
    </row>
    <row r="2677">
      <c r="B2677" s="7" t="s">
        <v>944</v>
      </c>
    </row>
    <row r="2678">
      <c r="B2678" s="2" t="s">
        <v>647</v>
      </c>
    </row>
    <row r="2679">
      <c r="B2679" s="7" t="s">
        <v>945</v>
      </c>
    </row>
    <row r="2680">
      <c r="B2680" s="7" t="s">
        <v>946</v>
      </c>
    </row>
    <row r="2681">
      <c r="B2681" s="7" t="s">
        <v>947</v>
      </c>
    </row>
    <row r="2682">
      <c r="B2682" s="7" t="s">
        <v>707</v>
      </c>
    </row>
    <row r="2683">
      <c r="B2683" s="7" t="s">
        <v>948</v>
      </c>
    </row>
    <row r="2684">
      <c r="B2684" s="7" t="s">
        <v>949</v>
      </c>
    </row>
    <row r="2685">
      <c r="B2685" s="7" t="s">
        <v>950</v>
      </c>
    </row>
    <row r="2686">
      <c r="B2686" s="7" t="s">
        <v>951</v>
      </c>
    </row>
    <row r="2687">
      <c r="B2687" s="7" t="s">
        <v>952</v>
      </c>
    </row>
    <row r="2688">
      <c r="B2688" s="7" t="s">
        <v>953</v>
      </c>
    </row>
    <row r="2689">
      <c r="B2689" s="7" t="s">
        <v>954</v>
      </c>
    </row>
    <row r="2690">
      <c r="B2690" s="7" t="s">
        <v>955</v>
      </c>
    </row>
    <row r="2691">
      <c r="B2691" s="7" t="s">
        <v>956</v>
      </c>
    </row>
    <row r="2692">
      <c r="B2692" s="7" t="s">
        <v>957</v>
      </c>
    </row>
    <row r="2693">
      <c r="B2693" s="7" t="s">
        <v>958</v>
      </c>
    </row>
    <row r="2694">
      <c r="B2694" s="7" t="s">
        <v>959</v>
      </c>
    </row>
    <row r="2695">
      <c r="B2695" s="7" t="s">
        <v>960</v>
      </c>
    </row>
    <row r="2696">
      <c r="B2696" s="7" t="s">
        <v>961</v>
      </c>
    </row>
    <row r="2697">
      <c r="B2697" s="7" t="s">
        <v>962</v>
      </c>
    </row>
    <row r="2698">
      <c r="B2698" s="7" t="s">
        <v>963</v>
      </c>
    </row>
    <row r="2699">
      <c r="B2699" s="7" t="s">
        <v>964</v>
      </c>
    </row>
    <row r="2700">
      <c r="B2700" s="7" t="s">
        <v>965</v>
      </c>
    </row>
    <row r="2701">
      <c r="B2701" s="7" t="s">
        <v>966</v>
      </c>
    </row>
    <row r="2702">
      <c r="B2702" s="7" t="s">
        <v>967</v>
      </c>
    </row>
    <row r="2703">
      <c r="B2703" s="7" t="s">
        <v>968</v>
      </c>
    </row>
    <row r="2704">
      <c r="B2704" s="7" t="s">
        <v>969</v>
      </c>
    </row>
    <row r="2705">
      <c r="B2705" s="7" t="s">
        <v>970</v>
      </c>
    </row>
    <row r="2706">
      <c r="B2706" s="7" t="s">
        <v>971</v>
      </c>
    </row>
    <row r="2707">
      <c r="B2707" s="7" t="s">
        <v>972</v>
      </c>
    </row>
    <row r="2708">
      <c r="B2708" s="7" t="s">
        <v>973</v>
      </c>
    </row>
    <row r="2709">
      <c r="B2709" s="7" t="s">
        <v>974</v>
      </c>
    </row>
    <row r="2710">
      <c r="B2710" s="7" t="s">
        <v>975</v>
      </c>
    </row>
    <row r="2711">
      <c r="B2711" s="7" t="s">
        <v>976</v>
      </c>
    </row>
    <row r="2712">
      <c r="B2712" s="7" t="s">
        <v>977</v>
      </c>
    </row>
    <row r="2713">
      <c r="B2713" s="7" t="s">
        <v>978</v>
      </c>
    </row>
    <row r="2714">
      <c r="B2714" s="7" t="s">
        <v>979</v>
      </c>
    </row>
    <row r="2715">
      <c r="B2715" s="2" t="s">
        <v>647</v>
      </c>
    </row>
    <row r="2716">
      <c r="B2716" s="7" t="s">
        <v>980</v>
      </c>
    </row>
    <row r="2717">
      <c r="B2717" s="7" t="s">
        <v>981</v>
      </c>
    </row>
    <row r="2718">
      <c r="B2718" s="7" t="s">
        <v>982</v>
      </c>
    </row>
    <row r="2719">
      <c r="B2719" s="2" t="s">
        <v>647</v>
      </c>
    </row>
    <row r="2720">
      <c r="B2720" s="7" t="s">
        <v>983</v>
      </c>
    </row>
    <row r="2721">
      <c r="B2721" s="7" t="s">
        <v>984</v>
      </c>
    </row>
    <row r="2722">
      <c r="B2722" s="7" t="s">
        <v>985</v>
      </c>
    </row>
    <row r="2723">
      <c r="B2723" s="7" t="s">
        <v>986</v>
      </c>
    </row>
    <row r="2724">
      <c r="B2724" s="7" t="s">
        <v>987</v>
      </c>
    </row>
    <row r="2725">
      <c r="B2725" s="7" t="s">
        <v>988</v>
      </c>
    </row>
    <row r="2726">
      <c r="B2726" s="7" t="s">
        <v>989</v>
      </c>
    </row>
    <row r="2727">
      <c r="B2727" s="7" t="s">
        <v>990</v>
      </c>
    </row>
    <row r="2728">
      <c r="B2728" s="7" t="s">
        <v>991</v>
      </c>
    </row>
    <row r="2729">
      <c r="B2729" s="7" t="s">
        <v>992</v>
      </c>
    </row>
    <row r="2730">
      <c r="B2730" s="2" t="s">
        <v>647</v>
      </c>
    </row>
    <row r="2731">
      <c r="B2731" s="7" t="s">
        <v>993</v>
      </c>
    </row>
    <row r="2732">
      <c r="B2732" s="7" t="s">
        <v>994</v>
      </c>
    </row>
    <row r="2733">
      <c r="B2733" s="7" t="s">
        <v>995</v>
      </c>
    </row>
    <row r="2734">
      <c r="B2734" s="7" t="s">
        <v>996</v>
      </c>
    </row>
    <row r="2735">
      <c r="B2735" s="7" t="s">
        <v>997</v>
      </c>
    </row>
    <row r="2736">
      <c r="B2736" s="7" t="s">
        <v>998</v>
      </c>
    </row>
    <row r="2737">
      <c r="B2737" s="7" t="s">
        <v>999</v>
      </c>
    </row>
    <row r="2738">
      <c r="B2738" s="7" t="s">
        <v>1000</v>
      </c>
    </row>
    <row r="2739">
      <c r="B2739" s="7" t="s">
        <v>1001</v>
      </c>
    </row>
    <row r="2740">
      <c r="B2740" s="7" t="s">
        <v>1002</v>
      </c>
    </row>
    <row r="2741">
      <c r="B2741" s="7" t="s">
        <v>1003</v>
      </c>
    </row>
    <row r="2742">
      <c r="B2742" s="2" t="s">
        <v>647</v>
      </c>
    </row>
    <row r="2743">
      <c r="B2743" s="7" t="s">
        <v>1004</v>
      </c>
    </row>
    <row r="2744">
      <c r="B2744" s="2" t="s">
        <v>647</v>
      </c>
    </row>
    <row r="2745">
      <c r="B2745" s="7" t="s">
        <v>1005</v>
      </c>
    </row>
    <row r="2746">
      <c r="B2746" s="7" t="s">
        <v>1006</v>
      </c>
    </row>
    <row r="2747">
      <c r="B2747" s="7" t="s">
        <v>1007</v>
      </c>
    </row>
    <row r="2748">
      <c r="B2748" s="2" t="s">
        <v>647</v>
      </c>
    </row>
    <row r="2749">
      <c r="B2749" s="7" t="s">
        <v>1008</v>
      </c>
    </row>
    <row r="2750">
      <c r="B2750" s="2" t="s">
        <v>647</v>
      </c>
    </row>
    <row r="2751">
      <c r="B2751" s="7" t="s">
        <v>1009</v>
      </c>
    </row>
    <row r="2752">
      <c r="B2752" s="7" t="s">
        <v>1010</v>
      </c>
    </row>
    <row r="2753">
      <c r="B2753" s="7" t="s">
        <v>1011</v>
      </c>
    </row>
    <row r="2754">
      <c r="B2754" s="7" t="s">
        <v>1012</v>
      </c>
    </row>
    <row r="2755">
      <c r="B2755" s="7" t="s">
        <v>1013</v>
      </c>
    </row>
    <row r="2756">
      <c r="B2756" s="7" t="s">
        <v>1014</v>
      </c>
    </row>
    <row r="2757">
      <c r="B2757" s="7" t="s">
        <v>1015</v>
      </c>
    </row>
    <row r="2758">
      <c r="B2758" s="7" t="s">
        <v>1016</v>
      </c>
    </row>
    <row r="2759">
      <c r="B2759" s="7" t="s">
        <v>357</v>
      </c>
    </row>
    <row r="2760">
      <c r="B2760" s="7" t="s">
        <v>1017</v>
      </c>
    </row>
    <row r="2761">
      <c r="B2761" s="7" t="s">
        <v>1018</v>
      </c>
    </row>
    <row r="2762">
      <c r="B2762" s="7" t="s">
        <v>1019</v>
      </c>
    </row>
    <row r="2763">
      <c r="B2763" s="7" t="s">
        <v>1020</v>
      </c>
    </row>
    <row r="2764">
      <c r="B2764" s="7" t="s">
        <v>1021</v>
      </c>
    </row>
    <row r="2765">
      <c r="B2765" s="7" t="s">
        <v>1022</v>
      </c>
    </row>
    <row r="2766">
      <c r="B2766" s="7" t="s">
        <v>1023</v>
      </c>
    </row>
    <row r="2767">
      <c r="B2767" s="7" t="s">
        <v>1024</v>
      </c>
    </row>
    <row r="2768">
      <c r="B2768" s="7" t="s">
        <v>1025</v>
      </c>
    </row>
    <row r="2769">
      <c r="B2769" s="7" t="s">
        <v>1026</v>
      </c>
    </row>
    <row r="2770">
      <c r="B2770" s="7" t="s">
        <v>1027</v>
      </c>
    </row>
    <row r="2771">
      <c r="B2771" s="7" t="s">
        <v>1028</v>
      </c>
    </row>
    <row r="2772">
      <c r="B2772" s="7" t="s">
        <v>1029</v>
      </c>
    </row>
    <row r="2773">
      <c r="B2773" s="7" t="s">
        <v>1030</v>
      </c>
    </row>
    <row r="2774">
      <c r="B2774" s="7" t="s">
        <v>1031</v>
      </c>
    </row>
    <row r="2775">
      <c r="B2775" s="7" t="s">
        <v>1032</v>
      </c>
    </row>
    <row r="2776">
      <c r="B2776" s="7" t="s">
        <v>1033</v>
      </c>
    </row>
    <row r="2777">
      <c r="B2777" s="7" t="s">
        <v>1034</v>
      </c>
    </row>
    <row r="2778">
      <c r="B2778" s="7" t="s">
        <v>1035</v>
      </c>
    </row>
    <row r="2779">
      <c r="B2779" s="7" t="s">
        <v>1036</v>
      </c>
    </row>
    <row r="2780">
      <c r="B2780" s="7" t="s">
        <v>1037</v>
      </c>
    </row>
    <row r="2781">
      <c r="B2781" s="7" t="s">
        <v>1038</v>
      </c>
    </row>
    <row r="2782">
      <c r="B2782" s="7" t="s">
        <v>1039</v>
      </c>
    </row>
    <row r="2783">
      <c r="B2783" s="7" t="s">
        <v>1040</v>
      </c>
    </row>
    <row r="2784">
      <c r="B2784" s="7" t="s">
        <v>1041</v>
      </c>
    </row>
    <row r="2785">
      <c r="B2785" s="7" t="s">
        <v>1042</v>
      </c>
    </row>
    <row r="2786">
      <c r="B2786" s="7" t="s">
        <v>1043</v>
      </c>
    </row>
    <row r="2787">
      <c r="B2787" s="7" t="s">
        <v>1044</v>
      </c>
    </row>
    <row r="2788">
      <c r="B2788" s="7" t="s">
        <v>1045</v>
      </c>
    </row>
    <row r="2789">
      <c r="B2789" s="7" t="s">
        <v>1046</v>
      </c>
    </row>
    <row r="2790">
      <c r="B2790" s="7" t="s">
        <v>1047</v>
      </c>
    </row>
    <row r="2791">
      <c r="B2791" s="7" t="s">
        <v>1048</v>
      </c>
    </row>
    <row r="2792">
      <c r="B2792" s="7" t="s">
        <v>1049</v>
      </c>
    </row>
    <row r="2793">
      <c r="B2793" s="7" t="s">
        <v>1050</v>
      </c>
    </row>
    <row r="2794">
      <c r="B2794" s="7" t="s">
        <v>1051</v>
      </c>
    </row>
    <row r="2795">
      <c r="B2795" s="7" t="s">
        <v>1051</v>
      </c>
    </row>
    <row r="2796">
      <c r="B2796" s="7" t="s">
        <v>1052</v>
      </c>
    </row>
    <row r="2797">
      <c r="B2797" s="7" t="s">
        <v>1053</v>
      </c>
    </row>
    <row r="2798">
      <c r="B2798" s="7" t="s">
        <v>1054</v>
      </c>
    </row>
    <row r="2799">
      <c r="B2799" s="7" t="s">
        <v>1055</v>
      </c>
    </row>
    <row r="2800">
      <c r="B2800" s="7" t="s">
        <v>1056</v>
      </c>
    </row>
    <row r="2801">
      <c r="B2801" s="7" t="s">
        <v>1057</v>
      </c>
    </row>
    <row r="2802">
      <c r="B2802" s="7" t="s">
        <v>1058</v>
      </c>
    </row>
    <row r="2803">
      <c r="B2803" s="7" t="s">
        <v>1059</v>
      </c>
    </row>
    <row r="2804">
      <c r="B2804" s="7" t="s">
        <v>1060</v>
      </c>
    </row>
    <row r="2805">
      <c r="B2805" s="7" t="s">
        <v>1061</v>
      </c>
    </row>
    <row r="2806">
      <c r="B2806" s="7" t="s">
        <v>1062</v>
      </c>
    </row>
    <row r="2807">
      <c r="B2807" s="7" t="s">
        <v>1063</v>
      </c>
    </row>
    <row r="2808">
      <c r="B2808" s="7" t="s">
        <v>1064</v>
      </c>
    </row>
    <row r="2809">
      <c r="B2809" s="7" t="s">
        <v>1065</v>
      </c>
    </row>
    <row r="2810">
      <c r="B2810" s="7" t="s">
        <v>1066</v>
      </c>
    </row>
    <row r="2811">
      <c r="B2811" s="7" t="s">
        <v>1067</v>
      </c>
    </row>
    <row r="2812">
      <c r="B2812" s="7" t="s">
        <v>1068</v>
      </c>
    </row>
    <row r="2813">
      <c r="B2813" s="7" t="s">
        <v>1069</v>
      </c>
    </row>
    <row r="2814">
      <c r="B2814" s="7" t="s">
        <v>1070</v>
      </c>
    </row>
    <row r="2815">
      <c r="B2815" s="7" t="s">
        <v>1071</v>
      </c>
    </row>
    <row r="2816">
      <c r="B2816" s="7" t="s">
        <v>1072</v>
      </c>
    </row>
    <row r="2817">
      <c r="B2817" s="7" t="s">
        <v>1073</v>
      </c>
    </row>
    <row r="2818">
      <c r="B2818" s="7" t="s">
        <v>1074</v>
      </c>
    </row>
    <row r="2819">
      <c r="B2819" s="7" t="s">
        <v>1075</v>
      </c>
    </row>
    <row r="2820">
      <c r="B2820" s="7" t="s">
        <v>1076</v>
      </c>
    </row>
    <row r="2821">
      <c r="B2821" s="7" t="s">
        <v>1077</v>
      </c>
    </row>
    <row r="2822">
      <c r="B2822" s="7" t="s">
        <v>1078</v>
      </c>
    </row>
    <row r="2823">
      <c r="B2823" s="7" t="s">
        <v>1079</v>
      </c>
    </row>
    <row r="2824">
      <c r="B2824" s="7" t="s">
        <v>1080</v>
      </c>
    </row>
    <row r="2825">
      <c r="B2825" s="7" t="s">
        <v>1081</v>
      </c>
    </row>
    <row r="2826">
      <c r="B2826" s="7" t="s">
        <v>1082</v>
      </c>
    </row>
    <row r="2827">
      <c r="B2827" s="7" t="s">
        <v>1083</v>
      </c>
    </row>
    <row r="2828">
      <c r="B2828" s="7" t="s">
        <v>1084</v>
      </c>
    </row>
    <row r="2829">
      <c r="B2829" s="7" t="s">
        <v>1085</v>
      </c>
    </row>
    <row r="2830">
      <c r="B2830" s="7" t="s">
        <v>1086</v>
      </c>
    </row>
    <row r="2831">
      <c r="B2831" s="7" t="s">
        <v>1087</v>
      </c>
    </row>
    <row r="2832">
      <c r="B2832" s="2" t="s">
        <v>647</v>
      </c>
    </row>
    <row r="2833">
      <c r="B2833" s="7" t="s">
        <v>1088</v>
      </c>
    </row>
    <row r="2834">
      <c r="B2834" s="7" t="s">
        <v>1089</v>
      </c>
    </row>
    <row r="2835">
      <c r="B2835" s="7" t="s">
        <v>1090</v>
      </c>
    </row>
    <row r="2836">
      <c r="B2836" s="7" t="s">
        <v>1091</v>
      </c>
    </row>
    <row r="2837">
      <c r="B2837" s="7" t="s">
        <v>1092</v>
      </c>
    </row>
    <row r="2838">
      <c r="B2838" s="7" t="s">
        <v>1093</v>
      </c>
    </row>
    <row r="2839">
      <c r="B2839" s="7" t="s">
        <v>1094</v>
      </c>
    </row>
    <row r="2840">
      <c r="B2840" s="7" t="s">
        <v>1095</v>
      </c>
    </row>
    <row r="2841">
      <c r="B2841" s="7" t="s">
        <v>1096</v>
      </c>
    </row>
    <row r="2842">
      <c r="B2842" s="7" t="s">
        <v>1097</v>
      </c>
    </row>
    <row r="2843">
      <c r="B2843" s="7" t="s">
        <v>1098</v>
      </c>
    </row>
    <row r="2844">
      <c r="B2844" s="7" t="s">
        <v>1099</v>
      </c>
    </row>
    <row r="2845">
      <c r="B2845" s="7" t="s">
        <v>1100</v>
      </c>
    </row>
    <row r="2846">
      <c r="B2846" s="7" t="s">
        <v>1101</v>
      </c>
    </row>
    <row r="2847">
      <c r="B2847" s="7" t="s">
        <v>1102</v>
      </c>
    </row>
    <row r="2848">
      <c r="B2848" s="7" t="s">
        <v>1103</v>
      </c>
    </row>
    <row r="2849">
      <c r="B2849" s="2" t="s">
        <v>647</v>
      </c>
    </row>
    <row r="2850">
      <c r="B2850" s="7" t="s">
        <v>1104</v>
      </c>
    </row>
    <row r="2851">
      <c r="B2851" s="7" t="s">
        <v>1105</v>
      </c>
    </row>
    <row r="2852">
      <c r="B2852" s="2" t="s">
        <v>647</v>
      </c>
    </row>
    <row r="2853">
      <c r="B2853" s="7" t="s">
        <v>1106</v>
      </c>
    </row>
    <row r="2854">
      <c r="B2854" s="7" t="s">
        <v>1107</v>
      </c>
    </row>
    <row r="2855">
      <c r="B2855" s="7" t="s">
        <v>1108</v>
      </c>
    </row>
    <row r="2856">
      <c r="B2856" s="7" t="s">
        <v>1109</v>
      </c>
    </row>
    <row r="2857">
      <c r="B2857" s="7" t="s">
        <v>1110</v>
      </c>
    </row>
    <row r="2858">
      <c r="B2858" s="7" t="s">
        <v>1111</v>
      </c>
    </row>
    <row r="2859">
      <c r="B2859" s="7" t="s">
        <v>1112</v>
      </c>
    </row>
    <row r="2860">
      <c r="B2860" s="7" t="s">
        <v>1113</v>
      </c>
    </row>
    <row r="2861">
      <c r="B2861" s="7" t="s">
        <v>1114</v>
      </c>
    </row>
    <row r="2862">
      <c r="B2862" s="7" t="s">
        <v>1115</v>
      </c>
    </row>
    <row r="2863">
      <c r="B2863" s="7" t="s">
        <v>1116</v>
      </c>
    </row>
    <row r="2864">
      <c r="B2864" s="7" t="s">
        <v>1117</v>
      </c>
    </row>
    <row r="2865">
      <c r="B2865" s="7" t="s">
        <v>1118</v>
      </c>
    </row>
    <row r="2866">
      <c r="B2866" s="7" t="s">
        <v>1119</v>
      </c>
    </row>
    <row r="2867">
      <c r="B2867" s="7" t="s">
        <v>1120</v>
      </c>
    </row>
    <row r="2868">
      <c r="B2868" s="7" t="s">
        <v>1121</v>
      </c>
    </row>
    <row r="2869">
      <c r="B2869" s="7" t="s">
        <v>1122</v>
      </c>
    </row>
    <row r="2870">
      <c r="B2870" s="7" t="s">
        <v>1123</v>
      </c>
    </row>
    <row r="2871">
      <c r="B2871" s="7" t="s">
        <v>1124</v>
      </c>
    </row>
    <row r="2872">
      <c r="B2872" s="7" t="s">
        <v>1125</v>
      </c>
    </row>
    <row r="2873">
      <c r="B2873" s="7" t="s">
        <v>1126</v>
      </c>
    </row>
    <row r="2874">
      <c r="B2874" s="7" t="s">
        <v>1127</v>
      </c>
    </row>
    <row r="2875">
      <c r="B2875" s="7" t="s">
        <v>1127</v>
      </c>
    </row>
    <row r="2876">
      <c r="B2876" s="7" t="s">
        <v>1128</v>
      </c>
    </row>
    <row r="2877">
      <c r="B2877" s="7" t="s">
        <v>1129</v>
      </c>
    </row>
    <row r="2878">
      <c r="B2878" s="7" t="s">
        <v>1130</v>
      </c>
    </row>
    <row r="2879">
      <c r="B2879" s="7" t="s">
        <v>1131</v>
      </c>
    </row>
    <row r="2880">
      <c r="B2880" s="7" t="s">
        <v>1132</v>
      </c>
    </row>
    <row r="2881">
      <c r="B2881" s="7" t="s">
        <v>1133</v>
      </c>
    </row>
    <row r="2882">
      <c r="B2882" s="7" t="s">
        <v>1134</v>
      </c>
    </row>
    <row r="2883">
      <c r="B2883" s="7" t="s">
        <v>1135</v>
      </c>
    </row>
    <row r="2884">
      <c r="B2884" s="7" t="s">
        <v>1136</v>
      </c>
    </row>
    <row r="2885">
      <c r="B2885" s="7" t="s">
        <v>1137</v>
      </c>
    </row>
    <row r="2886">
      <c r="B2886" s="7" t="s">
        <v>1138</v>
      </c>
    </row>
    <row r="2887">
      <c r="B2887" s="7" t="s">
        <v>1139</v>
      </c>
    </row>
    <row r="2888">
      <c r="B2888" s="7" t="s">
        <v>1140</v>
      </c>
    </row>
    <row r="2889">
      <c r="B2889" s="7" t="s">
        <v>1140</v>
      </c>
    </row>
    <row r="2890">
      <c r="B2890" s="7" t="s">
        <v>1141</v>
      </c>
    </row>
    <row r="2891">
      <c r="B2891" s="7" t="s">
        <v>1142</v>
      </c>
    </row>
    <row r="2892">
      <c r="B2892" s="7" t="s">
        <v>1143</v>
      </c>
    </row>
    <row r="2893">
      <c r="B2893" s="7" t="s">
        <v>1144</v>
      </c>
    </row>
    <row r="2894">
      <c r="B2894" s="7" t="s">
        <v>1145</v>
      </c>
    </row>
    <row r="2895">
      <c r="B2895" s="7" t="s">
        <v>1146</v>
      </c>
    </row>
    <row r="2896">
      <c r="B2896" s="7" t="s">
        <v>1147</v>
      </c>
    </row>
    <row r="2897">
      <c r="B2897" s="7" t="s">
        <v>1148</v>
      </c>
    </row>
    <row r="2898">
      <c r="B2898" s="7" t="s">
        <v>1149</v>
      </c>
    </row>
    <row r="2899">
      <c r="B2899" s="7" t="s">
        <v>509</v>
      </c>
    </row>
    <row r="2900">
      <c r="B2900" s="7" t="s">
        <v>1150</v>
      </c>
    </row>
    <row r="2901">
      <c r="B2901" s="7" t="s">
        <v>1151</v>
      </c>
    </row>
    <row r="2902">
      <c r="B2902" s="7" t="s">
        <v>1152</v>
      </c>
    </row>
    <row r="2903">
      <c r="B2903" s="7" t="s">
        <v>1153</v>
      </c>
    </row>
    <row r="2904">
      <c r="B2904" s="7" t="s">
        <v>1154</v>
      </c>
    </row>
    <row r="2905">
      <c r="B2905" s="7" t="s">
        <v>1155</v>
      </c>
    </row>
    <row r="2906">
      <c r="B2906" s="7" t="s">
        <v>1156</v>
      </c>
    </row>
    <row r="2907">
      <c r="B2907" s="7" t="s">
        <v>1157</v>
      </c>
    </row>
    <row r="2908">
      <c r="B2908" s="7" t="s">
        <v>1158</v>
      </c>
    </row>
    <row r="2909">
      <c r="B2909" s="2" t="s">
        <v>647</v>
      </c>
    </row>
    <row r="2910">
      <c r="B2910" s="7" t="s">
        <v>1159</v>
      </c>
    </row>
    <row r="2911">
      <c r="B2911" s="7" t="s">
        <v>1160</v>
      </c>
    </row>
    <row r="2912">
      <c r="B2912" s="7" t="s">
        <v>1161</v>
      </c>
    </row>
    <row r="2913">
      <c r="B2913" s="7" t="s">
        <v>1162</v>
      </c>
    </row>
    <row r="2914">
      <c r="B2914" s="2" t="s">
        <v>647</v>
      </c>
    </row>
    <row r="2915">
      <c r="B2915" s="7" t="s">
        <v>1163</v>
      </c>
    </row>
    <row r="2916">
      <c r="B2916" s="7" t="s">
        <v>1164</v>
      </c>
    </row>
    <row r="2917">
      <c r="B2917" s="7" t="s">
        <v>1165</v>
      </c>
    </row>
    <row r="2918">
      <c r="B2918" s="7" t="s">
        <v>1166</v>
      </c>
    </row>
    <row r="2919">
      <c r="B2919" s="7" t="s">
        <v>1167</v>
      </c>
    </row>
    <row r="2920">
      <c r="B2920" s="7" t="s">
        <v>1168</v>
      </c>
    </row>
    <row r="2921">
      <c r="B2921" s="7" t="s">
        <v>1169</v>
      </c>
    </row>
    <row r="2922">
      <c r="B2922" s="7" t="s">
        <v>1170</v>
      </c>
    </row>
    <row r="2923">
      <c r="B2923" s="7" t="s">
        <v>1171</v>
      </c>
    </row>
    <row r="2924">
      <c r="B2924" s="7" t="s">
        <v>1172</v>
      </c>
    </row>
    <row r="2925">
      <c r="B2925" s="7" t="s">
        <v>1173</v>
      </c>
    </row>
    <row r="2926">
      <c r="B2926" s="7" t="s">
        <v>1174</v>
      </c>
    </row>
    <row r="2927">
      <c r="B2927" s="7" t="s">
        <v>1175</v>
      </c>
    </row>
    <row r="2928">
      <c r="B2928" s="7" t="s">
        <v>1176</v>
      </c>
    </row>
    <row r="2929">
      <c r="B2929" s="2" t="s">
        <v>647</v>
      </c>
    </row>
    <row r="2930">
      <c r="B2930" s="7" t="s">
        <v>1177</v>
      </c>
    </row>
    <row r="2931">
      <c r="B2931" s="7" t="s">
        <v>1178</v>
      </c>
    </row>
    <row r="2932">
      <c r="B2932" s="7" t="s">
        <v>1179</v>
      </c>
    </row>
    <row r="2933">
      <c r="B2933" s="7" t="s">
        <v>1180</v>
      </c>
    </row>
    <row r="2934">
      <c r="B2934" s="7" t="s">
        <v>1181</v>
      </c>
    </row>
    <row r="2935">
      <c r="B2935" s="7" t="s">
        <v>1182</v>
      </c>
    </row>
    <row r="2936">
      <c r="B2936" s="7" t="s">
        <v>1183</v>
      </c>
    </row>
    <row r="2937">
      <c r="B2937" s="7" t="s">
        <v>1184</v>
      </c>
    </row>
    <row r="2938">
      <c r="B2938" s="7" t="s">
        <v>1185</v>
      </c>
    </row>
    <row r="2939">
      <c r="B2939" s="7" t="s">
        <v>1186</v>
      </c>
    </row>
    <row r="2940">
      <c r="B2940" s="7" t="s">
        <v>1187</v>
      </c>
    </row>
    <row r="2941">
      <c r="B2941" s="7" t="s">
        <v>1188</v>
      </c>
    </row>
    <row r="2942">
      <c r="B2942" s="7" t="s">
        <v>1189</v>
      </c>
    </row>
    <row r="2943">
      <c r="B2943" s="7" t="s">
        <v>1190</v>
      </c>
    </row>
    <row r="2944">
      <c r="B2944" s="7" t="s">
        <v>1191</v>
      </c>
    </row>
    <row r="2945">
      <c r="B2945" s="7" t="s">
        <v>1192</v>
      </c>
    </row>
    <row r="2946">
      <c r="B2946" s="7" t="s">
        <v>1193</v>
      </c>
    </row>
    <row r="2947">
      <c r="B2947" s="7" t="s">
        <v>1194</v>
      </c>
    </row>
    <row r="2948">
      <c r="B2948" s="7" t="s">
        <v>1195</v>
      </c>
    </row>
    <row r="2949">
      <c r="B2949" s="7" t="s">
        <v>1196</v>
      </c>
    </row>
    <row r="2950">
      <c r="B2950" s="7" t="s">
        <v>1197</v>
      </c>
    </row>
    <row r="2951">
      <c r="B2951" s="2" t="s">
        <v>647</v>
      </c>
    </row>
    <row r="2952">
      <c r="B2952" s="7" t="s">
        <v>1198</v>
      </c>
    </row>
    <row r="2953">
      <c r="B2953" s="7" t="s">
        <v>1199</v>
      </c>
    </row>
    <row r="2954">
      <c r="B2954" s="7" t="s">
        <v>1200</v>
      </c>
    </row>
    <row r="2955">
      <c r="B2955" s="7" t="s">
        <v>1201</v>
      </c>
    </row>
    <row r="2956">
      <c r="B2956" s="2" t="s">
        <v>647</v>
      </c>
    </row>
    <row r="2957">
      <c r="B2957" s="7" t="s">
        <v>1202</v>
      </c>
    </row>
    <row r="2958">
      <c r="B2958" s="7" t="s">
        <v>1203</v>
      </c>
    </row>
    <row r="2959">
      <c r="B2959" s="7" t="s">
        <v>1204</v>
      </c>
    </row>
    <row r="2960">
      <c r="B2960" s="7" t="s">
        <v>1205</v>
      </c>
    </row>
    <row r="2961">
      <c r="B2961" s="7" t="s">
        <v>1206</v>
      </c>
    </row>
    <row r="2962">
      <c r="B2962" s="7" t="s">
        <v>1207</v>
      </c>
    </row>
    <row r="2963">
      <c r="B2963" s="7" t="s">
        <v>1208</v>
      </c>
    </row>
    <row r="2964">
      <c r="B2964" s="7" t="s">
        <v>1209</v>
      </c>
    </row>
    <row r="2965">
      <c r="B2965" s="7" t="s">
        <v>1210</v>
      </c>
    </row>
    <row r="2966">
      <c r="B2966" s="7" t="s">
        <v>1211</v>
      </c>
    </row>
    <row r="2967">
      <c r="B2967" s="7" t="s">
        <v>1212</v>
      </c>
    </row>
    <row r="2968">
      <c r="B2968" s="7" t="s">
        <v>1213</v>
      </c>
    </row>
    <row r="2969">
      <c r="B2969" s="7" t="s">
        <v>1214</v>
      </c>
    </row>
    <row r="2970">
      <c r="B2970" s="7" t="s">
        <v>1215</v>
      </c>
    </row>
    <row r="2971">
      <c r="B2971" s="7" t="s">
        <v>1216</v>
      </c>
    </row>
    <row r="2972">
      <c r="B2972" s="7" t="s">
        <v>1217</v>
      </c>
    </row>
    <row r="2973">
      <c r="B2973" s="7" t="s">
        <v>1218</v>
      </c>
    </row>
    <row r="2974">
      <c r="B2974" s="7" t="s">
        <v>1219</v>
      </c>
    </row>
    <row r="2975">
      <c r="B2975" s="7" t="s">
        <v>1220</v>
      </c>
    </row>
    <row r="2976">
      <c r="B2976" s="7" t="s">
        <v>1221</v>
      </c>
    </row>
    <row r="2977">
      <c r="B2977" s="7" t="s">
        <v>1222</v>
      </c>
    </row>
    <row r="2978">
      <c r="B2978" s="7" t="s">
        <v>1223</v>
      </c>
    </row>
    <row r="2979">
      <c r="B2979" s="7" t="s">
        <v>1224</v>
      </c>
    </row>
    <row r="2980">
      <c r="B2980" s="7" t="s">
        <v>1225</v>
      </c>
    </row>
    <row r="2981">
      <c r="B2981" s="7" t="s">
        <v>1226</v>
      </c>
    </row>
    <row r="2982">
      <c r="B2982" s="7" t="s">
        <v>1227</v>
      </c>
    </row>
    <row r="2983">
      <c r="B2983" s="2" t="s">
        <v>647</v>
      </c>
    </row>
    <row r="2984">
      <c r="B2984" s="7" t="s">
        <v>1228</v>
      </c>
    </row>
    <row r="2985">
      <c r="B2985" s="7" t="s">
        <v>1229</v>
      </c>
    </row>
    <row r="2986">
      <c r="B2986" s="7" t="s">
        <v>1230</v>
      </c>
    </row>
    <row r="2987">
      <c r="B2987" s="7" t="s">
        <v>1231</v>
      </c>
    </row>
    <row r="2988">
      <c r="B2988" s="7" t="s">
        <v>1232</v>
      </c>
    </row>
    <row r="2989">
      <c r="B2989" s="2" t="s">
        <v>647</v>
      </c>
    </row>
    <row r="2990">
      <c r="B2990" s="7" t="s">
        <v>1233</v>
      </c>
    </row>
    <row r="2991">
      <c r="B2991" s="7" t="s">
        <v>1234</v>
      </c>
    </row>
    <row r="2992">
      <c r="B2992" s="7" t="s">
        <v>1235</v>
      </c>
    </row>
    <row r="2993">
      <c r="B2993" s="7" t="s">
        <v>1236</v>
      </c>
    </row>
    <row r="2994">
      <c r="B2994" s="7" t="s">
        <v>1237</v>
      </c>
    </row>
    <row r="2995">
      <c r="B2995" s="7" t="s">
        <v>1238</v>
      </c>
    </row>
    <row r="2996">
      <c r="B2996" s="7" t="s">
        <v>1239</v>
      </c>
    </row>
    <row r="2997">
      <c r="B2997" s="7" t="s">
        <v>1240</v>
      </c>
    </row>
    <row r="2998">
      <c r="B2998" s="2" t="s">
        <v>647</v>
      </c>
    </row>
    <row r="2999">
      <c r="B2999" s="7" t="s">
        <v>1241</v>
      </c>
    </row>
    <row r="3000">
      <c r="B3000" s="7" t="s">
        <v>1242</v>
      </c>
    </row>
    <row r="3001">
      <c r="B3001" s="7" t="s">
        <v>1243</v>
      </c>
    </row>
    <row r="3002">
      <c r="B3002" s="7" t="s">
        <v>1244</v>
      </c>
    </row>
    <row r="3003">
      <c r="B3003" s="7" t="s">
        <v>1245</v>
      </c>
    </row>
    <row r="3004">
      <c r="B3004" s="7" t="s">
        <v>1246</v>
      </c>
    </row>
    <row r="3005">
      <c r="B3005" s="7" t="s">
        <v>1247</v>
      </c>
    </row>
    <row r="3006">
      <c r="B3006" s="7" t="s">
        <v>1248</v>
      </c>
    </row>
    <row r="3007">
      <c r="B3007" s="7" t="s">
        <v>1249</v>
      </c>
    </row>
    <row r="3008">
      <c r="B3008" s="7" t="s">
        <v>1250</v>
      </c>
    </row>
    <row r="3009">
      <c r="B3009" s="7" t="s">
        <v>1251</v>
      </c>
    </row>
    <row r="3010">
      <c r="B3010" s="7" t="s">
        <v>1252</v>
      </c>
    </row>
    <row r="3011">
      <c r="B3011" s="7" t="s">
        <v>1253</v>
      </c>
    </row>
    <row r="3012">
      <c r="B3012" s="7" t="s">
        <v>1254</v>
      </c>
    </row>
    <row r="3013">
      <c r="B3013" s="7" t="s">
        <v>1255</v>
      </c>
    </row>
    <row r="3014">
      <c r="B3014" s="7" t="s">
        <v>1256</v>
      </c>
    </row>
  </sheetData>
  <conditionalFormatting sqref="B1 B3:B1764 B3647:B4663">
    <cfRule type="cellIs" dxfId="0" priority="1" operator="equal">
      <formula>"true"</formula>
    </cfRule>
  </conditionalFormatting>
  <conditionalFormatting sqref="B1 B3:B1764 B3647:B4663">
    <cfRule type="cellIs" dxfId="1" priority="2" operator="equal">
      <formula>"false"</formula>
    </cfRule>
  </conditionalFormatting>
  <conditionalFormatting sqref="C1:C4663">
    <cfRule type="colorScale" priority="3">
      <colorScale>
        <cfvo type="min"/>
        <cfvo type="max"/>
        <color rgb="FFF4C7C3"/>
        <color rgb="FF57BB8A"/>
      </colorScale>
    </cfRule>
  </conditionalFormatting>
  <hyperlinks>
    <hyperlink r:id="rId1" ref="A4"/>
    <hyperlink r:id="rId2" ref="B4"/>
    <hyperlink r:id="rId3" ref="A5"/>
    <hyperlink r:id="rId4" ref="B5"/>
    <hyperlink r:id="rId5" ref="A6"/>
    <hyperlink r:id="rId6" ref="B6"/>
    <hyperlink r:id="rId7" ref="A7"/>
    <hyperlink r:id="rId8" ref="B7"/>
    <hyperlink r:id="rId9" ref="A8"/>
    <hyperlink r:id="rId10" ref="B8"/>
    <hyperlink r:id="rId11" ref="A9"/>
    <hyperlink r:id="rId12" ref="B9"/>
    <hyperlink r:id="rId13" ref="A10"/>
    <hyperlink r:id="rId14" ref="B10"/>
    <hyperlink r:id="rId15" ref="A11"/>
    <hyperlink r:id="rId16" ref="B11"/>
    <hyperlink r:id="rId17" ref="A12"/>
    <hyperlink r:id="rId18" ref="B12"/>
    <hyperlink r:id="rId19" ref="A13"/>
    <hyperlink r:id="rId20" ref="B13"/>
    <hyperlink r:id="rId21" ref="A14"/>
    <hyperlink r:id="rId22" ref="B14"/>
    <hyperlink r:id="rId23" ref="A15"/>
    <hyperlink r:id="rId24" ref="A16"/>
    <hyperlink r:id="rId25" ref="B16"/>
    <hyperlink r:id="rId26" ref="A17"/>
    <hyperlink r:id="rId27" ref="B17"/>
    <hyperlink r:id="rId28" ref="B18"/>
    <hyperlink r:id="rId29" ref="A19"/>
    <hyperlink r:id="rId30" ref="B19"/>
    <hyperlink r:id="rId31" ref="A20"/>
    <hyperlink r:id="rId32" ref="B20"/>
    <hyperlink r:id="rId33" ref="A21"/>
    <hyperlink r:id="rId34" ref="B21"/>
    <hyperlink r:id="rId35" ref="A22"/>
    <hyperlink r:id="rId36" ref="B22"/>
    <hyperlink r:id="rId37" ref="A23"/>
    <hyperlink r:id="rId38" ref="B23"/>
    <hyperlink r:id="rId39" ref="A24"/>
    <hyperlink r:id="rId40" ref="B24"/>
    <hyperlink r:id="rId41" ref="A25"/>
    <hyperlink r:id="rId42" ref="A26"/>
    <hyperlink r:id="rId43" ref="B26"/>
    <hyperlink r:id="rId44" ref="A27"/>
    <hyperlink r:id="rId45" ref="B27"/>
    <hyperlink r:id="rId46" ref="B28"/>
    <hyperlink r:id="rId47" ref="A29"/>
    <hyperlink r:id="rId48" ref="B29"/>
    <hyperlink r:id="rId49" ref="A30"/>
    <hyperlink r:id="rId50" ref="B30"/>
    <hyperlink r:id="rId51" ref="A31"/>
    <hyperlink r:id="rId52" ref="B31"/>
    <hyperlink r:id="rId53" ref="A32"/>
    <hyperlink r:id="rId54" ref="B32"/>
    <hyperlink r:id="rId55" ref="A33"/>
    <hyperlink r:id="rId56" ref="B33"/>
    <hyperlink r:id="rId57" ref="A34"/>
    <hyperlink r:id="rId58" ref="B34"/>
    <hyperlink r:id="rId59" ref="A35"/>
    <hyperlink r:id="rId60" ref="B35"/>
    <hyperlink r:id="rId61" ref="A36"/>
    <hyperlink r:id="rId62" ref="B36"/>
    <hyperlink r:id="rId63" ref="A37"/>
    <hyperlink r:id="rId64" ref="B37"/>
    <hyperlink r:id="rId65" ref="A38"/>
    <hyperlink r:id="rId66" ref="B38"/>
    <hyperlink r:id="rId67" ref="A39"/>
    <hyperlink r:id="rId68" ref="B39"/>
    <hyperlink r:id="rId69" ref="A40"/>
    <hyperlink r:id="rId70" ref="A41"/>
    <hyperlink r:id="rId71" ref="B41"/>
    <hyperlink r:id="rId72" ref="A42"/>
    <hyperlink r:id="rId73" ref="B42"/>
    <hyperlink r:id="rId74" ref="A43"/>
    <hyperlink r:id="rId75" ref="B43"/>
    <hyperlink r:id="rId76" ref="B44"/>
    <hyperlink r:id="rId77" ref="B45"/>
    <hyperlink r:id="rId78" ref="A46"/>
    <hyperlink r:id="rId79" ref="B46"/>
    <hyperlink r:id="rId80" ref="A47"/>
    <hyperlink r:id="rId81" ref="B47"/>
    <hyperlink r:id="rId82" ref="A48"/>
    <hyperlink r:id="rId83" ref="B48"/>
    <hyperlink r:id="rId84" ref="A49"/>
    <hyperlink r:id="rId85" ref="B49"/>
    <hyperlink r:id="rId86" ref="A50"/>
    <hyperlink r:id="rId87" ref="B50"/>
    <hyperlink r:id="rId88" ref="A51"/>
    <hyperlink r:id="rId89" ref="B51"/>
    <hyperlink r:id="rId90" ref="A52"/>
    <hyperlink r:id="rId91" ref="B52"/>
    <hyperlink r:id="rId92" ref="A53"/>
    <hyperlink r:id="rId93" ref="B53"/>
    <hyperlink r:id="rId94" ref="A54"/>
    <hyperlink r:id="rId95" ref="B54"/>
    <hyperlink r:id="rId96" ref="A55"/>
    <hyperlink r:id="rId97" ref="B55"/>
    <hyperlink r:id="rId98" ref="A56"/>
    <hyperlink r:id="rId99" ref="B56"/>
    <hyperlink r:id="rId100" ref="A57"/>
    <hyperlink r:id="rId101" ref="B57"/>
    <hyperlink r:id="rId102" ref="A58"/>
    <hyperlink r:id="rId103" ref="B58"/>
    <hyperlink r:id="rId104" ref="A59"/>
    <hyperlink r:id="rId105" ref="B59"/>
    <hyperlink r:id="rId106" ref="A60"/>
    <hyperlink r:id="rId107" ref="B60"/>
    <hyperlink r:id="rId108" ref="A61"/>
    <hyperlink r:id="rId109" ref="B61"/>
    <hyperlink r:id="rId110" ref="A62"/>
    <hyperlink r:id="rId111" ref="B62"/>
    <hyperlink r:id="rId112" ref="A63"/>
    <hyperlink r:id="rId113" ref="B63"/>
    <hyperlink r:id="rId114" ref="A64"/>
    <hyperlink r:id="rId115" ref="B64"/>
    <hyperlink r:id="rId116" ref="A65"/>
    <hyperlink r:id="rId117" ref="B65"/>
    <hyperlink r:id="rId118" ref="A66"/>
    <hyperlink r:id="rId119" ref="B66"/>
    <hyperlink r:id="rId120" ref="A67"/>
    <hyperlink r:id="rId121" ref="B67"/>
    <hyperlink r:id="rId122" ref="A68"/>
    <hyperlink r:id="rId123" ref="B68"/>
    <hyperlink r:id="rId124" ref="A69"/>
    <hyperlink r:id="rId125" ref="B69"/>
    <hyperlink r:id="rId126" ref="A70"/>
    <hyperlink r:id="rId127" ref="B70"/>
    <hyperlink r:id="rId128" ref="A71"/>
    <hyperlink r:id="rId129" ref="A72"/>
    <hyperlink r:id="rId130" ref="B72"/>
    <hyperlink r:id="rId131" ref="A73"/>
    <hyperlink r:id="rId132" ref="B73"/>
    <hyperlink r:id="rId133" ref="A74"/>
    <hyperlink r:id="rId134" ref="B74"/>
    <hyperlink r:id="rId135" ref="A75"/>
    <hyperlink r:id="rId136" ref="B75"/>
    <hyperlink r:id="rId137" ref="A76"/>
    <hyperlink r:id="rId138" ref="B76"/>
    <hyperlink r:id="rId139" ref="A77"/>
    <hyperlink r:id="rId140" ref="B77"/>
    <hyperlink r:id="rId141" ref="B78"/>
    <hyperlink r:id="rId142" ref="A79"/>
    <hyperlink r:id="rId143" ref="B79"/>
    <hyperlink r:id="rId144" ref="A80"/>
    <hyperlink r:id="rId145" ref="B80"/>
    <hyperlink r:id="rId146" ref="A81"/>
    <hyperlink r:id="rId147" ref="B81"/>
    <hyperlink r:id="rId148" ref="A82"/>
    <hyperlink r:id="rId149" ref="B82"/>
    <hyperlink r:id="rId150" ref="A83"/>
    <hyperlink r:id="rId151" ref="B83"/>
    <hyperlink r:id="rId152" ref="A84"/>
    <hyperlink r:id="rId153" ref="B84"/>
    <hyperlink r:id="rId154" ref="A85"/>
    <hyperlink r:id="rId155" ref="B85"/>
    <hyperlink r:id="rId156" ref="A86"/>
    <hyperlink r:id="rId157" ref="B86"/>
    <hyperlink r:id="rId158" ref="A87"/>
    <hyperlink r:id="rId159" ref="B87"/>
    <hyperlink r:id="rId160" ref="A88"/>
    <hyperlink r:id="rId161" ref="B88"/>
    <hyperlink r:id="rId162" ref="A89"/>
    <hyperlink r:id="rId163" ref="B89"/>
    <hyperlink r:id="rId164" ref="A90"/>
    <hyperlink r:id="rId165" ref="B90"/>
    <hyperlink r:id="rId166" ref="A91"/>
    <hyperlink r:id="rId167" ref="B91"/>
    <hyperlink r:id="rId168" ref="A92"/>
    <hyperlink r:id="rId169" ref="B92"/>
    <hyperlink r:id="rId170" ref="A93"/>
    <hyperlink r:id="rId171" ref="B93"/>
    <hyperlink r:id="rId172" ref="A94"/>
    <hyperlink r:id="rId173" ref="B94"/>
    <hyperlink r:id="rId174" ref="A95"/>
    <hyperlink r:id="rId175" ref="B95"/>
    <hyperlink r:id="rId176" ref="A96"/>
    <hyperlink r:id="rId177" ref="B96"/>
    <hyperlink r:id="rId178" ref="A97"/>
    <hyperlink r:id="rId179" ref="B97"/>
    <hyperlink r:id="rId180" ref="A98"/>
    <hyperlink r:id="rId181" ref="B98"/>
    <hyperlink r:id="rId182" ref="A99"/>
    <hyperlink r:id="rId183" ref="B99"/>
    <hyperlink r:id="rId184" ref="A100"/>
    <hyperlink r:id="rId185" ref="B100"/>
    <hyperlink r:id="rId186" ref="A101"/>
    <hyperlink r:id="rId187" ref="B101"/>
    <hyperlink r:id="rId188" ref="A102"/>
    <hyperlink r:id="rId189" ref="B102"/>
    <hyperlink r:id="rId190" ref="A103"/>
    <hyperlink r:id="rId191" ref="B103"/>
    <hyperlink r:id="rId192" ref="A104"/>
    <hyperlink r:id="rId193" ref="B104"/>
    <hyperlink r:id="rId194" ref="A105"/>
    <hyperlink r:id="rId195" ref="B105"/>
    <hyperlink r:id="rId196" ref="A106"/>
    <hyperlink r:id="rId197" ref="B106"/>
    <hyperlink r:id="rId198" ref="A107"/>
    <hyperlink r:id="rId199" ref="B107"/>
    <hyperlink r:id="rId200" ref="A108"/>
    <hyperlink r:id="rId201" ref="B108"/>
    <hyperlink r:id="rId202" ref="A109"/>
    <hyperlink r:id="rId203" ref="B109"/>
    <hyperlink r:id="rId204" ref="A110"/>
    <hyperlink r:id="rId205" ref="B110"/>
    <hyperlink r:id="rId206" ref="A111"/>
    <hyperlink r:id="rId207" ref="B111"/>
    <hyperlink r:id="rId208" ref="A112"/>
    <hyperlink r:id="rId209" ref="B112"/>
    <hyperlink r:id="rId210" ref="A113"/>
    <hyperlink r:id="rId211" ref="B113"/>
    <hyperlink r:id="rId212" ref="A114"/>
    <hyperlink r:id="rId213" ref="B114"/>
    <hyperlink r:id="rId214" ref="A115"/>
    <hyperlink r:id="rId215" ref="B115"/>
    <hyperlink r:id="rId216" ref="A116"/>
    <hyperlink r:id="rId217" ref="B116"/>
    <hyperlink r:id="rId218" ref="A117"/>
    <hyperlink r:id="rId219" ref="B117"/>
    <hyperlink r:id="rId220" ref="A118"/>
    <hyperlink r:id="rId221" ref="B118"/>
    <hyperlink r:id="rId222" ref="A119"/>
    <hyperlink r:id="rId223" ref="A120"/>
    <hyperlink r:id="rId224" ref="B120"/>
    <hyperlink r:id="rId225" ref="A121"/>
    <hyperlink r:id="rId226" ref="B121"/>
    <hyperlink r:id="rId227" ref="A122"/>
    <hyperlink r:id="rId228" ref="B122"/>
    <hyperlink r:id="rId229" ref="A123"/>
    <hyperlink r:id="rId230" ref="B123"/>
    <hyperlink r:id="rId231" ref="A124"/>
    <hyperlink r:id="rId232" ref="B124"/>
    <hyperlink r:id="rId233" ref="A125"/>
    <hyperlink r:id="rId234" ref="B125"/>
    <hyperlink r:id="rId235" ref="B126"/>
    <hyperlink r:id="rId236" ref="A127"/>
    <hyperlink r:id="rId237" ref="B127"/>
    <hyperlink r:id="rId238" ref="A128"/>
    <hyperlink r:id="rId239" ref="B128"/>
    <hyperlink r:id="rId240" ref="A129"/>
    <hyperlink r:id="rId241" ref="B129"/>
    <hyperlink r:id="rId242" ref="A130"/>
    <hyperlink r:id="rId243" ref="B130"/>
    <hyperlink r:id="rId244" ref="A131"/>
    <hyperlink r:id="rId245" ref="B131"/>
    <hyperlink r:id="rId246" ref="A132"/>
    <hyperlink r:id="rId247" ref="B132"/>
    <hyperlink r:id="rId248" ref="A133"/>
    <hyperlink r:id="rId249" ref="A134"/>
    <hyperlink r:id="rId250" ref="B134"/>
    <hyperlink r:id="rId251" ref="A135"/>
    <hyperlink r:id="rId252" ref="B135"/>
    <hyperlink r:id="rId253" ref="A136"/>
    <hyperlink r:id="rId254" ref="B136"/>
    <hyperlink r:id="rId255" ref="A137"/>
    <hyperlink r:id="rId256" ref="B137"/>
    <hyperlink r:id="rId257" ref="A138"/>
    <hyperlink r:id="rId258" ref="B138"/>
    <hyperlink r:id="rId259" ref="A139"/>
    <hyperlink r:id="rId260" ref="B139"/>
    <hyperlink r:id="rId261" ref="B140"/>
    <hyperlink r:id="rId262" ref="A141"/>
    <hyperlink r:id="rId263" ref="B141"/>
    <hyperlink r:id="rId264" ref="A142"/>
    <hyperlink r:id="rId265" ref="A143"/>
    <hyperlink r:id="rId266" ref="B143"/>
    <hyperlink r:id="rId267" ref="A144"/>
    <hyperlink r:id="rId268" ref="B144"/>
    <hyperlink r:id="rId269" ref="A145"/>
    <hyperlink r:id="rId270" ref="B145"/>
    <hyperlink r:id="rId271" ref="A146"/>
    <hyperlink r:id="rId272" ref="B146"/>
    <hyperlink r:id="rId273" ref="A147"/>
    <hyperlink r:id="rId274" ref="B147"/>
    <hyperlink r:id="rId275" ref="A148"/>
    <hyperlink r:id="rId276" ref="B148"/>
    <hyperlink r:id="rId277" ref="B149"/>
    <hyperlink r:id="rId278" ref="A150"/>
    <hyperlink r:id="rId279" ref="B150"/>
    <hyperlink r:id="rId280" ref="A151"/>
    <hyperlink r:id="rId281" ref="B151"/>
    <hyperlink r:id="rId282" ref="A152"/>
    <hyperlink r:id="rId283" ref="B152"/>
    <hyperlink r:id="rId284" ref="A153"/>
    <hyperlink r:id="rId285" ref="B153"/>
    <hyperlink r:id="rId286" ref="A154"/>
    <hyperlink r:id="rId287" ref="B154"/>
    <hyperlink r:id="rId288" ref="A155"/>
    <hyperlink r:id="rId289" ref="B155"/>
    <hyperlink r:id="rId290" ref="A156"/>
    <hyperlink r:id="rId291" ref="B156"/>
    <hyperlink r:id="rId292" ref="A157"/>
    <hyperlink r:id="rId293" ref="B157"/>
    <hyperlink r:id="rId294" ref="A158"/>
    <hyperlink r:id="rId295" ref="B158"/>
    <hyperlink r:id="rId296" ref="A159"/>
    <hyperlink r:id="rId297" ref="B159"/>
    <hyperlink r:id="rId298" ref="A160"/>
    <hyperlink r:id="rId299" ref="B160"/>
    <hyperlink r:id="rId300" ref="A161"/>
    <hyperlink r:id="rId301" ref="B161"/>
    <hyperlink r:id="rId302" ref="A162"/>
    <hyperlink r:id="rId303" ref="B162"/>
    <hyperlink r:id="rId304" ref="A163"/>
    <hyperlink r:id="rId305" ref="B163"/>
    <hyperlink r:id="rId306" ref="A164"/>
    <hyperlink r:id="rId307" ref="B164"/>
    <hyperlink r:id="rId308" ref="A165"/>
    <hyperlink r:id="rId309" ref="B165"/>
    <hyperlink r:id="rId310" ref="A166"/>
    <hyperlink r:id="rId311" ref="B166"/>
    <hyperlink r:id="rId312" ref="A167"/>
    <hyperlink r:id="rId313" ref="B167"/>
    <hyperlink r:id="rId314" ref="A168"/>
    <hyperlink r:id="rId315" ref="B168"/>
    <hyperlink r:id="rId316" ref="A169"/>
    <hyperlink r:id="rId317" ref="B169"/>
    <hyperlink r:id="rId318" ref="A170"/>
    <hyperlink r:id="rId319" ref="B170"/>
    <hyperlink r:id="rId320" ref="A171"/>
    <hyperlink r:id="rId321" ref="B171"/>
    <hyperlink r:id="rId322" ref="A172"/>
    <hyperlink r:id="rId323" ref="B172"/>
    <hyperlink r:id="rId324" ref="A173"/>
    <hyperlink r:id="rId325" ref="B173"/>
    <hyperlink r:id="rId326" ref="A174"/>
    <hyperlink r:id="rId327" ref="B174"/>
    <hyperlink r:id="rId328" ref="A175"/>
    <hyperlink r:id="rId329" ref="B175"/>
    <hyperlink r:id="rId330" ref="A176"/>
    <hyperlink r:id="rId331" ref="B176"/>
    <hyperlink r:id="rId332" ref="A177"/>
    <hyperlink r:id="rId333" ref="B177"/>
    <hyperlink r:id="rId334" ref="A178"/>
    <hyperlink r:id="rId335" ref="B178"/>
    <hyperlink r:id="rId336" ref="A179"/>
    <hyperlink r:id="rId337" ref="B179"/>
    <hyperlink r:id="rId338" ref="A180"/>
    <hyperlink r:id="rId339" ref="B180"/>
    <hyperlink r:id="rId340" ref="A181"/>
    <hyperlink r:id="rId341" ref="B181"/>
    <hyperlink r:id="rId342" ref="A182"/>
    <hyperlink r:id="rId343" ref="B182"/>
    <hyperlink r:id="rId344" ref="A183"/>
    <hyperlink r:id="rId345" ref="B183"/>
    <hyperlink r:id="rId346" ref="A184"/>
    <hyperlink r:id="rId347" ref="B184"/>
    <hyperlink r:id="rId348" ref="A185"/>
    <hyperlink r:id="rId349" ref="B185"/>
    <hyperlink r:id="rId350" ref="A186"/>
    <hyperlink r:id="rId351" ref="B186"/>
    <hyperlink r:id="rId352" ref="A187"/>
    <hyperlink r:id="rId353" ref="B187"/>
    <hyperlink r:id="rId354" ref="A188"/>
    <hyperlink r:id="rId355" ref="B188"/>
    <hyperlink r:id="rId356" ref="A189"/>
    <hyperlink r:id="rId357" ref="B189"/>
    <hyperlink r:id="rId358" ref="A190"/>
    <hyperlink r:id="rId359" ref="B190"/>
    <hyperlink r:id="rId360" ref="A191"/>
    <hyperlink r:id="rId361" ref="B191"/>
    <hyperlink r:id="rId362" ref="A192"/>
    <hyperlink r:id="rId363" ref="B192"/>
    <hyperlink r:id="rId364" ref="A193"/>
    <hyperlink r:id="rId365" ref="B193"/>
    <hyperlink r:id="rId366" ref="A194"/>
    <hyperlink r:id="rId367" ref="B194"/>
    <hyperlink r:id="rId368" ref="A195"/>
    <hyperlink r:id="rId369" ref="B195"/>
    <hyperlink r:id="rId370" ref="A196"/>
    <hyperlink r:id="rId371" ref="B196"/>
    <hyperlink r:id="rId372" ref="A197"/>
    <hyperlink r:id="rId373" ref="B197"/>
    <hyperlink r:id="rId374" ref="A198"/>
    <hyperlink r:id="rId375" ref="B198"/>
    <hyperlink r:id="rId376" ref="A199"/>
    <hyperlink r:id="rId377" ref="B199"/>
    <hyperlink r:id="rId378" ref="A200"/>
    <hyperlink r:id="rId379" ref="B200"/>
    <hyperlink r:id="rId380" ref="A201"/>
    <hyperlink r:id="rId381" ref="B201"/>
    <hyperlink r:id="rId382" ref="A202"/>
    <hyperlink r:id="rId383" ref="B202"/>
    <hyperlink r:id="rId384" ref="A203"/>
    <hyperlink r:id="rId385" ref="B203"/>
    <hyperlink r:id="rId386" ref="A204"/>
    <hyperlink r:id="rId387" ref="B204"/>
    <hyperlink r:id="rId388" ref="A205"/>
    <hyperlink r:id="rId389" ref="B205"/>
    <hyperlink r:id="rId390" ref="A206"/>
    <hyperlink r:id="rId391" ref="B206"/>
    <hyperlink r:id="rId392" ref="A207"/>
    <hyperlink r:id="rId393" ref="B207"/>
    <hyperlink r:id="rId394" ref="A208"/>
    <hyperlink r:id="rId395" ref="B208"/>
    <hyperlink r:id="rId396" ref="A209"/>
    <hyperlink r:id="rId397" ref="B209"/>
    <hyperlink r:id="rId398" ref="A210"/>
    <hyperlink r:id="rId399" ref="B210"/>
    <hyperlink r:id="rId400" ref="A211"/>
    <hyperlink r:id="rId401" ref="B211"/>
    <hyperlink r:id="rId402" ref="A212"/>
    <hyperlink r:id="rId403" ref="B212"/>
    <hyperlink r:id="rId404" ref="A213"/>
    <hyperlink r:id="rId405" ref="B213"/>
    <hyperlink r:id="rId406" ref="A214"/>
    <hyperlink r:id="rId407" ref="B214"/>
    <hyperlink r:id="rId408" ref="A215"/>
    <hyperlink r:id="rId409" ref="B215"/>
    <hyperlink r:id="rId410" ref="A216"/>
    <hyperlink r:id="rId411" ref="B216"/>
    <hyperlink r:id="rId412" ref="A217"/>
    <hyperlink r:id="rId413" ref="B217"/>
    <hyperlink r:id="rId414" ref="A218"/>
    <hyperlink r:id="rId415" ref="B218"/>
    <hyperlink r:id="rId416" ref="A219"/>
    <hyperlink r:id="rId417" ref="B219"/>
    <hyperlink r:id="rId418" ref="A220"/>
    <hyperlink r:id="rId419" ref="B220"/>
    <hyperlink r:id="rId420" ref="A221"/>
    <hyperlink r:id="rId421" ref="B221"/>
    <hyperlink r:id="rId422" ref="A222"/>
    <hyperlink r:id="rId423" ref="B222"/>
    <hyperlink r:id="rId424" ref="A223"/>
    <hyperlink r:id="rId425" ref="B223"/>
    <hyperlink r:id="rId426" ref="A224"/>
    <hyperlink r:id="rId427" ref="B224"/>
    <hyperlink r:id="rId428" ref="A225"/>
    <hyperlink r:id="rId429" ref="B225"/>
    <hyperlink r:id="rId430" ref="A226"/>
    <hyperlink r:id="rId431" ref="B226"/>
    <hyperlink r:id="rId432" ref="A227"/>
    <hyperlink r:id="rId433" ref="B227"/>
    <hyperlink r:id="rId434" ref="A228"/>
    <hyperlink r:id="rId435" ref="B228"/>
    <hyperlink r:id="rId436" ref="A229"/>
    <hyperlink r:id="rId437" ref="B229"/>
    <hyperlink r:id="rId438" ref="A230"/>
    <hyperlink r:id="rId439" ref="A231"/>
    <hyperlink r:id="rId440" ref="B231"/>
    <hyperlink r:id="rId441" ref="A232"/>
    <hyperlink r:id="rId442" ref="B232"/>
    <hyperlink r:id="rId443" ref="A233"/>
    <hyperlink r:id="rId444" ref="B233"/>
    <hyperlink r:id="rId445" ref="A234"/>
    <hyperlink r:id="rId446" ref="B234"/>
    <hyperlink r:id="rId447" ref="A235"/>
    <hyperlink r:id="rId448" ref="B235"/>
    <hyperlink r:id="rId449" ref="A236"/>
    <hyperlink r:id="rId450" ref="B236"/>
    <hyperlink r:id="rId451" ref="B237"/>
    <hyperlink r:id="rId452" ref="A238"/>
    <hyperlink r:id="rId453" ref="B238"/>
    <hyperlink r:id="rId454" ref="A239"/>
    <hyperlink r:id="rId455" ref="B239"/>
    <hyperlink r:id="rId456" ref="A240"/>
    <hyperlink r:id="rId457" ref="B240"/>
    <hyperlink r:id="rId458" ref="A241"/>
    <hyperlink r:id="rId459" ref="B241"/>
    <hyperlink r:id="rId460" ref="A242"/>
    <hyperlink r:id="rId461" ref="B242"/>
    <hyperlink r:id="rId462" ref="A243"/>
    <hyperlink r:id="rId463" ref="B243"/>
    <hyperlink r:id="rId464" ref="A244"/>
    <hyperlink r:id="rId465" ref="B244"/>
    <hyperlink r:id="rId466" ref="A245"/>
    <hyperlink r:id="rId467" ref="B245"/>
    <hyperlink r:id="rId468" ref="A246"/>
    <hyperlink r:id="rId469" ref="B246"/>
    <hyperlink r:id="rId470" ref="A247"/>
    <hyperlink r:id="rId471" ref="B247"/>
    <hyperlink r:id="rId472" ref="A248"/>
    <hyperlink r:id="rId473" ref="B248"/>
    <hyperlink r:id="rId474" ref="A249"/>
    <hyperlink r:id="rId475" ref="B249"/>
    <hyperlink r:id="rId476" ref="A250"/>
    <hyperlink r:id="rId477" ref="B250"/>
    <hyperlink r:id="rId478" ref="A251"/>
    <hyperlink r:id="rId479" ref="B251"/>
    <hyperlink r:id="rId480" ref="A252"/>
    <hyperlink r:id="rId481" ref="B252"/>
    <hyperlink r:id="rId482" ref="A253"/>
    <hyperlink r:id="rId483" ref="B253"/>
    <hyperlink r:id="rId484" ref="A254"/>
    <hyperlink r:id="rId485" ref="B254"/>
    <hyperlink r:id="rId486" ref="A255"/>
    <hyperlink r:id="rId487" ref="B255"/>
    <hyperlink r:id="rId488" ref="A256"/>
    <hyperlink r:id="rId489" ref="B256"/>
    <hyperlink r:id="rId490" ref="A257"/>
    <hyperlink r:id="rId491" ref="B257"/>
    <hyperlink r:id="rId492" ref="A258"/>
    <hyperlink r:id="rId493" ref="B258"/>
    <hyperlink r:id="rId494" ref="A259"/>
    <hyperlink r:id="rId495" ref="B259"/>
    <hyperlink r:id="rId496" ref="A260"/>
    <hyperlink r:id="rId497" ref="B260"/>
    <hyperlink r:id="rId498" ref="A261"/>
    <hyperlink r:id="rId499" ref="B261"/>
    <hyperlink r:id="rId500" ref="A262"/>
    <hyperlink r:id="rId501" ref="B262"/>
    <hyperlink r:id="rId502" ref="A263"/>
    <hyperlink r:id="rId503" ref="A264"/>
    <hyperlink r:id="rId504" ref="B264"/>
    <hyperlink r:id="rId505" ref="A265"/>
    <hyperlink r:id="rId506" ref="B265"/>
    <hyperlink r:id="rId507" ref="A266"/>
    <hyperlink r:id="rId508" ref="B266"/>
    <hyperlink r:id="rId509" ref="A267"/>
    <hyperlink r:id="rId510" ref="B267"/>
    <hyperlink r:id="rId511" ref="A268"/>
    <hyperlink r:id="rId512" ref="A269"/>
    <hyperlink r:id="rId513" ref="B269"/>
    <hyperlink r:id="rId514" ref="B270"/>
    <hyperlink r:id="rId515" ref="A271"/>
    <hyperlink r:id="rId516" ref="B271"/>
    <hyperlink r:id="rId517" ref="A272"/>
    <hyperlink r:id="rId518" ref="B272"/>
    <hyperlink r:id="rId519" ref="A273"/>
    <hyperlink r:id="rId520" ref="A274"/>
    <hyperlink r:id="rId521" ref="B274"/>
    <hyperlink r:id="rId522" ref="B275"/>
    <hyperlink r:id="rId523" ref="A276"/>
    <hyperlink r:id="rId524" ref="B276"/>
    <hyperlink r:id="rId525" ref="A277"/>
    <hyperlink r:id="rId526" ref="B277"/>
    <hyperlink r:id="rId527" ref="A278"/>
    <hyperlink r:id="rId528" ref="B278"/>
    <hyperlink r:id="rId529" ref="A279"/>
    <hyperlink r:id="rId530" ref="B279"/>
    <hyperlink r:id="rId531" ref="B280"/>
    <hyperlink r:id="rId532" ref="A281"/>
    <hyperlink r:id="rId533" ref="B281"/>
    <hyperlink r:id="rId534" ref="A282"/>
    <hyperlink r:id="rId535" ref="B282"/>
    <hyperlink r:id="rId536" ref="A283"/>
    <hyperlink r:id="rId537" ref="B283"/>
    <hyperlink r:id="rId538" ref="A284"/>
    <hyperlink r:id="rId539" ref="B284"/>
    <hyperlink r:id="rId540" ref="A285"/>
    <hyperlink r:id="rId541" ref="B285"/>
    <hyperlink r:id="rId542" ref="A286"/>
    <hyperlink r:id="rId543" ref="B286"/>
    <hyperlink r:id="rId544" ref="A287"/>
    <hyperlink r:id="rId545" ref="B287"/>
    <hyperlink r:id="rId546" ref="A288"/>
    <hyperlink r:id="rId547" ref="B288"/>
    <hyperlink r:id="rId548" ref="A289"/>
    <hyperlink r:id="rId549" ref="A290"/>
    <hyperlink r:id="rId550" ref="B290"/>
    <hyperlink r:id="rId551" ref="A291"/>
    <hyperlink r:id="rId552" ref="B291"/>
    <hyperlink r:id="rId553" ref="A292"/>
    <hyperlink r:id="rId554" ref="B292"/>
    <hyperlink r:id="rId555" ref="A293"/>
    <hyperlink r:id="rId556" ref="B293"/>
    <hyperlink r:id="rId557" ref="A294"/>
    <hyperlink r:id="rId558" ref="B294"/>
    <hyperlink r:id="rId559" ref="A295"/>
    <hyperlink r:id="rId560" ref="B295"/>
    <hyperlink r:id="rId561" ref="B296"/>
    <hyperlink r:id="rId562" ref="A297"/>
    <hyperlink r:id="rId563" ref="B297"/>
    <hyperlink r:id="rId564" ref="A298"/>
    <hyperlink r:id="rId565" ref="B298"/>
    <hyperlink r:id="rId566" ref="A299"/>
    <hyperlink r:id="rId567" ref="B299"/>
    <hyperlink r:id="rId568" ref="A300"/>
    <hyperlink r:id="rId569" ref="B300"/>
    <hyperlink r:id="rId570" ref="A301"/>
    <hyperlink r:id="rId571" ref="B301"/>
    <hyperlink r:id="rId572" ref="A302"/>
    <hyperlink r:id="rId573" ref="B302"/>
    <hyperlink r:id="rId574" ref="A303"/>
    <hyperlink r:id="rId575" ref="B303"/>
    <hyperlink r:id="rId576" ref="A304"/>
    <hyperlink r:id="rId577" ref="B304"/>
    <hyperlink r:id="rId578" ref="A305"/>
    <hyperlink r:id="rId579" ref="B305"/>
    <hyperlink r:id="rId580" ref="A306"/>
    <hyperlink r:id="rId581" ref="B306"/>
    <hyperlink r:id="rId582" ref="A307"/>
    <hyperlink r:id="rId583" ref="B307"/>
    <hyperlink r:id="rId584" ref="A308"/>
    <hyperlink r:id="rId585" ref="B308"/>
    <hyperlink r:id="rId586" ref="A309"/>
    <hyperlink r:id="rId587" ref="B309"/>
    <hyperlink r:id="rId588" ref="A310"/>
    <hyperlink r:id="rId589" ref="B310"/>
    <hyperlink r:id="rId590" ref="A311"/>
    <hyperlink r:id="rId591" ref="B311"/>
    <hyperlink r:id="rId592" ref="A312"/>
    <hyperlink r:id="rId593" ref="B312"/>
    <hyperlink r:id="rId594" ref="A313"/>
    <hyperlink r:id="rId595" ref="B313"/>
    <hyperlink r:id="rId596" ref="A314"/>
    <hyperlink r:id="rId597" ref="B314"/>
    <hyperlink r:id="rId598" ref="A315"/>
    <hyperlink r:id="rId599" ref="B315"/>
    <hyperlink r:id="rId600" ref="A316"/>
    <hyperlink r:id="rId601" ref="B316"/>
    <hyperlink r:id="rId602" ref="A317"/>
    <hyperlink r:id="rId603" ref="B317"/>
    <hyperlink r:id="rId604" ref="A318"/>
    <hyperlink r:id="rId605" ref="B318"/>
    <hyperlink r:id="rId606" ref="A319"/>
    <hyperlink r:id="rId607" ref="B319"/>
    <hyperlink r:id="rId608" ref="A320"/>
    <hyperlink r:id="rId609" ref="B320"/>
    <hyperlink r:id="rId610" ref="A321"/>
    <hyperlink r:id="rId611" ref="B321"/>
    <hyperlink r:id="rId612" ref="A322"/>
    <hyperlink r:id="rId613" ref="B322"/>
    <hyperlink r:id="rId614" ref="A323"/>
    <hyperlink r:id="rId615" ref="B323"/>
    <hyperlink r:id="rId616" ref="A324"/>
    <hyperlink r:id="rId617" ref="B324"/>
    <hyperlink r:id="rId618" ref="A325"/>
    <hyperlink r:id="rId619" ref="B325"/>
    <hyperlink r:id="rId620" ref="A326"/>
    <hyperlink r:id="rId621" ref="B326"/>
    <hyperlink r:id="rId622" ref="A327"/>
    <hyperlink r:id="rId623" ref="B327"/>
    <hyperlink r:id="rId624" ref="A328"/>
    <hyperlink r:id="rId625" ref="B328"/>
    <hyperlink r:id="rId626" ref="A329"/>
    <hyperlink r:id="rId627" ref="B329"/>
    <hyperlink r:id="rId628" ref="A330"/>
    <hyperlink r:id="rId629" ref="B330"/>
    <hyperlink r:id="rId630" ref="A331"/>
    <hyperlink r:id="rId631" ref="B331"/>
    <hyperlink r:id="rId632" ref="A332"/>
    <hyperlink r:id="rId633" ref="B332"/>
    <hyperlink r:id="rId634" ref="A333"/>
    <hyperlink r:id="rId635" ref="B333"/>
    <hyperlink r:id="rId636" ref="A334"/>
    <hyperlink r:id="rId637" ref="B334"/>
    <hyperlink r:id="rId638" ref="A335"/>
    <hyperlink r:id="rId639" ref="B335"/>
    <hyperlink r:id="rId640" ref="A336"/>
    <hyperlink r:id="rId641" ref="B336"/>
    <hyperlink r:id="rId642" ref="A337"/>
    <hyperlink r:id="rId643" ref="B337"/>
    <hyperlink r:id="rId644" ref="A338"/>
    <hyperlink r:id="rId645" ref="B338"/>
    <hyperlink r:id="rId646" ref="A339"/>
    <hyperlink r:id="rId647" ref="B339"/>
    <hyperlink r:id="rId648" ref="A340"/>
    <hyperlink r:id="rId649" ref="B340"/>
    <hyperlink r:id="rId650" ref="A341"/>
    <hyperlink r:id="rId651" ref="B341"/>
    <hyperlink r:id="rId652" ref="A342"/>
    <hyperlink r:id="rId653" ref="B342"/>
    <hyperlink r:id="rId654" ref="A343"/>
    <hyperlink r:id="rId655" ref="B343"/>
    <hyperlink r:id="rId656" ref="A344"/>
    <hyperlink r:id="rId657" ref="B344"/>
    <hyperlink r:id="rId658" ref="A345"/>
    <hyperlink r:id="rId659" ref="B345"/>
    <hyperlink r:id="rId660" ref="A346"/>
    <hyperlink r:id="rId661" ref="B346"/>
    <hyperlink r:id="rId662" ref="A347"/>
    <hyperlink r:id="rId663" ref="B347"/>
    <hyperlink r:id="rId664" ref="A348"/>
    <hyperlink r:id="rId665" ref="B348"/>
    <hyperlink r:id="rId666" ref="A349"/>
    <hyperlink r:id="rId667" ref="B349"/>
    <hyperlink r:id="rId668" ref="A350"/>
    <hyperlink r:id="rId669" ref="B350"/>
    <hyperlink r:id="rId670" ref="A351"/>
    <hyperlink r:id="rId671" ref="B351"/>
    <hyperlink r:id="rId672" ref="A352"/>
    <hyperlink r:id="rId673" ref="B352"/>
    <hyperlink r:id="rId674" ref="A353"/>
    <hyperlink r:id="rId675" ref="B353"/>
    <hyperlink r:id="rId676" ref="A354"/>
    <hyperlink r:id="rId677" ref="B354"/>
    <hyperlink r:id="rId678" ref="A355"/>
    <hyperlink r:id="rId679" ref="B355"/>
    <hyperlink r:id="rId680" ref="A356"/>
    <hyperlink r:id="rId681" ref="B356"/>
    <hyperlink r:id="rId682" ref="A357"/>
    <hyperlink r:id="rId683" ref="B357"/>
    <hyperlink r:id="rId684" ref="A358"/>
    <hyperlink r:id="rId685" ref="B358"/>
    <hyperlink r:id="rId686" ref="A359"/>
    <hyperlink r:id="rId687" ref="B359"/>
    <hyperlink r:id="rId688" ref="A360"/>
    <hyperlink r:id="rId689" ref="B360"/>
    <hyperlink r:id="rId690" ref="A361"/>
    <hyperlink r:id="rId691" ref="B361"/>
    <hyperlink r:id="rId692" ref="A362"/>
    <hyperlink r:id="rId693" ref="B362"/>
    <hyperlink r:id="rId694" ref="A363"/>
    <hyperlink r:id="rId695" ref="B363"/>
    <hyperlink r:id="rId696" ref="A364"/>
    <hyperlink r:id="rId697" ref="A365"/>
    <hyperlink r:id="rId698" ref="B365"/>
    <hyperlink r:id="rId699" ref="A366"/>
    <hyperlink r:id="rId700" ref="B366"/>
    <hyperlink r:id="rId701" ref="A367"/>
    <hyperlink r:id="rId702" ref="B367"/>
    <hyperlink r:id="rId703" ref="A368"/>
    <hyperlink r:id="rId704" ref="A369"/>
    <hyperlink r:id="rId705" ref="B369"/>
    <hyperlink r:id="rId706" ref="A370"/>
    <hyperlink r:id="rId707" ref="B370"/>
    <hyperlink r:id="rId708" ref="B371"/>
    <hyperlink r:id="rId709" ref="A372"/>
    <hyperlink r:id="rId710" ref="B372"/>
    <hyperlink r:id="rId711" ref="A373"/>
    <hyperlink r:id="rId712" ref="B373"/>
    <hyperlink r:id="rId713" ref="A374"/>
    <hyperlink r:id="rId714" ref="B374"/>
    <hyperlink r:id="rId715" ref="B375"/>
    <hyperlink r:id="rId716" ref="A376"/>
    <hyperlink r:id="rId717" ref="B376"/>
    <hyperlink r:id="rId718" ref="A377"/>
    <hyperlink r:id="rId719" ref="A378"/>
    <hyperlink r:id="rId720" ref="B378"/>
    <hyperlink r:id="rId721" ref="A379"/>
    <hyperlink r:id="rId722" ref="B379"/>
    <hyperlink r:id="rId723" ref="A380"/>
    <hyperlink r:id="rId724" ref="B380"/>
    <hyperlink r:id="rId725" ref="A381"/>
    <hyperlink r:id="rId726" ref="B381"/>
    <hyperlink r:id="rId727" ref="A382"/>
    <hyperlink r:id="rId728" ref="B382"/>
    <hyperlink r:id="rId729" ref="A383"/>
    <hyperlink r:id="rId730" ref="B383"/>
    <hyperlink r:id="rId731" ref="B384"/>
    <hyperlink r:id="rId732" ref="A385"/>
    <hyperlink r:id="rId733" ref="B385"/>
    <hyperlink r:id="rId734" ref="A386"/>
    <hyperlink r:id="rId735" ref="B386"/>
    <hyperlink r:id="rId736" ref="A387"/>
    <hyperlink r:id="rId737" ref="B387"/>
    <hyperlink r:id="rId738" ref="A388"/>
    <hyperlink r:id="rId739" ref="B388"/>
    <hyperlink r:id="rId740" ref="A389"/>
    <hyperlink r:id="rId741" ref="B389"/>
    <hyperlink r:id="rId742" ref="A390"/>
    <hyperlink r:id="rId743" ref="B390"/>
    <hyperlink r:id="rId744" ref="A391"/>
    <hyperlink r:id="rId745" ref="B391"/>
    <hyperlink r:id="rId746" ref="A392"/>
    <hyperlink r:id="rId747" ref="A393"/>
    <hyperlink r:id="rId748" ref="B393"/>
    <hyperlink r:id="rId749" ref="A394"/>
    <hyperlink r:id="rId750" ref="B394"/>
    <hyperlink r:id="rId751" ref="A395"/>
    <hyperlink r:id="rId752" ref="B395"/>
    <hyperlink r:id="rId753" ref="A396"/>
    <hyperlink r:id="rId754" ref="A397"/>
    <hyperlink r:id="rId755" ref="B397"/>
    <hyperlink r:id="rId756" ref="A398"/>
    <hyperlink r:id="rId757" ref="B398"/>
    <hyperlink r:id="rId758" ref="B399"/>
    <hyperlink r:id="rId759" ref="A400"/>
    <hyperlink r:id="rId760" ref="B400"/>
    <hyperlink r:id="rId761" ref="A401"/>
    <hyperlink r:id="rId762" ref="B401"/>
    <hyperlink r:id="rId763" ref="A402"/>
    <hyperlink r:id="rId764" ref="B402"/>
    <hyperlink r:id="rId765" ref="B403"/>
    <hyperlink r:id="rId766" ref="A404"/>
    <hyperlink r:id="rId767" ref="B404"/>
    <hyperlink r:id="rId768" ref="A405"/>
    <hyperlink r:id="rId769" ref="A406"/>
    <hyperlink r:id="rId770" ref="B406"/>
    <hyperlink r:id="rId771" ref="A407"/>
    <hyperlink r:id="rId772" ref="B407"/>
    <hyperlink r:id="rId773" ref="A408"/>
    <hyperlink r:id="rId774" ref="B408"/>
    <hyperlink r:id="rId775" ref="A409"/>
    <hyperlink r:id="rId776" ref="B409"/>
    <hyperlink r:id="rId777" ref="A410"/>
    <hyperlink r:id="rId778" ref="B410"/>
    <hyperlink r:id="rId779" ref="A411"/>
    <hyperlink r:id="rId780" ref="B411"/>
    <hyperlink r:id="rId781" ref="B412"/>
    <hyperlink r:id="rId782" ref="A413"/>
    <hyperlink r:id="rId783" ref="B413"/>
    <hyperlink r:id="rId784" ref="A414"/>
    <hyperlink r:id="rId785" ref="B414"/>
    <hyperlink r:id="rId786" ref="A415"/>
    <hyperlink r:id="rId787" ref="B415"/>
    <hyperlink r:id="rId788" ref="A416"/>
    <hyperlink r:id="rId789" ref="B416"/>
    <hyperlink r:id="rId790" ref="A417"/>
    <hyperlink r:id="rId791" ref="B417"/>
    <hyperlink r:id="rId792" ref="A418"/>
    <hyperlink r:id="rId793" ref="B418"/>
    <hyperlink r:id="rId794" ref="A419"/>
    <hyperlink r:id="rId795" ref="B419"/>
    <hyperlink r:id="rId796" ref="A420"/>
    <hyperlink r:id="rId797" ref="B420"/>
    <hyperlink r:id="rId798" ref="A421"/>
    <hyperlink r:id="rId799" ref="B421"/>
    <hyperlink r:id="rId800" ref="A422"/>
    <hyperlink r:id="rId801" ref="B422"/>
    <hyperlink r:id="rId802" ref="A423"/>
    <hyperlink r:id="rId803" ref="B423"/>
    <hyperlink r:id="rId804" ref="A424"/>
    <hyperlink r:id="rId805" ref="B424"/>
    <hyperlink r:id="rId806" ref="A425"/>
    <hyperlink r:id="rId807" ref="B425"/>
    <hyperlink r:id="rId808" ref="A426"/>
    <hyperlink r:id="rId809" ref="B426"/>
    <hyperlink r:id="rId810" ref="A427"/>
    <hyperlink r:id="rId811" ref="B427"/>
    <hyperlink r:id="rId812" ref="A428"/>
    <hyperlink r:id="rId813" ref="B428"/>
    <hyperlink r:id="rId814" ref="A429"/>
    <hyperlink r:id="rId815" ref="B429"/>
    <hyperlink r:id="rId816" ref="A430"/>
    <hyperlink r:id="rId817" ref="B430"/>
    <hyperlink r:id="rId818" ref="A431"/>
    <hyperlink r:id="rId819" ref="B431"/>
    <hyperlink r:id="rId820" ref="A432"/>
    <hyperlink r:id="rId821" ref="B432"/>
    <hyperlink r:id="rId822" ref="A433"/>
    <hyperlink r:id="rId823" ref="B433"/>
    <hyperlink r:id="rId824" ref="A434"/>
    <hyperlink r:id="rId825" ref="B434"/>
    <hyperlink r:id="rId826" ref="A435"/>
    <hyperlink r:id="rId827" ref="B435"/>
    <hyperlink r:id="rId828" ref="A436"/>
    <hyperlink r:id="rId829" ref="B436"/>
    <hyperlink r:id="rId830" ref="A437"/>
    <hyperlink r:id="rId831" ref="B437"/>
    <hyperlink r:id="rId832" ref="A438"/>
    <hyperlink r:id="rId833" ref="B438"/>
    <hyperlink r:id="rId834" ref="A439"/>
    <hyperlink r:id="rId835" ref="B439"/>
    <hyperlink r:id="rId836" ref="A440"/>
    <hyperlink r:id="rId837" ref="B440"/>
    <hyperlink r:id="rId838" ref="A441"/>
    <hyperlink r:id="rId839" ref="B441"/>
    <hyperlink r:id="rId840" ref="A442"/>
    <hyperlink r:id="rId841" ref="B442"/>
    <hyperlink r:id="rId842" ref="A443"/>
    <hyperlink r:id="rId843" ref="B443"/>
    <hyperlink r:id="rId844" ref="A444"/>
    <hyperlink r:id="rId845" ref="B444"/>
    <hyperlink r:id="rId846" ref="A445"/>
    <hyperlink r:id="rId847" ref="B445"/>
    <hyperlink r:id="rId848" ref="A446"/>
    <hyperlink r:id="rId849" ref="B446"/>
    <hyperlink r:id="rId850" ref="A447"/>
    <hyperlink r:id="rId851" ref="B447"/>
    <hyperlink r:id="rId852" ref="A448"/>
    <hyperlink r:id="rId853" ref="B448"/>
    <hyperlink r:id="rId854" ref="A449"/>
    <hyperlink r:id="rId855" ref="B449"/>
    <hyperlink r:id="rId856" ref="A450"/>
    <hyperlink r:id="rId857" ref="B450"/>
    <hyperlink r:id="rId858" ref="A451"/>
    <hyperlink r:id="rId859" ref="B451"/>
    <hyperlink r:id="rId860" ref="A452"/>
    <hyperlink r:id="rId861" ref="B452"/>
    <hyperlink r:id="rId862" ref="A453"/>
    <hyperlink r:id="rId863" ref="B453"/>
    <hyperlink r:id="rId864" ref="A454"/>
    <hyperlink r:id="rId865" ref="B454"/>
    <hyperlink r:id="rId866" ref="A455"/>
    <hyperlink r:id="rId867" ref="B455"/>
    <hyperlink r:id="rId868" ref="A456"/>
    <hyperlink r:id="rId869" ref="A457"/>
    <hyperlink r:id="rId870" ref="B457"/>
    <hyperlink r:id="rId871" ref="A458"/>
    <hyperlink r:id="rId872" ref="B458"/>
    <hyperlink r:id="rId873" ref="A459"/>
    <hyperlink r:id="rId874" ref="B459"/>
    <hyperlink r:id="rId875" ref="A460"/>
    <hyperlink r:id="rId876" ref="B460"/>
    <hyperlink r:id="rId877" ref="A461"/>
    <hyperlink r:id="rId878" ref="B461"/>
    <hyperlink r:id="rId879" ref="A462"/>
    <hyperlink r:id="rId880" ref="B462"/>
    <hyperlink r:id="rId881" ref="B463"/>
    <hyperlink r:id="rId882" ref="A464"/>
    <hyperlink r:id="rId883" ref="B464"/>
    <hyperlink r:id="rId884" ref="A465"/>
    <hyperlink r:id="rId885" ref="B465"/>
    <hyperlink r:id="rId886" ref="A466"/>
    <hyperlink r:id="rId887" ref="B466"/>
    <hyperlink r:id="rId888" ref="A467"/>
    <hyperlink r:id="rId889" ref="B467"/>
    <hyperlink r:id="rId890" ref="A468"/>
    <hyperlink r:id="rId891" ref="B468"/>
    <hyperlink r:id="rId892" ref="A469"/>
    <hyperlink r:id="rId893" ref="B469"/>
    <hyperlink r:id="rId894" ref="A470"/>
    <hyperlink r:id="rId895" ref="B470"/>
    <hyperlink r:id="rId896" ref="A471"/>
    <hyperlink r:id="rId897" ref="B471"/>
    <hyperlink r:id="rId898" ref="A472"/>
    <hyperlink r:id="rId899" ref="B472"/>
    <hyperlink r:id="rId900" ref="A473"/>
    <hyperlink r:id="rId901" ref="A474"/>
    <hyperlink r:id="rId902" ref="B474"/>
    <hyperlink r:id="rId903" ref="A475"/>
    <hyperlink r:id="rId904" ref="B475"/>
    <hyperlink r:id="rId905" ref="A476"/>
    <hyperlink r:id="rId906" ref="A477"/>
    <hyperlink r:id="rId907" ref="B477"/>
    <hyperlink r:id="rId908" ref="A478"/>
    <hyperlink r:id="rId909" ref="A479"/>
    <hyperlink r:id="rId910" ref="B479"/>
    <hyperlink r:id="rId911" ref="A481"/>
    <hyperlink r:id="rId912" ref="B481"/>
    <hyperlink r:id="rId913" ref="A482"/>
    <hyperlink r:id="rId914" ref="B483"/>
    <hyperlink r:id="rId915" ref="A484"/>
    <hyperlink r:id="rId916" ref="B484"/>
    <hyperlink r:id="rId917" ref="A486"/>
    <hyperlink r:id="rId918" ref="B486"/>
    <hyperlink r:id="rId919" ref="B487"/>
    <hyperlink r:id="rId920" ref="A488"/>
    <hyperlink r:id="rId921" ref="B488"/>
    <hyperlink r:id="rId922" ref="B489"/>
    <hyperlink r:id="rId923" ref="A490"/>
    <hyperlink r:id="rId924" ref="A491"/>
    <hyperlink r:id="rId925" ref="B491"/>
    <hyperlink r:id="rId926" ref="B492"/>
    <hyperlink r:id="rId927" ref="A493"/>
    <hyperlink r:id="rId928" ref="B493"/>
    <hyperlink r:id="rId929" ref="A494"/>
    <hyperlink r:id="rId930" ref="B494"/>
    <hyperlink r:id="rId931" ref="A495"/>
    <hyperlink r:id="rId932" ref="B495"/>
    <hyperlink r:id="rId933" ref="A496"/>
    <hyperlink r:id="rId934" ref="B496"/>
    <hyperlink r:id="rId935" ref="A498"/>
    <hyperlink r:id="rId936" ref="B498"/>
    <hyperlink r:id="rId937" ref="A499"/>
    <hyperlink r:id="rId938" ref="B499"/>
    <hyperlink r:id="rId939" ref="A500"/>
    <hyperlink r:id="rId940" ref="B500"/>
    <hyperlink r:id="rId941" ref="A501"/>
    <hyperlink r:id="rId942" ref="B501"/>
    <hyperlink r:id="rId943" ref="A502"/>
    <hyperlink r:id="rId944" ref="B502"/>
    <hyperlink r:id="rId945" ref="A503"/>
    <hyperlink r:id="rId946" ref="B503"/>
    <hyperlink r:id="rId947" ref="B504"/>
    <hyperlink r:id="rId948" ref="A505"/>
    <hyperlink r:id="rId949" ref="B505"/>
    <hyperlink r:id="rId950" ref="A506"/>
    <hyperlink r:id="rId951" ref="A507"/>
    <hyperlink r:id="rId952" ref="B507"/>
    <hyperlink r:id="rId953" ref="A508"/>
    <hyperlink r:id="rId954" ref="B508"/>
    <hyperlink r:id="rId955" ref="A509"/>
    <hyperlink r:id="rId956" ref="B509"/>
    <hyperlink r:id="rId957" ref="A510"/>
    <hyperlink r:id="rId958" ref="B510"/>
    <hyperlink r:id="rId959" ref="A511"/>
    <hyperlink r:id="rId960" ref="A512"/>
    <hyperlink r:id="rId961" ref="B512"/>
    <hyperlink r:id="rId962" ref="B513"/>
    <hyperlink r:id="rId963" ref="A514"/>
    <hyperlink r:id="rId964" ref="A515"/>
    <hyperlink r:id="rId965" ref="B515"/>
    <hyperlink r:id="rId966" ref="A516"/>
    <hyperlink r:id="rId967" ref="B516"/>
    <hyperlink r:id="rId968" ref="A517"/>
    <hyperlink r:id="rId969" ref="B518"/>
    <hyperlink r:id="rId970" ref="A519"/>
    <hyperlink r:id="rId971" ref="B519"/>
    <hyperlink r:id="rId972" ref="A520"/>
    <hyperlink r:id="rId973" ref="B520"/>
    <hyperlink r:id="rId974" ref="B521"/>
    <hyperlink r:id="rId975" ref="A522"/>
    <hyperlink r:id="rId976" ref="B522"/>
    <hyperlink r:id="rId977" ref="A523"/>
    <hyperlink r:id="rId978" ref="B523"/>
    <hyperlink r:id="rId979" ref="A525"/>
    <hyperlink r:id="rId980" ref="B525"/>
    <hyperlink r:id="rId981" ref="A526"/>
    <hyperlink r:id="rId982" ref="B526"/>
    <hyperlink r:id="rId983" ref="A527"/>
    <hyperlink r:id="rId984" ref="B527"/>
    <hyperlink r:id="rId985" ref="A528"/>
    <hyperlink r:id="rId986" ref="B528"/>
    <hyperlink r:id="rId987" ref="A529"/>
    <hyperlink r:id="rId988" ref="A530"/>
    <hyperlink r:id="rId989" ref="B530"/>
    <hyperlink r:id="rId990" ref="B531"/>
    <hyperlink r:id="rId991" ref="A532"/>
    <hyperlink r:id="rId992" ref="B532"/>
    <hyperlink r:id="rId993" ref="A533"/>
    <hyperlink r:id="rId994" ref="B533"/>
    <hyperlink r:id="rId995" ref="A534"/>
    <hyperlink r:id="rId996" ref="B534"/>
    <hyperlink r:id="rId997" ref="A535"/>
    <hyperlink r:id="rId998" ref="B535"/>
    <hyperlink r:id="rId999" ref="B536"/>
    <hyperlink r:id="rId1000" ref="A537"/>
    <hyperlink r:id="rId1001" ref="A538"/>
    <hyperlink r:id="rId1002" ref="B538"/>
    <hyperlink r:id="rId1003" ref="A539"/>
    <hyperlink r:id="rId1004" ref="B539"/>
    <hyperlink r:id="rId1005" ref="A540"/>
    <hyperlink r:id="rId1006" ref="B540"/>
    <hyperlink r:id="rId1007" ref="A541"/>
    <hyperlink r:id="rId1008" ref="B541"/>
    <hyperlink r:id="rId1009" ref="A542"/>
    <hyperlink r:id="rId1010" ref="B542"/>
    <hyperlink r:id="rId1011" ref="A543"/>
    <hyperlink r:id="rId1012" ref="B543"/>
    <hyperlink r:id="rId1013" ref="B544"/>
    <hyperlink r:id="rId1014" ref="A545"/>
    <hyperlink r:id="rId1015" ref="B545"/>
    <hyperlink r:id="rId1016" ref="A546"/>
    <hyperlink r:id="rId1017" ref="B546"/>
    <hyperlink r:id="rId1018" ref="A547"/>
    <hyperlink r:id="rId1019" ref="A548"/>
    <hyperlink r:id="rId1020" ref="B548"/>
    <hyperlink r:id="rId1021" ref="A549"/>
    <hyperlink r:id="rId1022" ref="A550"/>
    <hyperlink r:id="rId1023" ref="B550"/>
    <hyperlink r:id="rId1024" ref="A551"/>
    <hyperlink r:id="rId1025" ref="B551"/>
    <hyperlink r:id="rId1026" ref="A552"/>
    <hyperlink r:id="rId1027" ref="B552"/>
    <hyperlink r:id="rId1028" ref="A553"/>
    <hyperlink r:id="rId1029" ref="B554"/>
    <hyperlink r:id="rId1030" ref="A555"/>
    <hyperlink r:id="rId1031" ref="B555"/>
    <hyperlink r:id="rId1032" ref="A557"/>
    <hyperlink r:id="rId1033" ref="B557"/>
    <hyperlink r:id="rId1034" ref="A558"/>
    <hyperlink r:id="rId1035" ref="B558"/>
    <hyperlink r:id="rId1036" ref="A559"/>
    <hyperlink r:id="rId1037" ref="B559"/>
    <hyperlink r:id="rId1038" ref="B560"/>
    <hyperlink r:id="rId1039" ref="A561"/>
    <hyperlink r:id="rId1040" ref="B561"/>
    <hyperlink r:id="rId1041" ref="A562"/>
    <hyperlink r:id="rId1042" ref="B562"/>
    <hyperlink r:id="rId1043" ref="B563"/>
    <hyperlink r:id="rId1044" ref="A564"/>
    <hyperlink r:id="rId1045" ref="B564"/>
    <hyperlink r:id="rId1046" ref="A565"/>
    <hyperlink r:id="rId1047" ref="B565"/>
    <hyperlink r:id="rId1048" ref="A566"/>
    <hyperlink r:id="rId1049" ref="B566"/>
    <hyperlink r:id="rId1050" ref="A567"/>
    <hyperlink r:id="rId1051" ref="A568"/>
    <hyperlink r:id="rId1052" ref="A569"/>
    <hyperlink r:id="rId1053" ref="B569"/>
    <hyperlink r:id="rId1054" ref="A570"/>
    <hyperlink r:id="rId1055" ref="B570"/>
    <hyperlink r:id="rId1056" ref="A571"/>
    <hyperlink r:id="rId1057" ref="B571"/>
    <hyperlink r:id="rId1058" ref="A572"/>
    <hyperlink r:id="rId1059" ref="B572"/>
    <hyperlink r:id="rId1060" ref="A573"/>
    <hyperlink r:id="rId1061" ref="B574"/>
    <hyperlink r:id="rId1062" ref="A576"/>
    <hyperlink r:id="rId1063" ref="B576"/>
    <hyperlink r:id="rId1064" ref="A577"/>
    <hyperlink r:id="rId1065" ref="B577"/>
    <hyperlink r:id="rId1066" ref="A578"/>
    <hyperlink r:id="rId1067" ref="B578"/>
    <hyperlink r:id="rId1068" ref="A579"/>
    <hyperlink r:id="rId1069" ref="B579"/>
    <hyperlink r:id="rId1070" ref="B580"/>
    <hyperlink r:id="rId1071" ref="A581"/>
    <hyperlink r:id="rId1072" ref="B582"/>
    <hyperlink r:id="rId1073" ref="A583"/>
    <hyperlink r:id="rId1074" ref="B583"/>
    <hyperlink r:id="rId1075" ref="A584"/>
    <hyperlink r:id="rId1076" ref="B584"/>
    <hyperlink r:id="rId1077" ref="A585"/>
    <hyperlink r:id="rId1078" ref="B585"/>
    <hyperlink r:id="rId1079" ref="A586"/>
    <hyperlink r:id="rId1080" ref="B586"/>
    <hyperlink r:id="rId1081" ref="A587"/>
    <hyperlink r:id="rId1082" ref="B587"/>
    <hyperlink r:id="rId1083" ref="B588"/>
    <hyperlink r:id="rId1084" ref="A589"/>
    <hyperlink r:id="rId1085" ref="B589"/>
    <hyperlink r:id="rId1086" ref="A590"/>
    <hyperlink r:id="rId1087" ref="B590"/>
    <hyperlink r:id="rId1088" ref="A591"/>
    <hyperlink r:id="rId1089" ref="B591"/>
    <hyperlink r:id="rId1090" ref="A592"/>
    <hyperlink r:id="rId1091" ref="B592"/>
    <hyperlink r:id="rId1092" ref="A593"/>
    <hyperlink r:id="rId1093" ref="B593"/>
    <hyperlink r:id="rId1094" ref="A594"/>
    <hyperlink r:id="rId1095" ref="B594"/>
    <hyperlink r:id="rId1096" ref="A595"/>
    <hyperlink r:id="rId1097" ref="B595"/>
    <hyperlink r:id="rId1098" ref="A596"/>
    <hyperlink r:id="rId1099" ref="B596"/>
    <hyperlink r:id="rId1100" ref="A597"/>
    <hyperlink r:id="rId1101" ref="B597"/>
    <hyperlink r:id="rId1102" ref="A598"/>
    <hyperlink r:id="rId1103" ref="B598"/>
    <hyperlink r:id="rId1104" ref="A599"/>
    <hyperlink r:id="rId1105" ref="B599"/>
    <hyperlink r:id="rId1106" ref="A600"/>
    <hyperlink r:id="rId1107" ref="B600"/>
    <hyperlink r:id="rId1108" ref="A601"/>
    <hyperlink r:id="rId1109" ref="B601"/>
    <hyperlink r:id="rId1110" ref="A602"/>
    <hyperlink r:id="rId1111" ref="B602"/>
    <hyperlink r:id="rId1112" ref="A603"/>
    <hyperlink r:id="rId1113" ref="B603"/>
    <hyperlink r:id="rId1114" ref="A604"/>
    <hyperlink r:id="rId1115" ref="B604"/>
    <hyperlink r:id="rId1116" ref="A605"/>
    <hyperlink r:id="rId1117" ref="B605"/>
    <hyperlink r:id="rId1118" ref="A606"/>
    <hyperlink r:id="rId1119" ref="B606"/>
    <hyperlink r:id="rId1120" ref="A607"/>
    <hyperlink r:id="rId1121" ref="B607"/>
    <hyperlink r:id="rId1122" ref="A608"/>
    <hyperlink r:id="rId1123" ref="B608"/>
    <hyperlink r:id="rId1124" ref="A609"/>
    <hyperlink r:id="rId1125" ref="B609"/>
    <hyperlink r:id="rId1126" ref="A610"/>
    <hyperlink r:id="rId1127" ref="B610"/>
    <hyperlink r:id="rId1128" ref="A611"/>
    <hyperlink r:id="rId1129" ref="A612"/>
    <hyperlink r:id="rId1130" ref="B612"/>
    <hyperlink r:id="rId1131" ref="A613"/>
    <hyperlink r:id="rId1132" ref="B613"/>
    <hyperlink r:id="rId1133" ref="A614"/>
    <hyperlink r:id="rId1134" ref="A615"/>
    <hyperlink r:id="rId1135" ref="B615"/>
    <hyperlink r:id="rId1136" ref="A616"/>
    <hyperlink r:id="rId1137" ref="B616"/>
    <hyperlink r:id="rId1138" ref="A617"/>
    <hyperlink r:id="rId1139" ref="A618"/>
    <hyperlink r:id="rId1140" ref="B618"/>
    <hyperlink r:id="rId1141" ref="A619"/>
    <hyperlink r:id="rId1142" ref="B619"/>
    <hyperlink r:id="rId1143" ref="B620"/>
    <hyperlink r:id="rId1144" ref="A621"/>
    <hyperlink r:id="rId1145" ref="B621"/>
    <hyperlink r:id="rId1146" ref="A622"/>
    <hyperlink r:id="rId1147" ref="B622"/>
    <hyperlink r:id="rId1148" ref="B623"/>
    <hyperlink r:id="rId1149" ref="A624"/>
    <hyperlink r:id="rId1150" ref="B624"/>
    <hyperlink r:id="rId1151" ref="A625"/>
    <hyperlink r:id="rId1152" ref="B625"/>
    <hyperlink r:id="rId1153" ref="B626"/>
    <hyperlink r:id="rId1154" ref="A627"/>
    <hyperlink r:id="rId1155" ref="B627"/>
    <hyperlink r:id="rId1156" ref="A628"/>
    <hyperlink r:id="rId1157" ref="B628"/>
    <hyperlink r:id="rId1158" ref="A629"/>
    <hyperlink r:id="rId1159" ref="B629"/>
    <hyperlink r:id="rId1160" ref="A630"/>
    <hyperlink r:id="rId1161" ref="B630"/>
    <hyperlink r:id="rId1162" ref="A631"/>
    <hyperlink r:id="rId1163" ref="A632"/>
    <hyperlink r:id="rId1164" ref="B632"/>
    <hyperlink r:id="rId1165" ref="A633"/>
    <hyperlink r:id="rId1166" ref="B633"/>
    <hyperlink r:id="rId1167" ref="A634"/>
    <hyperlink r:id="rId1168" ref="B634"/>
    <hyperlink r:id="rId1169" ref="A635"/>
    <hyperlink r:id="rId1170" ref="B635"/>
    <hyperlink r:id="rId1171" ref="A636"/>
    <hyperlink r:id="rId1172" ref="B636"/>
    <hyperlink r:id="rId1173" ref="A637"/>
    <hyperlink r:id="rId1174" ref="B637"/>
    <hyperlink r:id="rId1175" ref="A638"/>
    <hyperlink r:id="rId1176" ref="B638"/>
    <hyperlink r:id="rId1177" ref="A639"/>
    <hyperlink r:id="rId1178" ref="B639"/>
    <hyperlink r:id="rId1179" ref="A640"/>
    <hyperlink r:id="rId1180" ref="B640"/>
    <hyperlink r:id="rId1181" ref="B641"/>
    <hyperlink r:id="rId1182" ref="A642"/>
    <hyperlink r:id="rId1183" ref="A643"/>
    <hyperlink r:id="rId1184" ref="B643"/>
    <hyperlink r:id="rId1185" ref="A644"/>
    <hyperlink r:id="rId1186" ref="B644"/>
    <hyperlink r:id="rId1187" ref="A645"/>
    <hyperlink r:id="rId1188" ref="B645"/>
    <hyperlink r:id="rId1189" ref="A646"/>
    <hyperlink r:id="rId1190" ref="B646"/>
    <hyperlink r:id="rId1191" ref="A647"/>
    <hyperlink r:id="rId1192" ref="B647"/>
    <hyperlink r:id="rId1193" ref="A648"/>
    <hyperlink r:id="rId1194" ref="B648"/>
    <hyperlink r:id="rId1195" ref="A649"/>
    <hyperlink r:id="rId1196" ref="B649"/>
    <hyperlink r:id="rId1197" ref="A650"/>
    <hyperlink r:id="rId1198" ref="B650"/>
    <hyperlink r:id="rId1199" ref="A651"/>
    <hyperlink r:id="rId1200" ref="B651"/>
    <hyperlink r:id="rId1201" ref="B652"/>
    <hyperlink r:id="rId1202" ref="A653"/>
    <hyperlink r:id="rId1203" ref="B653"/>
    <hyperlink r:id="rId1204" ref="A654"/>
    <hyperlink r:id="rId1205" ref="B654"/>
    <hyperlink r:id="rId1206" ref="A655"/>
    <hyperlink r:id="rId1207" ref="B655"/>
    <hyperlink r:id="rId1208" ref="A656"/>
    <hyperlink r:id="rId1209" ref="B656"/>
    <hyperlink r:id="rId1210" ref="A657"/>
    <hyperlink r:id="rId1211" ref="B657"/>
    <hyperlink r:id="rId1212" ref="A658"/>
    <hyperlink r:id="rId1213" ref="B658"/>
    <hyperlink r:id="rId1214" ref="A659"/>
    <hyperlink r:id="rId1215" ref="B659"/>
    <hyperlink r:id="rId1216" ref="A660"/>
    <hyperlink r:id="rId1217" ref="B660"/>
    <hyperlink r:id="rId1218" ref="A661"/>
    <hyperlink r:id="rId1219" ref="B661"/>
    <hyperlink r:id="rId1220" ref="A662"/>
    <hyperlink r:id="rId1221" ref="B662"/>
    <hyperlink r:id="rId1222" ref="A663"/>
    <hyperlink r:id="rId1223" ref="B663"/>
    <hyperlink r:id="rId1224" ref="A664"/>
    <hyperlink r:id="rId1225" ref="B664"/>
    <hyperlink r:id="rId1226" ref="A665"/>
    <hyperlink r:id="rId1227" ref="B665"/>
    <hyperlink r:id="rId1228" ref="A666"/>
    <hyperlink r:id="rId1229" ref="B666"/>
    <hyperlink r:id="rId1230" ref="A667"/>
    <hyperlink r:id="rId1231" ref="B667"/>
    <hyperlink r:id="rId1232" ref="A668"/>
    <hyperlink r:id="rId1233" ref="B668"/>
    <hyperlink r:id="rId1234" ref="A669"/>
    <hyperlink r:id="rId1235" ref="B669"/>
    <hyperlink r:id="rId1236" ref="A670"/>
    <hyperlink r:id="rId1237" ref="B670"/>
    <hyperlink r:id="rId1238" ref="A671"/>
    <hyperlink r:id="rId1239" ref="B671"/>
    <hyperlink r:id="rId1240" ref="A672"/>
    <hyperlink r:id="rId1241" ref="B672"/>
    <hyperlink r:id="rId1242" ref="A673"/>
    <hyperlink r:id="rId1243" ref="B673"/>
    <hyperlink r:id="rId1244" ref="A674"/>
    <hyperlink r:id="rId1245" ref="A675"/>
    <hyperlink r:id="rId1246" ref="B675"/>
    <hyperlink r:id="rId1247" ref="A676"/>
    <hyperlink r:id="rId1248" ref="B676"/>
    <hyperlink r:id="rId1249" ref="A677"/>
    <hyperlink r:id="rId1250" ref="B677"/>
    <hyperlink r:id="rId1251" ref="A678"/>
    <hyperlink r:id="rId1252" ref="B678"/>
    <hyperlink r:id="rId1253" ref="A679"/>
    <hyperlink r:id="rId1254" ref="B679"/>
    <hyperlink r:id="rId1255" ref="A680"/>
    <hyperlink r:id="rId1256" ref="B680"/>
    <hyperlink r:id="rId1257" ref="A681"/>
    <hyperlink r:id="rId1258" ref="B681"/>
    <hyperlink r:id="rId1259" ref="A682"/>
    <hyperlink r:id="rId1260" ref="B682"/>
    <hyperlink r:id="rId1261" ref="A683"/>
    <hyperlink r:id="rId1262" ref="B683"/>
    <hyperlink r:id="rId1263" ref="B684"/>
    <hyperlink r:id="rId1264" ref="A685"/>
    <hyperlink r:id="rId1265" ref="B685"/>
    <hyperlink r:id="rId1266" ref="A686"/>
    <hyperlink r:id="rId1267" ref="B686"/>
    <hyperlink r:id="rId1268" ref="A687"/>
    <hyperlink r:id="rId1269" ref="B687"/>
    <hyperlink r:id="rId1270" ref="A688"/>
    <hyperlink r:id="rId1271" ref="B688"/>
    <hyperlink r:id="rId1272" ref="A689"/>
    <hyperlink r:id="rId1273" ref="B689"/>
    <hyperlink r:id="rId1274" ref="A690"/>
    <hyperlink r:id="rId1275" ref="B690"/>
    <hyperlink r:id="rId1276" ref="A691"/>
    <hyperlink r:id="rId1277" ref="B691"/>
    <hyperlink r:id="rId1278" ref="A692"/>
    <hyperlink r:id="rId1279" ref="B692"/>
    <hyperlink r:id="rId1280" ref="A693"/>
    <hyperlink r:id="rId1281" ref="B693"/>
    <hyperlink r:id="rId1282" ref="A694"/>
    <hyperlink r:id="rId1283" ref="B694"/>
    <hyperlink r:id="rId1284" ref="A695"/>
    <hyperlink r:id="rId1285" ref="B695"/>
    <hyperlink r:id="rId1286" ref="A696"/>
    <hyperlink r:id="rId1287" ref="B696"/>
    <hyperlink r:id="rId1288" ref="A697"/>
    <hyperlink r:id="rId1289" ref="B697"/>
    <hyperlink r:id="rId1290" ref="A698"/>
    <hyperlink r:id="rId1291" ref="B698"/>
    <hyperlink r:id="rId1292" ref="A699"/>
    <hyperlink r:id="rId1293" ref="B699"/>
    <hyperlink r:id="rId1294" ref="A700"/>
    <hyperlink r:id="rId1295" ref="B700"/>
    <hyperlink r:id="rId1296" ref="A701"/>
    <hyperlink r:id="rId1297" ref="B701"/>
    <hyperlink r:id="rId1298" ref="A702"/>
    <hyperlink r:id="rId1299" ref="B702"/>
    <hyperlink r:id="rId1300" ref="A703"/>
    <hyperlink r:id="rId1301" ref="B703"/>
    <hyperlink r:id="rId1302" ref="A704"/>
    <hyperlink r:id="rId1303" ref="B704"/>
    <hyperlink r:id="rId1304" ref="A705"/>
    <hyperlink r:id="rId1305" ref="B705"/>
    <hyperlink r:id="rId1306" ref="A706"/>
    <hyperlink r:id="rId1307" ref="B706"/>
    <hyperlink r:id="rId1308" ref="A707"/>
    <hyperlink r:id="rId1309" ref="B707"/>
    <hyperlink r:id="rId1310" ref="A708"/>
    <hyperlink r:id="rId1311" ref="B708"/>
    <hyperlink r:id="rId1312" ref="A709"/>
    <hyperlink r:id="rId1313" ref="B709"/>
    <hyperlink r:id="rId1314" ref="A710"/>
    <hyperlink r:id="rId1315" ref="B710"/>
    <hyperlink r:id="rId1316" ref="A711"/>
    <hyperlink r:id="rId1317" ref="B711"/>
    <hyperlink r:id="rId1318" ref="A712"/>
    <hyperlink r:id="rId1319" ref="B712"/>
    <hyperlink r:id="rId1320" ref="A713"/>
    <hyperlink r:id="rId1321" ref="B713"/>
    <hyperlink r:id="rId1322" ref="A714"/>
    <hyperlink r:id="rId1323" ref="B714"/>
    <hyperlink r:id="rId1324" ref="A715"/>
    <hyperlink r:id="rId1325" ref="B715"/>
    <hyperlink r:id="rId1326" ref="A716"/>
    <hyperlink r:id="rId1327" ref="B716"/>
    <hyperlink r:id="rId1328" ref="A717"/>
    <hyperlink r:id="rId1329" ref="B717"/>
    <hyperlink r:id="rId1330" ref="A718"/>
    <hyperlink r:id="rId1331" ref="A719"/>
    <hyperlink r:id="rId1332" ref="B719"/>
    <hyperlink r:id="rId1333" ref="A720"/>
    <hyperlink r:id="rId1334" ref="B720"/>
    <hyperlink r:id="rId1335" ref="A721"/>
    <hyperlink r:id="rId1336" ref="B721"/>
    <hyperlink r:id="rId1337" ref="A722"/>
    <hyperlink r:id="rId1338" ref="B722"/>
    <hyperlink r:id="rId1339" ref="A723"/>
    <hyperlink r:id="rId1340" ref="B723"/>
    <hyperlink r:id="rId1341" ref="A724"/>
    <hyperlink r:id="rId1342" ref="B724"/>
    <hyperlink r:id="rId1343" ref="A725"/>
    <hyperlink r:id="rId1344" ref="B725"/>
    <hyperlink r:id="rId1345" ref="A726"/>
    <hyperlink r:id="rId1346" ref="B726"/>
    <hyperlink r:id="rId1347" ref="A727"/>
    <hyperlink r:id="rId1348" ref="B727"/>
    <hyperlink r:id="rId1349" ref="B728"/>
    <hyperlink r:id="rId1350" ref="A729"/>
    <hyperlink r:id="rId1351" ref="B729"/>
    <hyperlink r:id="rId1352" ref="A730"/>
    <hyperlink r:id="rId1353" ref="B730"/>
    <hyperlink r:id="rId1354" ref="A731"/>
    <hyperlink r:id="rId1355" ref="B731"/>
    <hyperlink r:id="rId1356" ref="A732"/>
    <hyperlink r:id="rId1357" ref="B732"/>
    <hyperlink r:id="rId1358" ref="A733"/>
    <hyperlink r:id="rId1359" ref="B733"/>
    <hyperlink r:id="rId1360" ref="A734"/>
    <hyperlink r:id="rId1361" ref="B734"/>
    <hyperlink r:id="rId1362" ref="A735"/>
    <hyperlink r:id="rId1363" ref="B735"/>
    <hyperlink r:id="rId1364" ref="A736"/>
    <hyperlink r:id="rId1365" ref="B736"/>
    <hyperlink r:id="rId1366" ref="A737"/>
    <hyperlink r:id="rId1367" ref="B737"/>
    <hyperlink r:id="rId1368" ref="A738"/>
    <hyperlink r:id="rId1369" ref="B738"/>
    <hyperlink r:id="rId1370" ref="A739"/>
    <hyperlink r:id="rId1371" ref="B739"/>
    <hyperlink r:id="rId1372" ref="A740"/>
    <hyperlink r:id="rId1373" ref="A741"/>
    <hyperlink r:id="rId1374" ref="A742"/>
    <hyperlink r:id="rId1375" ref="A743"/>
    <hyperlink r:id="rId1376" ref="B743"/>
    <hyperlink r:id="rId1377" ref="A744"/>
    <hyperlink r:id="rId1378" ref="A745"/>
    <hyperlink r:id="rId1379" ref="B745"/>
    <hyperlink r:id="rId1380" ref="A746"/>
    <hyperlink r:id="rId1381" ref="B746"/>
    <hyperlink r:id="rId1382" ref="A747"/>
    <hyperlink r:id="rId1383" ref="B747"/>
    <hyperlink r:id="rId1384" ref="A748"/>
    <hyperlink r:id="rId1385" ref="B748"/>
    <hyperlink r:id="rId1386" ref="A749"/>
    <hyperlink r:id="rId1387" ref="B749"/>
    <hyperlink r:id="rId1388" ref="A750"/>
    <hyperlink r:id="rId1389" ref="B750"/>
    <hyperlink r:id="rId1390" ref="B751"/>
    <hyperlink r:id="rId1391" ref="B752"/>
    <hyperlink r:id="rId1392" ref="B753"/>
    <hyperlink r:id="rId1393" ref="A754"/>
    <hyperlink r:id="rId1394" ref="B754"/>
    <hyperlink r:id="rId1395" ref="B755"/>
    <hyperlink r:id="rId1396" ref="A756"/>
    <hyperlink r:id="rId1397" ref="B756"/>
    <hyperlink r:id="rId1398" ref="A757"/>
    <hyperlink r:id="rId1399" ref="B757"/>
    <hyperlink r:id="rId1400" ref="A758"/>
    <hyperlink r:id="rId1401" ref="B758"/>
    <hyperlink r:id="rId1402" ref="A759"/>
    <hyperlink r:id="rId1403" ref="B759"/>
    <hyperlink r:id="rId1404" ref="A760"/>
    <hyperlink r:id="rId1405" ref="B760"/>
    <hyperlink r:id="rId1406" ref="A761"/>
    <hyperlink r:id="rId1407" ref="B761"/>
    <hyperlink r:id="rId1408" ref="A762"/>
    <hyperlink r:id="rId1409" ref="A763"/>
    <hyperlink r:id="rId1410" ref="B763"/>
    <hyperlink r:id="rId1411" ref="A764"/>
    <hyperlink r:id="rId1412" ref="B764"/>
    <hyperlink r:id="rId1413" ref="A765"/>
    <hyperlink r:id="rId1414" ref="A766"/>
    <hyperlink r:id="rId1415" ref="B766"/>
    <hyperlink r:id="rId1416" ref="A767"/>
    <hyperlink r:id="rId1417" ref="B767"/>
    <hyperlink r:id="rId1418" ref="A768"/>
    <hyperlink r:id="rId1419" ref="A769"/>
    <hyperlink r:id="rId1420" ref="B769"/>
    <hyperlink r:id="rId1421" ref="A770"/>
    <hyperlink r:id="rId1422" ref="B770"/>
    <hyperlink r:id="rId1423" ref="A771"/>
    <hyperlink r:id="rId1424" ref="B771"/>
    <hyperlink r:id="rId1425" ref="A772"/>
    <hyperlink r:id="rId1426" ref="B772"/>
    <hyperlink r:id="rId1427" ref="B773"/>
    <hyperlink r:id="rId1428" ref="A774"/>
    <hyperlink r:id="rId1429" ref="B774"/>
    <hyperlink r:id="rId1430" ref="A775"/>
    <hyperlink r:id="rId1431" ref="B775"/>
    <hyperlink r:id="rId1432" ref="B776"/>
    <hyperlink r:id="rId1433" ref="A777"/>
    <hyperlink r:id="rId1434" ref="B777"/>
    <hyperlink r:id="rId1435" ref="A778"/>
    <hyperlink r:id="rId1436" ref="B778"/>
    <hyperlink r:id="rId1437" ref="B779"/>
    <hyperlink r:id="rId1438" ref="A780"/>
    <hyperlink r:id="rId1439" ref="B780"/>
    <hyperlink r:id="rId1440" ref="A781"/>
    <hyperlink r:id="rId1441" ref="B781"/>
    <hyperlink r:id="rId1442" ref="A782"/>
    <hyperlink r:id="rId1443" ref="B782"/>
    <hyperlink r:id="rId1444" ref="A783"/>
    <hyperlink r:id="rId1445" ref="A784"/>
    <hyperlink r:id="rId1446" ref="B784"/>
    <hyperlink r:id="rId1447" ref="A785"/>
    <hyperlink r:id="rId1448" ref="B785"/>
    <hyperlink r:id="rId1449" ref="A786"/>
    <hyperlink r:id="rId1450" ref="B786"/>
    <hyperlink r:id="rId1451" ref="A787"/>
    <hyperlink r:id="rId1452" ref="B787"/>
    <hyperlink r:id="rId1453" ref="A788"/>
    <hyperlink r:id="rId1454" ref="A789"/>
    <hyperlink r:id="rId1455" ref="B789"/>
    <hyperlink r:id="rId1456" ref="A790"/>
    <hyperlink r:id="rId1457" ref="B790"/>
    <hyperlink r:id="rId1458" ref="A791"/>
    <hyperlink r:id="rId1459" ref="B791"/>
    <hyperlink r:id="rId1460" ref="A792"/>
    <hyperlink r:id="rId1461" ref="B792"/>
    <hyperlink r:id="rId1462" ref="A793"/>
    <hyperlink r:id="rId1463" ref="B793"/>
    <hyperlink r:id="rId1464" ref="B794"/>
    <hyperlink r:id="rId1465" ref="A795"/>
    <hyperlink r:id="rId1466" ref="B795"/>
    <hyperlink r:id="rId1467" ref="A796"/>
    <hyperlink r:id="rId1468" ref="B796"/>
    <hyperlink r:id="rId1469" ref="A797"/>
    <hyperlink r:id="rId1470" ref="B797"/>
    <hyperlink r:id="rId1471" ref="A798"/>
    <hyperlink r:id="rId1472" ref="B798"/>
    <hyperlink r:id="rId1473" ref="B799"/>
    <hyperlink r:id="rId1474" ref="A800"/>
    <hyperlink r:id="rId1475" ref="B800"/>
    <hyperlink r:id="rId1476" ref="A801"/>
    <hyperlink r:id="rId1477" ref="B801"/>
    <hyperlink r:id="rId1478" ref="A802"/>
    <hyperlink r:id="rId1479" ref="B802"/>
    <hyperlink r:id="rId1480" ref="A803"/>
    <hyperlink r:id="rId1481" ref="B803"/>
    <hyperlink r:id="rId1482" ref="A804"/>
    <hyperlink r:id="rId1483" ref="B804"/>
    <hyperlink r:id="rId1484" ref="A805"/>
    <hyperlink r:id="rId1485" ref="B805"/>
    <hyperlink r:id="rId1486" ref="A806"/>
    <hyperlink r:id="rId1487" ref="B806"/>
    <hyperlink r:id="rId1488" ref="A807"/>
    <hyperlink r:id="rId1489" ref="B807"/>
    <hyperlink r:id="rId1490" ref="A808"/>
    <hyperlink r:id="rId1491" ref="B808"/>
    <hyperlink r:id="rId1492" ref="A809"/>
    <hyperlink r:id="rId1493" ref="B809"/>
    <hyperlink r:id="rId1494" ref="A810"/>
    <hyperlink r:id="rId1495" ref="B810"/>
    <hyperlink r:id="rId1496" ref="A811"/>
    <hyperlink r:id="rId1497" ref="B811"/>
    <hyperlink r:id="rId1498" ref="A812"/>
    <hyperlink r:id="rId1499" ref="A813"/>
    <hyperlink r:id="rId1500" ref="B813"/>
    <hyperlink r:id="rId1501" ref="A814"/>
    <hyperlink r:id="rId1502" ref="B814"/>
    <hyperlink r:id="rId1503" ref="A815"/>
    <hyperlink r:id="rId1504" ref="B815"/>
    <hyperlink r:id="rId1505" ref="A816"/>
    <hyperlink r:id="rId1506" ref="B816"/>
    <hyperlink r:id="rId1507" ref="A817"/>
    <hyperlink r:id="rId1508" ref="B817"/>
    <hyperlink r:id="rId1509" ref="A818"/>
    <hyperlink r:id="rId1510" ref="B818"/>
    <hyperlink r:id="rId1511" ref="A819"/>
    <hyperlink r:id="rId1512" ref="B819"/>
    <hyperlink r:id="rId1513" ref="A820"/>
    <hyperlink r:id="rId1514" ref="B820"/>
    <hyperlink r:id="rId1515" ref="A821"/>
    <hyperlink r:id="rId1516" ref="B821"/>
    <hyperlink r:id="rId1517" ref="A822"/>
    <hyperlink r:id="rId1518" ref="B823"/>
    <hyperlink r:id="rId1519" ref="A824"/>
    <hyperlink r:id="rId1520" ref="B824"/>
    <hyperlink r:id="rId1521" ref="A825"/>
    <hyperlink r:id="rId1522" ref="B825"/>
    <hyperlink r:id="rId1523" ref="A826"/>
    <hyperlink r:id="rId1524" ref="B826"/>
    <hyperlink r:id="rId1525" ref="A827"/>
    <hyperlink r:id="rId1526" ref="B827"/>
    <hyperlink r:id="rId1527" ref="A828"/>
    <hyperlink r:id="rId1528" ref="B828"/>
    <hyperlink r:id="rId1529" ref="A829"/>
    <hyperlink r:id="rId1530" ref="B829"/>
    <hyperlink r:id="rId1531" ref="A830"/>
    <hyperlink r:id="rId1532" ref="B830"/>
    <hyperlink r:id="rId1533" ref="A831"/>
    <hyperlink r:id="rId1534" ref="B831"/>
    <hyperlink r:id="rId1535" ref="A832"/>
    <hyperlink r:id="rId1536" ref="B832"/>
    <hyperlink r:id="rId1537" ref="B833"/>
    <hyperlink r:id="rId1538" ref="A834"/>
    <hyperlink r:id="rId1539" ref="B834"/>
    <hyperlink r:id="rId1540" ref="A835"/>
    <hyperlink r:id="rId1541" ref="B835"/>
    <hyperlink r:id="rId1542" ref="A836"/>
    <hyperlink r:id="rId1543" ref="B836"/>
    <hyperlink r:id="rId1544" ref="A837"/>
    <hyperlink r:id="rId1545" ref="B837"/>
    <hyperlink r:id="rId1546" ref="A838"/>
    <hyperlink r:id="rId1547" ref="B838"/>
    <hyperlink r:id="rId1548" ref="A839"/>
    <hyperlink r:id="rId1549" ref="B839"/>
    <hyperlink r:id="rId1550" ref="A840"/>
    <hyperlink r:id="rId1551" ref="B840"/>
    <hyperlink r:id="rId1552" ref="A841"/>
    <hyperlink r:id="rId1553" ref="B841"/>
    <hyperlink r:id="rId1554" ref="A842"/>
    <hyperlink r:id="rId1555" ref="B842"/>
    <hyperlink r:id="rId1556" ref="A843"/>
    <hyperlink r:id="rId1557" ref="B843"/>
    <hyperlink r:id="rId1558" ref="A844"/>
    <hyperlink r:id="rId1559" ref="B844"/>
    <hyperlink r:id="rId1560" ref="A845"/>
    <hyperlink r:id="rId1561" ref="B845"/>
    <hyperlink r:id="rId1562" ref="A846"/>
    <hyperlink r:id="rId1563" ref="B846"/>
    <hyperlink r:id="rId1564" ref="A847"/>
    <hyperlink r:id="rId1565" ref="B847"/>
    <hyperlink r:id="rId1566" ref="A848"/>
    <hyperlink r:id="rId1567" ref="B848"/>
    <hyperlink r:id="rId1568" ref="A849"/>
    <hyperlink r:id="rId1569" ref="B849"/>
    <hyperlink r:id="rId1570" ref="A850"/>
    <hyperlink r:id="rId1571" ref="B850"/>
    <hyperlink r:id="rId1572" ref="A851"/>
    <hyperlink r:id="rId1573" ref="B851"/>
    <hyperlink r:id="rId1574" ref="A852"/>
    <hyperlink r:id="rId1575" ref="B852"/>
    <hyperlink r:id="rId1576" ref="A853"/>
    <hyperlink r:id="rId1577" ref="B853"/>
    <hyperlink r:id="rId1578" ref="A854"/>
    <hyperlink r:id="rId1579" ref="B854"/>
    <hyperlink r:id="rId1580" ref="A855"/>
    <hyperlink r:id="rId1581" ref="B855"/>
    <hyperlink r:id="rId1582" ref="A856"/>
    <hyperlink r:id="rId1583" ref="B856"/>
    <hyperlink r:id="rId1584" ref="A857"/>
    <hyperlink r:id="rId1585" ref="B857"/>
    <hyperlink r:id="rId1586" ref="A858"/>
    <hyperlink r:id="rId1587" ref="A859"/>
    <hyperlink r:id="rId1588" ref="B859"/>
    <hyperlink r:id="rId1589" ref="A860"/>
    <hyperlink r:id="rId1590" ref="B860"/>
    <hyperlink r:id="rId1591" ref="A861"/>
    <hyperlink r:id="rId1592" ref="B861"/>
    <hyperlink r:id="rId1593" ref="A862"/>
    <hyperlink r:id="rId1594" ref="B862"/>
    <hyperlink r:id="rId1595" ref="A863"/>
    <hyperlink r:id="rId1596" ref="B863"/>
    <hyperlink r:id="rId1597" ref="A864"/>
    <hyperlink r:id="rId1598" ref="B864"/>
    <hyperlink r:id="rId1599" ref="A865"/>
    <hyperlink r:id="rId1600" ref="B865"/>
    <hyperlink r:id="rId1601" ref="A866"/>
    <hyperlink r:id="rId1602" ref="B866"/>
    <hyperlink r:id="rId1603" ref="A867"/>
    <hyperlink r:id="rId1604" ref="B867"/>
    <hyperlink r:id="rId1605" ref="A868"/>
    <hyperlink r:id="rId1606" ref="B868"/>
    <hyperlink r:id="rId1607" ref="B869"/>
    <hyperlink r:id="rId1608" ref="A870"/>
    <hyperlink r:id="rId1609" ref="B870"/>
    <hyperlink r:id="rId1610" ref="A871"/>
    <hyperlink r:id="rId1611" ref="B871"/>
    <hyperlink r:id="rId1612" ref="A872"/>
    <hyperlink r:id="rId1613" ref="B872"/>
    <hyperlink r:id="rId1614" ref="A873"/>
    <hyperlink r:id="rId1615" ref="B873"/>
    <hyperlink r:id="rId1616" ref="A874"/>
    <hyperlink r:id="rId1617" ref="B874"/>
    <hyperlink r:id="rId1618" ref="A875"/>
    <hyperlink r:id="rId1619" ref="B875"/>
    <hyperlink r:id="rId1620" ref="A876"/>
    <hyperlink r:id="rId1621" ref="B876"/>
    <hyperlink r:id="rId1622" ref="A877"/>
    <hyperlink r:id="rId1623" ref="B877"/>
    <hyperlink r:id="rId1624" ref="A878"/>
    <hyperlink r:id="rId1625" ref="B878"/>
    <hyperlink r:id="rId1626" ref="A879"/>
    <hyperlink r:id="rId1627" ref="B879"/>
    <hyperlink r:id="rId1628" ref="A880"/>
    <hyperlink r:id="rId1629" ref="B880"/>
    <hyperlink r:id="rId1630" ref="A881"/>
    <hyperlink r:id="rId1631" ref="B881"/>
    <hyperlink r:id="rId1632" ref="A882"/>
    <hyperlink r:id="rId1633" ref="B882"/>
    <hyperlink r:id="rId1634" ref="A883"/>
    <hyperlink r:id="rId1635" ref="B883"/>
    <hyperlink r:id="rId1636" ref="A884"/>
    <hyperlink r:id="rId1637" ref="A885"/>
    <hyperlink r:id="rId1638" ref="B885"/>
    <hyperlink r:id="rId1639" ref="A886"/>
    <hyperlink r:id="rId1640" ref="B886"/>
    <hyperlink r:id="rId1641" ref="A887"/>
    <hyperlink r:id="rId1642" ref="B887"/>
    <hyperlink r:id="rId1643" ref="A888"/>
    <hyperlink r:id="rId1644" ref="B888"/>
    <hyperlink r:id="rId1645" ref="A889"/>
    <hyperlink r:id="rId1646" ref="B889"/>
    <hyperlink r:id="rId1647" ref="A890"/>
    <hyperlink r:id="rId1648" ref="B890"/>
    <hyperlink r:id="rId1649" ref="A891"/>
    <hyperlink r:id="rId1650" ref="B891"/>
    <hyperlink r:id="rId1651" ref="A892"/>
    <hyperlink r:id="rId1652" ref="B892"/>
    <hyperlink r:id="rId1653" ref="A893"/>
    <hyperlink r:id="rId1654" ref="B893"/>
    <hyperlink r:id="rId1655" ref="A894"/>
    <hyperlink r:id="rId1656" ref="B894"/>
    <hyperlink r:id="rId1657" ref="B895"/>
    <hyperlink r:id="rId1658" ref="A896"/>
    <hyperlink r:id="rId1659" ref="B896"/>
    <hyperlink r:id="rId1660" ref="A897"/>
    <hyperlink r:id="rId1661" ref="B897"/>
    <hyperlink r:id="rId1662" ref="A898"/>
    <hyperlink r:id="rId1663" ref="B898"/>
    <hyperlink r:id="rId1664" ref="A899"/>
    <hyperlink r:id="rId1665" ref="A900"/>
    <hyperlink r:id="rId1666" ref="B900"/>
    <hyperlink r:id="rId1667" ref="A901"/>
    <hyperlink r:id="rId1668" ref="B901"/>
    <hyperlink r:id="rId1669" ref="A902"/>
    <hyperlink r:id="rId1670" ref="B902"/>
    <hyperlink r:id="rId1671" ref="A903"/>
    <hyperlink r:id="rId1672" ref="A904"/>
    <hyperlink r:id="rId1673" ref="B904"/>
    <hyperlink r:id="rId1674" ref="A905"/>
    <hyperlink r:id="rId1675" ref="B905"/>
    <hyperlink r:id="rId1676" ref="A906"/>
    <hyperlink r:id="rId1677" ref="B906"/>
    <hyperlink r:id="rId1678" ref="A907"/>
    <hyperlink r:id="rId1679" ref="B907"/>
    <hyperlink r:id="rId1680" ref="A908"/>
    <hyperlink r:id="rId1681" ref="B908"/>
    <hyperlink r:id="rId1682" ref="A909"/>
    <hyperlink r:id="rId1683" ref="B909"/>
    <hyperlink r:id="rId1684" ref="B910"/>
    <hyperlink r:id="rId1685" ref="A911"/>
    <hyperlink r:id="rId1686" ref="B911"/>
    <hyperlink r:id="rId1687" ref="A912"/>
    <hyperlink r:id="rId1688" ref="B912"/>
    <hyperlink r:id="rId1689" ref="A913"/>
    <hyperlink r:id="rId1690" ref="B913"/>
    <hyperlink r:id="rId1691" ref="B914"/>
    <hyperlink r:id="rId1692" ref="A915"/>
    <hyperlink r:id="rId1693" ref="B915"/>
    <hyperlink r:id="rId1694" ref="A916"/>
    <hyperlink r:id="rId1695" ref="B916"/>
    <hyperlink r:id="rId1696" ref="A917"/>
    <hyperlink r:id="rId1697" ref="B917"/>
    <hyperlink r:id="rId1698" ref="A918"/>
    <hyperlink r:id="rId1699" ref="B918"/>
    <hyperlink r:id="rId1700" ref="A919"/>
    <hyperlink r:id="rId1701" ref="B919"/>
    <hyperlink r:id="rId1702" ref="A920"/>
    <hyperlink r:id="rId1703" ref="B920"/>
    <hyperlink r:id="rId1704" ref="A921"/>
    <hyperlink r:id="rId1705" ref="B921"/>
    <hyperlink r:id="rId1706" ref="A922"/>
    <hyperlink r:id="rId1707" ref="B922"/>
    <hyperlink r:id="rId1708" ref="A923"/>
    <hyperlink r:id="rId1709" ref="B923"/>
    <hyperlink r:id="rId1710" ref="A924"/>
    <hyperlink r:id="rId1711" ref="B924"/>
    <hyperlink r:id="rId1712" ref="A925"/>
    <hyperlink r:id="rId1713" ref="B925"/>
    <hyperlink r:id="rId1714" ref="A926"/>
    <hyperlink r:id="rId1715" ref="B926"/>
    <hyperlink r:id="rId1716" ref="A927"/>
    <hyperlink r:id="rId1717" ref="B927"/>
    <hyperlink r:id="rId1718" ref="A928"/>
    <hyperlink r:id="rId1719" ref="B928"/>
    <hyperlink r:id="rId1720" ref="A929"/>
    <hyperlink r:id="rId1721" ref="B929"/>
    <hyperlink r:id="rId1722" ref="A930"/>
    <hyperlink r:id="rId1723" ref="B930"/>
    <hyperlink r:id="rId1724" ref="A931"/>
    <hyperlink r:id="rId1725" ref="B931"/>
    <hyperlink r:id="rId1726" ref="A932"/>
    <hyperlink r:id="rId1727" ref="B932"/>
    <hyperlink r:id="rId1728" ref="A933"/>
    <hyperlink r:id="rId1729" ref="B933"/>
    <hyperlink r:id="rId1730" ref="A934"/>
    <hyperlink r:id="rId1731" ref="B934"/>
    <hyperlink r:id="rId1732" ref="A935"/>
    <hyperlink r:id="rId1733" ref="B935"/>
    <hyperlink r:id="rId1734" ref="A936"/>
    <hyperlink r:id="rId1735" ref="B936"/>
    <hyperlink r:id="rId1736" ref="A937"/>
    <hyperlink r:id="rId1737" ref="B937"/>
    <hyperlink r:id="rId1738" ref="A938"/>
    <hyperlink r:id="rId1739" ref="B938"/>
    <hyperlink r:id="rId1740" ref="A939"/>
    <hyperlink r:id="rId1741" ref="B939"/>
    <hyperlink r:id="rId1742" ref="A940"/>
    <hyperlink r:id="rId1743" ref="B940"/>
    <hyperlink r:id="rId1744" ref="A941"/>
    <hyperlink r:id="rId1745" ref="A942"/>
    <hyperlink r:id="rId1746" ref="B942"/>
    <hyperlink r:id="rId1747" ref="A943"/>
    <hyperlink r:id="rId1748" ref="B943"/>
    <hyperlink r:id="rId1749" ref="A944"/>
    <hyperlink r:id="rId1750" ref="B944"/>
    <hyperlink r:id="rId1751" ref="A945"/>
    <hyperlink r:id="rId1752" ref="B945"/>
    <hyperlink r:id="rId1753" ref="A946"/>
    <hyperlink r:id="rId1754" ref="B946"/>
    <hyperlink r:id="rId1755" ref="A947"/>
    <hyperlink r:id="rId1756" ref="B947"/>
    <hyperlink r:id="rId1757" ref="A948"/>
    <hyperlink r:id="rId1758" ref="B948"/>
    <hyperlink r:id="rId1759" ref="A949"/>
    <hyperlink r:id="rId1760" ref="B949"/>
    <hyperlink r:id="rId1761" ref="A950"/>
    <hyperlink r:id="rId1762" ref="B950"/>
    <hyperlink r:id="rId1763" ref="A951"/>
    <hyperlink r:id="rId1764" ref="B951"/>
    <hyperlink r:id="rId1765" ref="B952"/>
    <hyperlink r:id="rId1766" ref="A953"/>
    <hyperlink r:id="rId1767" ref="B953"/>
    <hyperlink r:id="rId1768" ref="A954"/>
    <hyperlink r:id="rId1769" ref="B954"/>
    <hyperlink r:id="rId1770" ref="A955"/>
    <hyperlink r:id="rId1771" ref="B955"/>
    <hyperlink r:id="rId1772" ref="A956"/>
    <hyperlink r:id="rId1773" ref="B956"/>
    <hyperlink r:id="rId1774" ref="A957"/>
    <hyperlink r:id="rId1775" ref="B957"/>
    <hyperlink r:id="rId1776" ref="A958"/>
    <hyperlink r:id="rId1777" ref="B958"/>
    <hyperlink r:id="rId1778" ref="A959"/>
    <hyperlink r:id="rId1779" ref="B959"/>
    <hyperlink r:id="rId1780" ref="A960"/>
    <hyperlink r:id="rId1781" ref="B960"/>
    <hyperlink r:id="rId1782" ref="A961"/>
    <hyperlink r:id="rId1783" ref="B961"/>
    <hyperlink r:id="rId1784" ref="A962"/>
    <hyperlink r:id="rId1785" ref="A963"/>
    <hyperlink r:id="rId1786" ref="B963"/>
    <hyperlink r:id="rId1787" ref="A964"/>
    <hyperlink r:id="rId1788" ref="B964"/>
    <hyperlink r:id="rId1789" ref="A965"/>
    <hyperlink r:id="rId1790" ref="B965"/>
    <hyperlink r:id="rId1791" ref="A966"/>
    <hyperlink r:id="rId1792" ref="B966"/>
    <hyperlink r:id="rId1793" ref="A967"/>
    <hyperlink r:id="rId1794" ref="B967"/>
    <hyperlink r:id="rId1795" ref="A968"/>
    <hyperlink r:id="rId1796" ref="B968"/>
    <hyperlink r:id="rId1797" ref="A969"/>
    <hyperlink r:id="rId1798" ref="A970"/>
    <hyperlink r:id="rId1799" ref="B970"/>
    <hyperlink r:id="rId1800" ref="A971"/>
    <hyperlink r:id="rId1801" ref="B971"/>
    <hyperlink r:id="rId1802" ref="A972"/>
    <hyperlink r:id="rId1803" ref="B972"/>
    <hyperlink r:id="rId1804" ref="B973"/>
    <hyperlink r:id="rId1805" ref="A974"/>
    <hyperlink r:id="rId1806" ref="B974"/>
    <hyperlink r:id="rId1807" ref="A975"/>
    <hyperlink r:id="rId1808" ref="B975"/>
    <hyperlink r:id="rId1809" ref="A976"/>
    <hyperlink r:id="rId1810" ref="B976"/>
    <hyperlink r:id="rId1811" ref="A977"/>
    <hyperlink r:id="rId1812" ref="A978"/>
    <hyperlink r:id="rId1813" ref="B978"/>
    <hyperlink r:id="rId1814" ref="A979"/>
    <hyperlink r:id="rId1815" ref="B979"/>
    <hyperlink r:id="rId1816" ref="A981"/>
    <hyperlink r:id="rId1817" ref="B981"/>
    <hyperlink r:id="rId1818" ref="A982"/>
    <hyperlink r:id="rId1819" ref="B982"/>
    <hyperlink r:id="rId1820" ref="A983"/>
    <hyperlink r:id="rId1821" ref="B983"/>
    <hyperlink r:id="rId1822" ref="A984"/>
    <hyperlink r:id="rId1823" ref="B984"/>
    <hyperlink r:id="rId1824" ref="A985"/>
    <hyperlink r:id="rId1825" ref="B985"/>
    <hyperlink r:id="rId1826" ref="A986"/>
    <hyperlink r:id="rId1827" ref="B986"/>
    <hyperlink r:id="rId1828" ref="A987"/>
    <hyperlink r:id="rId1829" ref="B987"/>
    <hyperlink r:id="rId1830" ref="B988"/>
    <hyperlink r:id="rId1831" ref="A989"/>
    <hyperlink r:id="rId1832" ref="B989"/>
    <hyperlink r:id="rId1833" ref="A990"/>
    <hyperlink r:id="rId1834" ref="B990"/>
    <hyperlink r:id="rId1835" ref="B991"/>
    <hyperlink r:id="rId1836" ref="A992"/>
    <hyperlink r:id="rId1837" ref="B992"/>
    <hyperlink r:id="rId1838" ref="A993"/>
    <hyperlink r:id="rId1839" ref="B993"/>
    <hyperlink r:id="rId1840" ref="A994"/>
    <hyperlink r:id="rId1841" ref="B994"/>
    <hyperlink r:id="rId1842" ref="A995"/>
    <hyperlink r:id="rId1843" ref="B995"/>
    <hyperlink r:id="rId1844" ref="A996"/>
    <hyperlink r:id="rId1845" ref="B996"/>
    <hyperlink r:id="rId1846" ref="A997"/>
    <hyperlink r:id="rId1847" ref="B997"/>
    <hyperlink r:id="rId1848" ref="A998"/>
    <hyperlink r:id="rId1849" ref="B998"/>
    <hyperlink r:id="rId1850" ref="A999"/>
    <hyperlink r:id="rId1851" ref="B999"/>
    <hyperlink r:id="rId1852" ref="A1000"/>
    <hyperlink r:id="rId1853" ref="B1000"/>
    <hyperlink r:id="rId1854" ref="A1001"/>
    <hyperlink r:id="rId1855" ref="B1001"/>
    <hyperlink r:id="rId1856" ref="A1002"/>
    <hyperlink r:id="rId1857" ref="B1002"/>
    <hyperlink r:id="rId1858" ref="A1003"/>
    <hyperlink r:id="rId1859" ref="B1003"/>
    <hyperlink r:id="rId1860" ref="A1004"/>
    <hyperlink r:id="rId1861" ref="A1005"/>
    <hyperlink r:id="rId1862" ref="B1005"/>
    <hyperlink r:id="rId1863" ref="A1006"/>
    <hyperlink r:id="rId1864" ref="B1006"/>
    <hyperlink r:id="rId1865" ref="A1007"/>
    <hyperlink r:id="rId1866" ref="B1007"/>
    <hyperlink r:id="rId1867" ref="A1008"/>
    <hyperlink r:id="rId1868" ref="B1008"/>
    <hyperlink r:id="rId1869" ref="A1009"/>
    <hyperlink r:id="rId1870" ref="B1009"/>
    <hyperlink r:id="rId1871" ref="A1010"/>
    <hyperlink r:id="rId1872" ref="B1010"/>
    <hyperlink r:id="rId1873" ref="A1011"/>
    <hyperlink r:id="rId1874" ref="B1011"/>
    <hyperlink r:id="rId1875" ref="A1012"/>
    <hyperlink r:id="rId1876" ref="B1012"/>
    <hyperlink r:id="rId1877" ref="A1013"/>
    <hyperlink r:id="rId1878" ref="B1013"/>
    <hyperlink r:id="rId1879" ref="A1014"/>
    <hyperlink r:id="rId1880" ref="B1014"/>
    <hyperlink r:id="rId1881" ref="B1015"/>
    <hyperlink r:id="rId1882" ref="A1016"/>
    <hyperlink r:id="rId1883" ref="B1016"/>
    <hyperlink r:id="rId1884" ref="A1017"/>
    <hyperlink r:id="rId1885" ref="B1017"/>
    <hyperlink r:id="rId1886" ref="A1018"/>
    <hyperlink r:id="rId1887" ref="B1018"/>
    <hyperlink r:id="rId1888" ref="A1019"/>
    <hyperlink r:id="rId1889" ref="B1019"/>
    <hyperlink r:id="rId1890" ref="A1020"/>
    <hyperlink r:id="rId1891" ref="B1020"/>
    <hyperlink r:id="rId1892" ref="A1021"/>
    <hyperlink r:id="rId1893" ref="B1021"/>
    <hyperlink r:id="rId1894" ref="A1022"/>
    <hyperlink r:id="rId1895" ref="B1022"/>
    <hyperlink r:id="rId1896" ref="A1023"/>
    <hyperlink r:id="rId1897" ref="A1024"/>
    <hyperlink r:id="rId1898" ref="B1024"/>
    <hyperlink r:id="rId1899" ref="A1025"/>
    <hyperlink r:id="rId1900" ref="A1026"/>
    <hyperlink r:id="rId1901" ref="B1026"/>
    <hyperlink r:id="rId1902" ref="A1027"/>
    <hyperlink r:id="rId1903" ref="B1027"/>
    <hyperlink r:id="rId1904" ref="A1028"/>
    <hyperlink r:id="rId1905" ref="B1028"/>
    <hyperlink r:id="rId1906" ref="A1029"/>
    <hyperlink r:id="rId1907" ref="B1029"/>
    <hyperlink r:id="rId1908" ref="A1030"/>
    <hyperlink r:id="rId1909" ref="B1030"/>
    <hyperlink r:id="rId1910" ref="A1031"/>
    <hyperlink r:id="rId1911" ref="B1031"/>
    <hyperlink r:id="rId1912" ref="A1032"/>
    <hyperlink r:id="rId1913" ref="B1032"/>
    <hyperlink r:id="rId1914" ref="A1033"/>
    <hyperlink r:id="rId1915" ref="B1033"/>
    <hyperlink r:id="rId1916" ref="B1034"/>
    <hyperlink r:id="rId1917" ref="A1035"/>
    <hyperlink r:id="rId1918" ref="B1035"/>
    <hyperlink r:id="rId1919" ref="B1036"/>
    <hyperlink r:id="rId1920" ref="A1037"/>
    <hyperlink r:id="rId1921" ref="B1037"/>
    <hyperlink r:id="rId1922" ref="A1038"/>
    <hyperlink r:id="rId1923" ref="B1038"/>
    <hyperlink r:id="rId1924" ref="A1039"/>
    <hyperlink r:id="rId1925" ref="B1039"/>
    <hyperlink r:id="rId1926" ref="A1040"/>
    <hyperlink r:id="rId1927" ref="B1040"/>
    <hyperlink r:id="rId1928" ref="A1041"/>
    <hyperlink r:id="rId1929" ref="B1041"/>
    <hyperlink r:id="rId1930" ref="A1042"/>
    <hyperlink r:id="rId1931" ref="B1042"/>
    <hyperlink r:id="rId1932" ref="A1043"/>
    <hyperlink r:id="rId1933" ref="B1043"/>
    <hyperlink r:id="rId1934" ref="A1044"/>
    <hyperlink r:id="rId1935" ref="B1044"/>
    <hyperlink r:id="rId1936" ref="A1045"/>
    <hyperlink r:id="rId1937" ref="B1045"/>
    <hyperlink r:id="rId1938" ref="A1046"/>
    <hyperlink r:id="rId1939" ref="A1047"/>
    <hyperlink r:id="rId1940" ref="B1047"/>
    <hyperlink r:id="rId1941" ref="A1048"/>
    <hyperlink r:id="rId1942" ref="B1048"/>
    <hyperlink r:id="rId1943" ref="A1049"/>
    <hyperlink r:id="rId1944" ref="B1049"/>
    <hyperlink r:id="rId1945" ref="A1050"/>
    <hyperlink r:id="rId1946" ref="B1050"/>
    <hyperlink r:id="rId1947" ref="A1051"/>
    <hyperlink r:id="rId1948" ref="A1052"/>
    <hyperlink r:id="rId1949" ref="B1052"/>
    <hyperlink r:id="rId1950" ref="A1053"/>
    <hyperlink r:id="rId1951" ref="B1053"/>
    <hyperlink r:id="rId1952" ref="A1054"/>
    <hyperlink r:id="rId1953" ref="B1054"/>
    <hyperlink r:id="rId1954" ref="A1055"/>
    <hyperlink r:id="rId1955" ref="B1055"/>
    <hyperlink r:id="rId1956" ref="A1056"/>
    <hyperlink r:id="rId1957" ref="B1056"/>
    <hyperlink r:id="rId1958" ref="B1057"/>
    <hyperlink r:id="rId1959" ref="A1058"/>
    <hyperlink r:id="rId1960" ref="B1058"/>
    <hyperlink r:id="rId1961" ref="A1059"/>
    <hyperlink r:id="rId1962" ref="B1059"/>
    <hyperlink r:id="rId1963" ref="A1060"/>
    <hyperlink r:id="rId1964" ref="B1060"/>
    <hyperlink r:id="rId1965" ref="A1061"/>
    <hyperlink r:id="rId1966" ref="B1061"/>
    <hyperlink r:id="rId1967" ref="B1062"/>
    <hyperlink r:id="rId1968" ref="A1063"/>
    <hyperlink r:id="rId1969" ref="B1063"/>
    <hyperlink r:id="rId1970" ref="A1064"/>
    <hyperlink r:id="rId1971" ref="B1064"/>
    <hyperlink r:id="rId1972" ref="A1065"/>
    <hyperlink r:id="rId1973" ref="B1065"/>
    <hyperlink r:id="rId1974" ref="A1066"/>
    <hyperlink r:id="rId1975" ref="B1066"/>
    <hyperlink r:id="rId1976" ref="A1067"/>
    <hyperlink r:id="rId1977" ref="B1067"/>
    <hyperlink r:id="rId1978" ref="A1068"/>
    <hyperlink r:id="rId1979" ref="B1068"/>
    <hyperlink r:id="rId1980" ref="A1069"/>
    <hyperlink r:id="rId1981" ref="A1070"/>
    <hyperlink r:id="rId1982" ref="B1070"/>
    <hyperlink r:id="rId1983" ref="A1071"/>
    <hyperlink r:id="rId1984" ref="B1071"/>
    <hyperlink r:id="rId1985" ref="A1072"/>
    <hyperlink r:id="rId1986" ref="A1073"/>
    <hyperlink r:id="rId1987" ref="B1073"/>
    <hyperlink r:id="rId1988" ref="A1074"/>
    <hyperlink r:id="rId1989" ref="B1074"/>
    <hyperlink r:id="rId1990" ref="A1075"/>
    <hyperlink r:id="rId1991" ref="B1075"/>
    <hyperlink r:id="rId1992" ref="A1076"/>
    <hyperlink r:id="rId1993" ref="B1076"/>
    <hyperlink r:id="rId1994" ref="A1077"/>
    <hyperlink r:id="rId1995" ref="B1077"/>
    <hyperlink r:id="rId1996" ref="A1078"/>
    <hyperlink r:id="rId1997" ref="B1078"/>
    <hyperlink r:id="rId1998" ref="A1079"/>
    <hyperlink r:id="rId1999" ref="B1079"/>
    <hyperlink r:id="rId2000" ref="B1080"/>
    <hyperlink r:id="rId2001" ref="A1081"/>
    <hyperlink r:id="rId2002" ref="B1081"/>
    <hyperlink r:id="rId2003" ref="A1082"/>
    <hyperlink r:id="rId2004" ref="B1082"/>
    <hyperlink r:id="rId2005" ref="B1083"/>
    <hyperlink r:id="rId2006" ref="A1084"/>
    <hyperlink r:id="rId2007" ref="B1084"/>
    <hyperlink r:id="rId2008" ref="A1085"/>
    <hyperlink r:id="rId2009" ref="B1085"/>
    <hyperlink r:id="rId2010" ref="A1086"/>
    <hyperlink r:id="rId2011" ref="B1086"/>
    <hyperlink r:id="rId2012" ref="A1087"/>
    <hyperlink r:id="rId2013" ref="B1087"/>
    <hyperlink r:id="rId2014" ref="A1088"/>
    <hyperlink r:id="rId2015" ref="B1088"/>
    <hyperlink r:id="rId2016" ref="A1089"/>
    <hyperlink r:id="rId2017" ref="B1089"/>
    <hyperlink r:id="rId2018" ref="A1090"/>
    <hyperlink r:id="rId2019" ref="B1090"/>
    <hyperlink r:id="rId2020" ref="A1091"/>
    <hyperlink r:id="rId2021" ref="B1091"/>
    <hyperlink r:id="rId2022" ref="A1092"/>
    <hyperlink r:id="rId2023" ref="B1092"/>
    <hyperlink r:id="rId2024" ref="A1093"/>
    <hyperlink r:id="rId2025" ref="B1093"/>
    <hyperlink r:id="rId2026" ref="A1094"/>
    <hyperlink r:id="rId2027" ref="B1094"/>
    <hyperlink r:id="rId2028" ref="A1095"/>
    <hyperlink r:id="rId2029" ref="B1095"/>
    <hyperlink r:id="rId2030" ref="A1096"/>
    <hyperlink r:id="rId2031" ref="B1096"/>
    <hyperlink r:id="rId2032" ref="A1097"/>
    <hyperlink r:id="rId2033" ref="B1097"/>
    <hyperlink r:id="rId2034" ref="A1098"/>
    <hyperlink r:id="rId2035" ref="A1099"/>
    <hyperlink r:id="rId2036" ref="B1099"/>
    <hyperlink r:id="rId2037" ref="A1100"/>
    <hyperlink r:id="rId2038" ref="B1100"/>
    <hyperlink r:id="rId2039" ref="A1101"/>
    <hyperlink r:id="rId2040" ref="B1101"/>
    <hyperlink r:id="rId2041" ref="A1102"/>
    <hyperlink r:id="rId2042" ref="B1102"/>
    <hyperlink r:id="rId2043" ref="A1103"/>
    <hyperlink r:id="rId2044" ref="B1103"/>
    <hyperlink r:id="rId2045" ref="A1104"/>
    <hyperlink r:id="rId2046" ref="B1104"/>
    <hyperlink r:id="rId2047" ref="A1105"/>
    <hyperlink r:id="rId2048" ref="B1105"/>
    <hyperlink r:id="rId2049" ref="A1106"/>
    <hyperlink r:id="rId2050" ref="B1106"/>
    <hyperlink r:id="rId2051" ref="A1107"/>
    <hyperlink r:id="rId2052" ref="B1107"/>
    <hyperlink r:id="rId2053" ref="A1108"/>
    <hyperlink r:id="rId2054" ref="B1108"/>
    <hyperlink r:id="rId2055" ref="B1109"/>
    <hyperlink r:id="rId2056" ref="A1110"/>
    <hyperlink r:id="rId2057" ref="B1110"/>
    <hyperlink r:id="rId2058" ref="A1111"/>
    <hyperlink r:id="rId2059" ref="B1111"/>
    <hyperlink r:id="rId2060" ref="A1112"/>
    <hyperlink r:id="rId2061" ref="B1112"/>
    <hyperlink r:id="rId2062" ref="A1113"/>
    <hyperlink r:id="rId2063" ref="B1113"/>
    <hyperlink r:id="rId2064" ref="A1114"/>
    <hyperlink r:id="rId2065" ref="A1115"/>
    <hyperlink r:id="rId2066" ref="B1115"/>
    <hyperlink r:id="rId2067" ref="A1116"/>
    <hyperlink r:id="rId2068" ref="B1116"/>
    <hyperlink r:id="rId2069" ref="A1117"/>
    <hyperlink r:id="rId2070" ref="B1117"/>
    <hyperlink r:id="rId2071" ref="A1118"/>
    <hyperlink r:id="rId2072" ref="B1118"/>
    <hyperlink r:id="rId2073" ref="A1119"/>
    <hyperlink r:id="rId2074" ref="B1119"/>
    <hyperlink r:id="rId2075" ref="A1120"/>
    <hyperlink r:id="rId2076" ref="B1120"/>
    <hyperlink r:id="rId2077" ref="A1121"/>
    <hyperlink r:id="rId2078" ref="B1121"/>
    <hyperlink r:id="rId2079" ref="A1122"/>
    <hyperlink r:id="rId2080" ref="B1122"/>
    <hyperlink r:id="rId2081" ref="A1123"/>
    <hyperlink r:id="rId2082" ref="B1123"/>
    <hyperlink r:id="rId2083" ref="A1124"/>
    <hyperlink r:id="rId2084" ref="B1124"/>
    <hyperlink r:id="rId2085" ref="B1125"/>
    <hyperlink r:id="rId2086" ref="A1126"/>
    <hyperlink r:id="rId2087" ref="B1126"/>
    <hyperlink r:id="rId2088" ref="A1127"/>
    <hyperlink r:id="rId2089" ref="A1128"/>
    <hyperlink r:id="rId2090" ref="B1128"/>
    <hyperlink r:id="rId2091" ref="A1129"/>
    <hyperlink r:id="rId2092" ref="B1129"/>
    <hyperlink r:id="rId2093" ref="A1130"/>
    <hyperlink r:id="rId2094" ref="B1130"/>
    <hyperlink r:id="rId2095" ref="A1131"/>
    <hyperlink r:id="rId2096" ref="B1131"/>
    <hyperlink r:id="rId2097" ref="A1132"/>
    <hyperlink r:id="rId2098" ref="B1132"/>
    <hyperlink r:id="rId2099" ref="A1133"/>
    <hyperlink r:id="rId2100" ref="B1133"/>
    <hyperlink r:id="rId2101" ref="A1134"/>
    <hyperlink r:id="rId2102" ref="B1134"/>
    <hyperlink r:id="rId2103" ref="A1135"/>
    <hyperlink r:id="rId2104" ref="B1135"/>
    <hyperlink r:id="rId2105" ref="A1136"/>
    <hyperlink r:id="rId2106" ref="B1136"/>
    <hyperlink r:id="rId2107" ref="A1137"/>
    <hyperlink r:id="rId2108" ref="B1137"/>
    <hyperlink r:id="rId2109" ref="B1138"/>
    <hyperlink r:id="rId2110" ref="A1139"/>
    <hyperlink r:id="rId2111" ref="B1139"/>
    <hyperlink r:id="rId2112" ref="A1140"/>
    <hyperlink r:id="rId2113" ref="B1140"/>
    <hyperlink r:id="rId2114" ref="A1141"/>
    <hyperlink r:id="rId2115" ref="A1142"/>
    <hyperlink r:id="rId2116" ref="B1142"/>
    <hyperlink r:id="rId2117" ref="A1143"/>
    <hyperlink r:id="rId2118" ref="A1144"/>
    <hyperlink r:id="rId2119" ref="B1144"/>
    <hyperlink r:id="rId2120" ref="A1145"/>
    <hyperlink r:id="rId2121" ref="A1146"/>
    <hyperlink r:id="rId2122" ref="B1146"/>
    <hyperlink r:id="rId2123" ref="A1147"/>
    <hyperlink r:id="rId2124" ref="A1148"/>
    <hyperlink r:id="rId2125" ref="B1148"/>
    <hyperlink r:id="rId2126" ref="A1149"/>
    <hyperlink r:id="rId2127" ref="B1149"/>
    <hyperlink r:id="rId2128" ref="A1150"/>
    <hyperlink r:id="rId2129" ref="B1150"/>
    <hyperlink r:id="rId2130" ref="A1151"/>
    <hyperlink r:id="rId2131" ref="B1151"/>
    <hyperlink r:id="rId2132" ref="B1152"/>
    <hyperlink r:id="rId2133" ref="A1153"/>
    <hyperlink r:id="rId2134" ref="B1153"/>
    <hyperlink r:id="rId2135" ref="B1154"/>
    <hyperlink r:id="rId2136" ref="A1155"/>
    <hyperlink r:id="rId2137" ref="B1155"/>
    <hyperlink r:id="rId2138" ref="B1156"/>
    <hyperlink r:id="rId2139" ref="A1157"/>
    <hyperlink r:id="rId2140" ref="B1157"/>
    <hyperlink r:id="rId2141" ref="B1158"/>
    <hyperlink r:id="rId2142" ref="A1159"/>
    <hyperlink r:id="rId2143" ref="B1159"/>
    <hyperlink r:id="rId2144" ref="A1160"/>
    <hyperlink r:id="rId2145" ref="B1160"/>
    <hyperlink r:id="rId2146" ref="A1161"/>
    <hyperlink r:id="rId2147" ref="B1161"/>
    <hyperlink r:id="rId2148" ref="A1162"/>
    <hyperlink r:id="rId2149" ref="B1162"/>
    <hyperlink r:id="rId2150" ref="A1163"/>
    <hyperlink r:id="rId2151" ref="B1163"/>
    <hyperlink r:id="rId2152" ref="A1164"/>
    <hyperlink r:id="rId2153" ref="B1164"/>
    <hyperlink r:id="rId2154" ref="A1165"/>
    <hyperlink r:id="rId2155" ref="B1165"/>
    <hyperlink r:id="rId2156" ref="A1166"/>
    <hyperlink r:id="rId2157" ref="B1166"/>
    <hyperlink r:id="rId2158" ref="A1167"/>
    <hyperlink r:id="rId2159" ref="A1168"/>
    <hyperlink r:id="rId2160" ref="B1168"/>
    <hyperlink r:id="rId2161" ref="A1169"/>
    <hyperlink r:id="rId2162" ref="B1169"/>
    <hyperlink r:id="rId2163" ref="A1170"/>
    <hyperlink r:id="rId2164" ref="B1170"/>
    <hyperlink r:id="rId2165" ref="A1171"/>
    <hyperlink r:id="rId2166" ref="B1171"/>
    <hyperlink r:id="rId2167" ref="A1172"/>
    <hyperlink r:id="rId2168" ref="B1172"/>
    <hyperlink r:id="rId2169" ref="A1173"/>
    <hyperlink r:id="rId2170" ref="B1173"/>
    <hyperlink r:id="rId2171" ref="A1174"/>
    <hyperlink r:id="rId2172" ref="B1174"/>
    <hyperlink r:id="rId2173" ref="A1175"/>
    <hyperlink r:id="rId2174" ref="A1176"/>
    <hyperlink r:id="rId2175" ref="B1176"/>
    <hyperlink r:id="rId2176" ref="A1177"/>
    <hyperlink r:id="rId2177" ref="B1177"/>
    <hyperlink r:id="rId2178" ref="B1178"/>
    <hyperlink r:id="rId2179" ref="A1179"/>
    <hyperlink r:id="rId2180" ref="B1179"/>
    <hyperlink r:id="rId2181" ref="A1180"/>
    <hyperlink r:id="rId2182" ref="B1180"/>
    <hyperlink r:id="rId2183" ref="A1181"/>
    <hyperlink r:id="rId2184" ref="B1181"/>
    <hyperlink r:id="rId2185" ref="A1182"/>
    <hyperlink r:id="rId2186" ref="B1182"/>
    <hyperlink r:id="rId2187" ref="A1183"/>
    <hyperlink r:id="rId2188" ref="B1183"/>
    <hyperlink r:id="rId2189" ref="A1184"/>
    <hyperlink r:id="rId2190" ref="B1184"/>
    <hyperlink r:id="rId2191" ref="A1185"/>
    <hyperlink r:id="rId2192" ref="B1185"/>
    <hyperlink r:id="rId2193" ref="B1186"/>
    <hyperlink r:id="rId2194" ref="A1187"/>
    <hyperlink r:id="rId2195" ref="A1188"/>
    <hyperlink r:id="rId2196" ref="B1188"/>
    <hyperlink r:id="rId2197" ref="A1189"/>
    <hyperlink r:id="rId2198" ref="A1190"/>
    <hyperlink r:id="rId2199" ref="B1190"/>
    <hyperlink r:id="rId2200" ref="A1191"/>
    <hyperlink r:id="rId2201" ref="B1191"/>
    <hyperlink r:id="rId2202" ref="A1192"/>
    <hyperlink r:id="rId2203" ref="A1193"/>
    <hyperlink r:id="rId2204" ref="B1193"/>
    <hyperlink r:id="rId2205" ref="A1194"/>
    <hyperlink r:id="rId2206" ref="B1194"/>
    <hyperlink r:id="rId2207" ref="A1195"/>
    <hyperlink r:id="rId2208" ref="B1195"/>
    <hyperlink r:id="rId2209" ref="A1196"/>
    <hyperlink r:id="rId2210" ref="B1196"/>
    <hyperlink r:id="rId2211" ref="A1197"/>
    <hyperlink r:id="rId2212" ref="B1197"/>
    <hyperlink r:id="rId2213" ref="B1198"/>
    <hyperlink r:id="rId2214" ref="A1199"/>
    <hyperlink r:id="rId2215" ref="B1199"/>
    <hyperlink r:id="rId2216" ref="B1200"/>
    <hyperlink r:id="rId2217" ref="A1201"/>
    <hyperlink r:id="rId2218" ref="A1202"/>
    <hyperlink r:id="rId2219" ref="B1203"/>
    <hyperlink r:id="rId2220" ref="A1204"/>
    <hyperlink r:id="rId2221" ref="B1204"/>
    <hyperlink r:id="rId2222" ref="A1205"/>
    <hyperlink r:id="rId2223" ref="B1205"/>
    <hyperlink r:id="rId2224" ref="A1206"/>
    <hyperlink r:id="rId2225" ref="B1206"/>
    <hyperlink r:id="rId2226" ref="A1207"/>
    <hyperlink r:id="rId2227" ref="B1207"/>
    <hyperlink r:id="rId2228" ref="A1208"/>
    <hyperlink r:id="rId2229" ref="A1209"/>
    <hyperlink r:id="rId2230" ref="B1209"/>
    <hyperlink r:id="rId2231" ref="A1210"/>
    <hyperlink r:id="rId2232" ref="A1211"/>
    <hyperlink r:id="rId2233" ref="B1211"/>
    <hyperlink r:id="rId2234" ref="B1212"/>
    <hyperlink r:id="rId2235" ref="B1213"/>
    <hyperlink r:id="rId2236" ref="A1214"/>
    <hyperlink r:id="rId2237" ref="B1214"/>
    <hyperlink r:id="rId2238" ref="A1215"/>
    <hyperlink r:id="rId2239" ref="B1215"/>
    <hyperlink r:id="rId2240" ref="A1216"/>
    <hyperlink r:id="rId2241" ref="B1216"/>
    <hyperlink r:id="rId2242" ref="A1217"/>
    <hyperlink r:id="rId2243" ref="B1217"/>
    <hyperlink r:id="rId2244" ref="A1218"/>
    <hyperlink r:id="rId2245" ref="B1218"/>
    <hyperlink r:id="rId2246" ref="A1220"/>
    <hyperlink r:id="rId2247" ref="B1220"/>
    <hyperlink r:id="rId2248" ref="B1221"/>
    <hyperlink r:id="rId2249" ref="A1222"/>
    <hyperlink r:id="rId2250" ref="B1222"/>
    <hyperlink r:id="rId2251" ref="A1223"/>
    <hyperlink r:id="rId2252" ref="A1224"/>
    <hyperlink r:id="rId2253" ref="B1224"/>
    <hyperlink r:id="rId2254" ref="A1225"/>
    <hyperlink r:id="rId2255" ref="B1225"/>
    <hyperlink r:id="rId2256" ref="A1226"/>
    <hyperlink r:id="rId2257" ref="B1226"/>
    <hyperlink r:id="rId2258" ref="A1227"/>
    <hyperlink r:id="rId2259" ref="B1227"/>
    <hyperlink r:id="rId2260" ref="A1228"/>
    <hyperlink r:id="rId2261" ref="B1228"/>
    <hyperlink r:id="rId2262" ref="A1229"/>
    <hyperlink r:id="rId2263" ref="B1229"/>
    <hyperlink r:id="rId2264" ref="A1230"/>
    <hyperlink r:id="rId2265" ref="B1230"/>
    <hyperlink r:id="rId2266" ref="A1232"/>
    <hyperlink r:id="rId2267" ref="B1232"/>
    <hyperlink r:id="rId2268" ref="A1233"/>
    <hyperlink r:id="rId2269" ref="B1233"/>
    <hyperlink r:id="rId2270" ref="A1234"/>
    <hyperlink r:id="rId2271" ref="B1234"/>
    <hyperlink r:id="rId2272" ref="A1236"/>
    <hyperlink r:id="rId2273" ref="A1237"/>
    <hyperlink r:id="rId2274" ref="B1237"/>
    <hyperlink r:id="rId2275" ref="A1238"/>
    <hyperlink r:id="rId2276" ref="B1238"/>
    <hyperlink r:id="rId2277" ref="A1239"/>
    <hyperlink r:id="rId2278" ref="B1239"/>
    <hyperlink r:id="rId2279" ref="A1240"/>
    <hyperlink r:id="rId2280" ref="A1241"/>
    <hyperlink r:id="rId2281" ref="B1241"/>
    <hyperlink r:id="rId2282" ref="A1242"/>
    <hyperlink r:id="rId2283" ref="B1243"/>
    <hyperlink r:id="rId2284" ref="A1244"/>
    <hyperlink r:id="rId2285" ref="B1244"/>
    <hyperlink r:id="rId2286" ref="A1245"/>
    <hyperlink r:id="rId2287" ref="B1245"/>
    <hyperlink r:id="rId2288" ref="A1246"/>
    <hyperlink r:id="rId2289" ref="B1246"/>
    <hyperlink r:id="rId2290" ref="B1248"/>
    <hyperlink r:id="rId2291" ref="A1249"/>
    <hyperlink r:id="rId2292" ref="B1249"/>
    <hyperlink r:id="rId2293" ref="A1250"/>
    <hyperlink r:id="rId2294" ref="B1250"/>
    <hyperlink r:id="rId2295" ref="A1251"/>
    <hyperlink r:id="rId2296" ref="B1251"/>
    <hyperlink r:id="rId2297" ref="B1252"/>
    <hyperlink r:id="rId2298" ref="A1253"/>
    <hyperlink r:id="rId2299" ref="B1253"/>
    <hyperlink r:id="rId2300" ref="B1254"/>
    <hyperlink r:id="rId2301" ref="A1255"/>
    <hyperlink r:id="rId2302" ref="B1255"/>
    <hyperlink r:id="rId2303" ref="A1256"/>
    <hyperlink r:id="rId2304" ref="B1256"/>
    <hyperlink r:id="rId2305" ref="A1257"/>
    <hyperlink r:id="rId2306" ref="B1257"/>
    <hyperlink r:id="rId2307" ref="A1258"/>
    <hyperlink r:id="rId2308" ref="B1259"/>
    <hyperlink r:id="rId2309" ref="A1260"/>
    <hyperlink r:id="rId2310" ref="A1261"/>
    <hyperlink r:id="rId2311" ref="B1261"/>
    <hyperlink r:id="rId2312" ref="A1262"/>
    <hyperlink r:id="rId2313" ref="B1262"/>
    <hyperlink r:id="rId2314" ref="A1263"/>
    <hyperlink r:id="rId2315" ref="B1263"/>
    <hyperlink r:id="rId2316" ref="A1264"/>
    <hyperlink r:id="rId2317" ref="B1264"/>
    <hyperlink r:id="rId2318" ref="A1265"/>
    <hyperlink r:id="rId2319" ref="B1265"/>
    <hyperlink r:id="rId2320" ref="A1266"/>
    <hyperlink r:id="rId2321" ref="B1266"/>
    <hyperlink r:id="rId2322" ref="A1267"/>
    <hyperlink r:id="rId2323" ref="B1267"/>
    <hyperlink r:id="rId2324" ref="A1268"/>
    <hyperlink r:id="rId2325" ref="B1268"/>
    <hyperlink r:id="rId2326" ref="A1269"/>
    <hyperlink r:id="rId2327" ref="B1269"/>
    <hyperlink r:id="rId2328" ref="A1271"/>
    <hyperlink r:id="rId2329" ref="B1271"/>
    <hyperlink r:id="rId2330" ref="B1272"/>
    <hyperlink r:id="rId2331" ref="A1273"/>
    <hyperlink r:id="rId2332" ref="B1273"/>
    <hyperlink r:id="rId2333" ref="A1274"/>
    <hyperlink r:id="rId2334" ref="A1275"/>
    <hyperlink r:id="rId2335" ref="B1275"/>
    <hyperlink r:id="rId2336" ref="A1276"/>
    <hyperlink r:id="rId2337" ref="B1276"/>
    <hyperlink r:id="rId2338" ref="A1277"/>
    <hyperlink r:id="rId2339" ref="B1277"/>
    <hyperlink r:id="rId2340" ref="A1278"/>
    <hyperlink r:id="rId2341" ref="B1278"/>
    <hyperlink r:id="rId2342" ref="A1279"/>
    <hyperlink r:id="rId2343" ref="B1279"/>
    <hyperlink r:id="rId2344" ref="A1280"/>
    <hyperlink r:id="rId2345" ref="B1280"/>
    <hyperlink r:id="rId2346" ref="A1281"/>
    <hyperlink r:id="rId2347" ref="B1281"/>
    <hyperlink r:id="rId2348" ref="B1282"/>
    <hyperlink r:id="rId2349" ref="A1283"/>
    <hyperlink r:id="rId2350" ref="A1284"/>
    <hyperlink r:id="rId2351" ref="A1285"/>
    <hyperlink r:id="rId2352" ref="B1285"/>
    <hyperlink r:id="rId2353" ref="A1287"/>
    <hyperlink r:id="rId2354" ref="B1287"/>
    <hyperlink r:id="rId2355" ref="A1288"/>
    <hyperlink r:id="rId2356" ref="B1288"/>
    <hyperlink r:id="rId2357" ref="A1289"/>
    <hyperlink r:id="rId2358" ref="B1289"/>
    <hyperlink r:id="rId2359" ref="A1290"/>
    <hyperlink r:id="rId2360" ref="B1290"/>
    <hyperlink r:id="rId2361" ref="A1291"/>
    <hyperlink r:id="rId2362" ref="B1291"/>
    <hyperlink r:id="rId2363" ref="A1292"/>
    <hyperlink r:id="rId2364" ref="B1292"/>
    <hyperlink r:id="rId2365" ref="A1293"/>
    <hyperlink r:id="rId2366" ref="B1293"/>
    <hyperlink r:id="rId2367" ref="A1294"/>
    <hyperlink r:id="rId2368" ref="B1295"/>
    <hyperlink r:id="rId2369" ref="B1296"/>
    <hyperlink r:id="rId2370" ref="A1297"/>
    <hyperlink r:id="rId2371" ref="B1298"/>
    <hyperlink r:id="rId2372" ref="A1299"/>
    <hyperlink r:id="rId2373" ref="B1299"/>
    <hyperlink r:id="rId2374" ref="A1300"/>
    <hyperlink r:id="rId2375" ref="B1300"/>
    <hyperlink r:id="rId2376" ref="A1301"/>
    <hyperlink r:id="rId2377" ref="B1301"/>
    <hyperlink r:id="rId2378" ref="A1302"/>
    <hyperlink r:id="rId2379" ref="B1302"/>
    <hyperlink r:id="rId2380" ref="A1303"/>
    <hyperlink r:id="rId2381" ref="B1303"/>
    <hyperlink r:id="rId2382" ref="A1304"/>
    <hyperlink r:id="rId2383" ref="B1304"/>
    <hyperlink r:id="rId2384" ref="A1305"/>
    <hyperlink r:id="rId2385" ref="B1305"/>
    <hyperlink r:id="rId2386" ref="B1306"/>
    <hyperlink r:id="rId2387" ref="A1307"/>
    <hyperlink r:id="rId2388" ref="B1307"/>
    <hyperlink r:id="rId2389" ref="A1308"/>
    <hyperlink r:id="rId2390" ref="B1309"/>
    <hyperlink r:id="rId2391" ref="A1310"/>
    <hyperlink r:id="rId2392" ref="B1310"/>
    <hyperlink r:id="rId2393" ref="A1311"/>
    <hyperlink r:id="rId2394" ref="B1311"/>
    <hyperlink r:id="rId2395" ref="A1312"/>
    <hyperlink r:id="rId2396" ref="B1312"/>
    <hyperlink r:id="rId2397" ref="A1313"/>
    <hyperlink r:id="rId2398" ref="B1313"/>
    <hyperlink r:id="rId2399" ref="A1314"/>
    <hyperlink r:id="rId2400" ref="B1314"/>
    <hyperlink r:id="rId2401" ref="A1315"/>
    <hyperlink r:id="rId2402" ref="B1315"/>
    <hyperlink r:id="rId2403" ref="A1316"/>
    <hyperlink r:id="rId2404" ref="B1316"/>
    <hyperlink r:id="rId2405" ref="A1317"/>
    <hyperlink r:id="rId2406" ref="B1317"/>
    <hyperlink r:id="rId2407" ref="A1318"/>
    <hyperlink r:id="rId2408" ref="A1319"/>
    <hyperlink r:id="rId2409" ref="B1320"/>
    <hyperlink r:id="rId2410" ref="A1321"/>
    <hyperlink r:id="rId2411" ref="B1321"/>
    <hyperlink r:id="rId2412" ref="A1322"/>
    <hyperlink r:id="rId2413" ref="B1322"/>
    <hyperlink r:id="rId2414" ref="A1323"/>
    <hyperlink r:id="rId2415" ref="B1323"/>
    <hyperlink r:id="rId2416" ref="A1324"/>
    <hyperlink r:id="rId2417" ref="B1324"/>
    <hyperlink r:id="rId2418" ref="A1325"/>
    <hyperlink r:id="rId2419" ref="B1325"/>
    <hyperlink r:id="rId2420" ref="A1326"/>
    <hyperlink r:id="rId2421" ref="B1326"/>
    <hyperlink r:id="rId2422" ref="A1327"/>
    <hyperlink r:id="rId2423" ref="B1327"/>
    <hyperlink r:id="rId2424" ref="A1328"/>
    <hyperlink r:id="rId2425" ref="B1328"/>
    <hyperlink r:id="rId2426" ref="A1329"/>
    <hyperlink r:id="rId2427" ref="B1329"/>
    <hyperlink r:id="rId2428" ref="B1330"/>
    <hyperlink r:id="rId2429" ref="B1331"/>
    <hyperlink r:id="rId2430" ref="A1332"/>
    <hyperlink r:id="rId2431" ref="B1332"/>
    <hyperlink r:id="rId2432" ref="A1333"/>
    <hyperlink r:id="rId2433" ref="B1333"/>
    <hyperlink r:id="rId2434" ref="A1334"/>
    <hyperlink r:id="rId2435" ref="B1334"/>
    <hyperlink r:id="rId2436" ref="A1335"/>
    <hyperlink r:id="rId2437" ref="B1335"/>
    <hyperlink r:id="rId2438" ref="A1336"/>
    <hyperlink r:id="rId2439" ref="B1336"/>
    <hyperlink r:id="rId2440" ref="A1337"/>
    <hyperlink r:id="rId2441" ref="B1337"/>
    <hyperlink r:id="rId2442" ref="A1338"/>
    <hyperlink r:id="rId2443" ref="B1338"/>
    <hyperlink r:id="rId2444" ref="A1339"/>
    <hyperlink r:id="rId2445" ref="B1339"/>
    <hyperlink r:id="rId2446" ref="A1340"/>
    <hyperlink r:id="rId2447" ref="B1340"/>
    <hyperlink r:id="rId2448" ref="A1341"/>
    <hyperlink r:id="rId2449" ref="B1341"/>
    <hyperlink r:id="rId2450" ref="A1342"/>
    <hyperlink r:id="rId2451" ref="A1343"/>
    <hyperlink r:id="rId2452" ref="B1343"/>
    <hyperlink r:id="rId2453" ref="A1344"/>
    <hyperlink r:id="rId2454" ref="B1344"/>
    <hyperlink r:id="rId2455" ref="A1345"/>
    <hyperlink r:id="rId2456" ref="B1345"/>
    <hyperlink r:id="rId2457" ref="A1346"/>
    <hyperlink r:id="rId2458" ref="A1347"/>
    <hyperlink r:id="rId2459" ref="B1347"/>
    <hyperlink r:id="rId2460" ref="A1348"/>
    <hyperlink r:id="rId2461" ref="B1348"/>
    <hyperlink r:id="rId2462" ref="A1349"/>
    <hyperlink r:id="rId2463" ref="B1349"/>
    <hyperlink r:id="rId2464" ref="A1350"/>
    <hyperlink r:id="rId2465" ref="A1351"/>
    <hyperlink r:id="rId2466" ref="B1351"/>
    <hyperlink r:id="rId2467" ref="A1352"/>
    <hyperlink r:id="rId2468" ref="B1352"/>
    <hyperlink r:id="rId2469" ref="A1353"/>
    <hyperlink r:id="rId2470" ref="B1353"/>
    <hyperlink r:id="rId2471" ref="B1354"/>
    <hyperlink r:id="rId2472" ref="A1355"/>
    <hyperlink r:id="rId2473" ref="B1355"/>
    <hyperlink r:id="rId2474" ref="A1356"/>
    <hyperlink r:id="rId2475" ref="B1356"/>
    <hyperlink r:id="rId2476" ref="A1357"/>
    <hyperlink r:id="rId2477" ref="B1357"/>
    <hyperlink r:id="rId2478" ref="B1358"/>
    <hyperlink r:id="rId2479" ref="A1359"/>
    <hyperlink r:id="rId2480" ref="B1359"/>
    <hyperlink r:id="rId2481" ref="A1360"/>
    <hyperlink r:id="rId2482" ref="B1360"/>
    <hyperlink r:id="rId2483" ref="A1361"/>
    <hyperlink r:id="rId2484" ref="B1361"/>
    <hyperlink r:id="rId2485" ref="B1362"/>
    <hyperlink r:id="rId2486" ref="A1363"/>
    <hyperlink r:id="rId2487" ref="B1363"/>
    <hyperlink r:id="rId2488" ref="A1364"/>
    <hyperlink r:id="rId2489" ref="B1364"/>
    <hyperlink r:id="rId2490" ref="A1365"/>
    <hyperlink r:id="rId2491" ref="A1366"/>
    <hyperlink r:id="rId2492" ref="B1366"/>
    <hyperlink r:id="rId2493" ref="A1367"/>
    <hyperlink r:id="rId2494" ref="B1367"/>
    <hyperlink r:id="rId2495" ref="A1368"/>
    <hyperlink r:id="rId2496" ref="B1368"/>
    <hyperlink r:id="rId2497" ref="A1369"/>
    <hyperlink r:id="rId2498" ref="B1369"/>
    <hyperlink r:id="rId2499" ref="A1370"/>
    <hyperlink r:id="rId2500" ref="B1370"/>
    <hyperlink r:id="rId2501" ref="A1371"/>
    <hyperlink r:id="rId2502" ref="A1372"/>
    <hyperlink r:id="rId2503" ref="B1372"/>
    <hyperlink r:id="rId2504" ref="A1373"/>
    <hyperlink r:id="rId2505" ref="B1373"/>
    <hyperlink r:id="rId2506" ref="A1374"/>
    <hyperlink r:id="rId2507" ref="B1374"/>
    <hyperlink r:id="rId2508" ref="A1375"/>
    <hyperlink r:id="rId2509" ref="B1375"/>
    <hyperlink r:id="rId2510" ref="A1376"/>
    <hyperlink r:id="rId2511" ref="B1376"/>
    <hyperlink r:id="rId2512" ref="B1377"/>
    <hyperlink r:id="rId2513" ref="A1378"/>
    <hyperlink r:id="rId2514" ref="B1378"/>
    <hyperlink r:id="rId2515" ref="A1379"/>
    <hyperlink r:id="rId2516" ref="B1379"/>
    <hyperlink r:id="rId2517" ref="A1380"/>
    <hyperlink r:id="rId2518" ref="B1380"/>
    <hyperlink r:id="rId2519" ref="A1381"/>
    <hyperlink r:id="rId2520" ref="B1381"/>
    <hyperlink r:id="rId2521" ref="A1382"/>
    <hyperlink r:id="rId2522" ref="B1382"/>
    <hyperlink r:id="rId2523" ref="B1383"/>
    <hyperlink r:id="rId2524" ref="A1384"/>
    <hyperlink r:id="rId2525" ref="B1384"/>
    <hyperlink r:id="rId2526" ref="A1385"/>
    <hyperlink r:id="rId2527" ref="B1385"/>
    <hyperlink r:id="rId2528" ref="A1386"/>
    <hyperlink r:id="rId2529" ref="B1386"/>
    <hyperlink r:id="rId2530" ref="A1387"/>
    <hyperlink r:id="rId2531" ref="B1387"/>
    <hyperlink r:id="rId2532" ref="A1388"/>
    <hyperlink r:id="rId2533" ref="B1388"/>
    <hyperlink r:id="rId2534" ref="A1389"/>
    <hyperlink r:id="rId2535" ref="B1389"/>
    <hyperlink r:id="rId2536" ref="A1390"/>
    <hyperlink r:id="rId2537" ref="B1390"/>
    <hyperlink r:id="rId2538" ref="A1391"/>
    <hyperlink r:id="rId2539" ref="B1391"/>
    <hyperlink r:id="rId2540" ref="A1392"/>
    <hyperlink r:id="rId2541" ref="B1392"/>
    <hyperlink r:id="rId2542" ref="A1393"/>
    <hyperlink r:id="rId2543" ref="B1393"/>
    <hyperlink r:id="rId2544" ref="A1394"/>
    <hyperlink r:id="rId2545" ref="B1394"/>
    <hyperlink r:id="rId2546" ref="A1395"/>
    <hyperlink r:id="rId2547" ref="A1396"/>
    <hyperlink r:id="rId2548" ref="B1396"/>
    <hyperlink r:id="rId2549" ref="A1397"/>
    <hyperlink r:id="rId2550" ref="B1397"/>
    <hyperlink r:id="rId2551" ref="A1398"/>
    <hyperlink r:id="rId2552" ref="B1398"/>
    <hyperlink r:id="rId2553" ref="A1399"/>
    <hyperlink r:id="rId2554" ref="B1399"/>
    <hyperlink r:id="rId2555" ref="A1400"/>
    <hyperlink r:id="rId2556" ref="A1401"/>
    <hyperlink r:id="rId2557" ref="B1401"/>
    <hyperlink r:id="rId2558" ref="A1402"/>
    <hyperlink r:id="rId2559" ref="B1402"/>
    <hyperlink r:id="rId2560" ref="A1403"/>
    <hyperlink r:id="rId2561" ref="A1404"/>
    <hyperlink r:id="rId2562" ref="B1404"/>
    <hyperlink r:id="rId2563" ref="A1405"/>
    <hyperlink r:id="rId2564" ref="B1405"/>
    <hyperlink r:id="rId2565" ref="A1406"/>
    <hyperlink r:id="rId2566" ref="B1406"/>
    <hyperlink r:id="rId2567" ref="B1407"/>
    <hyperlink r:id="rId2568" ref="A1408"/>
    <hyperlink r:id="rId2569" ref="B1408"/>
    <hyperlink r:id="rId2570" ref="A1409"/>
    <hyperlink r:id="rId2571" ref="B1409"/>
    <hyperlink r:id="rId2572" ref="A1410"/>
    <hyperlink r:id="rId2573" ref="B1410"/>
    <hyperlink r:id="rId2574" ref="A1411"/>
    <hyperlink r:id="rId2575" ref="B1411"/>
    <hyperlink r:id="rId2576" ref="B1412"/>
    <hyperlink r:id="rId2577" ref="A1413"/>
    <hyperlink r:id="rId2578" ref="B1413"/>
    <hyperlink r:id="rId2579" ref="A1414"/>
    <hyperlink r:id="rId2580" ref="B1414"/>
    <hyperlink r:id="rId2581" ref="B1415"/>
    <hyperlink r:id="rId2582" ref="A1416"/>
    <hyperlink r:id="rId2583" ref="A1417"/>
    <hyperlink r:id="rId2584" ref="B1417"/>
    <hyperlink r:id="rId2585" ref="A1418"/>
    <hyperlink r:id="rId2586" ref="A1419"/>
    <hyperlink r:id="rId2587" ref="B1419"/>
    <hyperlink r:id="rId2588" ref="A1420"/>
    <hyperlink r:id="rId2589" ref="B1420"/>
    <hyperlink r:id="rId2590" ref="A1421"/>
    <hyperlink r:id="rId2591" ref="B1421"/>
    <hyperlink r:id="rId2592" ref="A1422"/>
    <hyperlink r:id="rId2593" ref="B1422"/>
    <hyperlink r:id="rId2594" ref="A1423"/>
    <hyperlink r:id="rId2595" ref="B1423"/>
    <hyperlink r:id="rId2596" ref="A1424"/>
    <hyperlink r:id="rId2597" ref="B1424"/>
    <hyperlink r:id="rId2598" ref="A1425"/>
    <hyperlink r:id="rId2599" ref="B1425"/>
    <hyperlink r:id="rId2600" ref="A1426"/>
    <hyperlink r:id="rId2601" ref="A1427"/>
    <hyperlink r:id="rId2602" ref="B1427"/>
    <hyperlink r:id="rId2603" ref="B1428"/>
    <hyperlink r:id="rId2604" ref="A1429"/>
    <hyperlink r:id="rId2605" ref="B1430"/>
    <hyperlink r:id="rId2606" ref="A1431"/>
    <hyperlink r:id="rId2607" ref="B1431"/>
    <hyperlink r:id="rId2608" ref="A1432"/>
    <hyperlink r:id="rId2609" ref="B1432"/>
    <hyperlink r:id="rId2610" ref="A1433"/>
    <hyperlink r:id="rId2611" ref="B1433"/>
    <hyperlink r:id="rId2612" ref="A1434"/>
    <hyperlink r:id="rId2613" ref="B1434"/>
    <hyperlink r:id="rId2614" ref="A1435"/>
    <hyperlink r:id="rId2615" ref="B1435"/>
    <hyperlink r:id="rId2616" ref="A1436"/>
    <hyperlink r:id="rId2617" ref="B1436"/>
    <hyperlink r:id="rId2618" ref="A1437"/>
    <hyperlink r:id="rId2619" ref="B1437"/>
    <hyperlink r:id="rId2620" ref="A1439"/>
    <hyperlink r:id="rId2621" ref="B1439"/>
    <hyperlink r:id="rId2622" ref="A1440"/>
    <hyperlink r:id="rId2623" ref="B1440"/>
    <hyperlink r:id="rId2624" ref="B1441"/>
    <hyperlink r:id="rId2625" ref="A1442"/>
    <hyperlink r:id="rId2626" ref="B1442"/>
    <hyperlink r:id="rId2627" ref="A1443"/>
    <hyperlink r:id="rId2628" ref="B1443"/>
    <hyperlink r:id="rId2629" ref="A1444"/>
    <hyperlink r:id="rId2630" ref="B1444"/>
    <hyperlink r:id="rId2631" ref="A1445"/>
    <hyperlink r:id="rId2632" ref="B1445"/>
    <hyperlink r:id="rId2633" ref="A1446"/>
    <hyperlink r:id="rId2634" ref="B1446"/>
    <hyperlink r:id="rId2635" ref="A1447"/>
    <hyperlink r:id="rId2636" ref="A1448"/>
    <hyperlink r:id="rId2637" ref="B1448"/>
    <hyperlink r:id="rId2638" ref="A1449"/>
    <hyperlink r:id="rId2639" ref="B1449"/>
    <hyperlink r:id="rId2640" ref="B1450"/>
    <hyperlink r:id="rId2641" ref="A1451"/>
    <hyperlink r:id="rId2642" ref="B1451"/>
    <hyperlink r:id="rId2643" ref="A1452"/>
    <hyperlink r:id="rId2644" ref="B1452"/>
    <hyperlink r:id="rId2645" ref="A1453"/>
    <hyperlink r:id="rId2646" ref="B1453"/>
    <hyperlink r:id="rId2647" ref="A1454"/>
    <hyperlink r:id="rId2648" ref="B1454"/>
    <hyperlink r:id="rId2649" ref="A1455"/>
    <hyperlink r:id="rId2650" ref="B1455"/>
    <hyperlink r:id="rId2651" ref="A1456"/>
    <hyperlink r:id="rId2652" ref="A1457"/>
    <hyperlink r:id="rId2653" ref="B1457"/>
    <hyperlink r:id="rId2654" ref="A1458"/>
    <hyperlink r:id="rId2655" ref="B1458"/>
    <hyperlink r:id="rId2656" ref="B1459"/>
    <hyperlink r:id="rId2657" ref="A1460"/>
    <hyperlink r:id="rId2658" ref="B1460"/>
    <hyperlink r:id="rId2659" ref="A1461"/>
    <hyperlink r:id="rId2660" ref="B1461"/>
    <hyperlink r:id="rId2661" ref="A1462"/>
    <hyperlink r:id="rId2662" ref="B1462"/>
    <hyperlink r:id="rId2663" ref="A1463"/>
    <hyperlink r:id="rId2664" ref="B1463"/>
    <hyperlink r:id="rId2665" ref="A1464"/>
    <hyperlink r:id="rId2666" ref="B1464"/>
    <hyperlink r:id="rId2667" ref="A1465"/>
    <hyperlink r:id="rId2668" ref="A1466"/>
    <hyperlink r:id="rId2669" ref="B1466"/>
    <hyperlink r:id="rId2670" ref="A1467"/>
    <hyperlink r:id="rId2671" ref="B1467"/>
    <hyperlink r:id="rId2672" ref="B1468"/>
    <hyperlink r:id="rId2673" ref="A1469"/>
    <hyperlink r:id="rId2674" ref="B1469"/>
    <hyperlink r:id="rId2675" ref="A1470"/>
    <hyperlink r:id="rId2676" ref="B1470"/>
    <hyperlink r:id="rId2677" ref="A1471"/>
    <hyperlink r:id="rId2678" ref="B1471"/>
    <hyperlink r:id="rId2679" ref="A1472"/>
    <hyperlink r:id="rId2680" ref="B1472"/>
    <hyperlink r:id="rId2681" ref="A1473"/>
    <hyperlink r:id="rId2682" ref="B1473"/>
    <hyperlink r:id="rId2683" ref="A1474"/>
    <hyperlink r:id="rId2684" ref="B1474"/>
    <hyperlink r:id="rId2685" ref="A1475"/>
    <hyperlink r:id="rId2686" ref="B1475"/>
    <hyperlink r:id="rId2687" ref="A1476"/>
    <hyperlink r:id="rId2688" ref="B1476"/>
    <hyperlink r:id="rId2689" ref="B1477"/>
    <hyperlink r:id="rId2690" ref="A1478"/>
    <hyperlink r:id="rId2691" ref="B1478"/>
    <hyperlink r:id="rId2692" ref="A1479"/>
    <hyperlink r:id="rId2693" ref="B1479"/>
    <hyperlink r:id="rId2694" ref="A1480"/>
    <hyperlink r:id="rId2695" ref="B1480"/>
    <hyperlink r:id="rId2696" ref="A1481"/>
    <hyperlink r:id="rId2697" ref="B1481"/>
    <hyperlink r:id="rId2698" ref="A1482"/>
    <hyperlink r:id="rId2699" ref="B1482"/>
    <hyperlink r:id="rId2700" ref="A1483"/>
    <hyperlink r:id="rId2701" ref="A1484"/>
    <hyperlink r:id="rId2702" ref="B1484"/>
    <hyperlink r:id="rId2703" ref="A1485"/>
    <hyperlink r:id="rId2704" ref="B1485"/>
    <hyperlink r:id="rId2705" ref="A1486"/>
    <hyperlink r:id="rId2706" ref="B1486"/>
    <hyperlink r:id="rId2707" ref="A1487"/>
    <hyperlink r:id="rId2708" ref="B1487"/>
    <hyperlink r:id="rId2709" ref="A1488"/>
    <hyperlink r:id="rId2710" ref="B1488"/>
    <hyperlink r:id="rId2711" ref="A1489"/>
    <hyperlink r:id="rId2712" ref="B1489"/>
    <hyperlink r:id="rId2713" ref="A1490"/>
    <hyperlink r:id="rId2714" ref="A1491"/>
    <hyperlink r:id="rId2715" ref="B1491"/>
    <hyperlink r:id="rId2716" ref="A1492"/>
    <hyperlink r:id="rId2717" ref="B1492"/>
    <hyperlink r:id="rId2718" ref="A1493"/>
    <hyperlink r:id="rId2719" ref="B1493"/>
    <hyperlink r:id="rId2720" ref="A1494"/>
    <hyperlink r:id="rId2721" ref="B1494"/>
    <hyperlink r:id="rId2722" ref="B1495"/>
    <hyperlink r:id="rId2723" ref="A1496"/>
    <hyperlink r:id="rId2724" ref="B1496"/>
    <hyperlink r:id="rId2725" ref="A1497"/>
    <hyperlink r:id="rId2726" ref="B1497"/>
    <hyperlink r:id="rId2727" ref="A1498"/>
    <hyperlink r:id="rId2728" ref="A1499"/>
    <hyperlink r:id="rId2729" ref="B1499"/>
    <hyperlink r:id="rId2730" ref="A1500"/>
    <hyperlink r:id="rId2731" ref="B1500"/>
    <hyperlink r:id="rId2732" ref="A1501"/>
    <hyperlink r:id="rId2733" ref="B1501"/>
    <hyperlink r:id="rId2734" ref="B1502"/>
    <hyperlink r:id="rId2735" ref="A1503"/>
    <hyperlink r:id="rId2736" ref="A1504"/>
    <hyperlink r:id="rId2737" ref="A1505"/>
    <hyperlink r:id="rId2738" ref="B1505"/>
    <hyperlink r:id="rId2739" ref="A1506"/>
    <hyperlink r:id="rId2740" ref="B1506"/>
    <hyperlink r:id="rId2741" ref="A1507"/>
    <hyperlink r:id="rId2742" ref="B1507"/>
    <hyperlink r:id="rId2743" ref="A1508"/>
    <hyperlink r:id="rId2744" ref="B1508"/>
    <hyperlink r:id="rId2745" ref="A1509"/>
    <hyperlink r:id="rId2746" ref="B1509"/>
    <hyperlink r:id="rId2747" ref="B1510"/>
    <hyperlink r:id="rId2748" ref="A1511"/>
    <hyperlink r:id="rId2749" ref="B1511"/>
    <hyperlink r:id="rId2750" ref="A1512"/>
    <hyperlink r:id="rId2751" ref="B1512"/>
    <hyperlink r:id="rId2752" ref="A1513"/>
    <hyperlink r:id="rId2753" ref="B1513"/>
    <hyperlink r:id="rId2754" ref="A1514"/>
    <hyperlink r:id="rId2755" ref="B1514"/>
    <hyperlink r:id="rId2756" ref="B1516"/>
    <hyperlink r:id="rId2757" ref="A1517"/>
    <hyperlink r:id="rId2758" ref="B1517"/>
    <hyperlink r:id="rId2759" ref="A1518"/>
    <hyperlink r:id="rId2760" ref="B1518"/>
    <hyperlink r:id="rId2761" ref="A1519"/>
    <hyperlink r:id="rId2762" ref="B1519"/>
    <hyperlink r:id="rId2763" ref="A1520"/>
    <hyperlink r:id="rId2764" ref="B1520"/>
    <hyperlink r:id="rId2765" ref="A1521"/>
    <hyperlink r:id="rId2766" ref="B1521"/>
    <hyperlink r:id="rId2767" ref="A1522"/>
    <hyperlink r:id="rId2768" ref="B1522"/>
    <hyperlink r:id="rId2769" ref="A1523"/>
    <hyperlink r:id="rId2770" ref="B1523"/>
    <hyperlink r:id="rId2771" ref="A1524"/>
    <hyperlink r:id="rId2772" ref="B1524"/>
    <hyperlink r:id="rId2773" ref="A1525"/>
    <hyperlink r:id="rId2774" ref="B1525"/>
    <hyperlink r:id="rId2775" ref="A1526"/>
    <hyperlink r:id="rId2776" ref="B1526"/>
    <hyperlink r:id="rId2777" ref="B1527"/>
    <hyperlink r:id="rId2778" ref="A1528"/>
    <hyperlink r:id="rId2779" ref="B1528"/>
    <hyperlink r:id="rId2780" ref="A1529"/>
    <hyperlink r:id="rId2781" ref="B1529"/>
    <hyperlink r:id="rId2782" ref="A1530"/>
    <hyperlink r:id="rId2783" ref="B1530"/>
    <hyperlink r:id="rId2784" ref="A1531"/>
    <hyperlink r:id="rId2785" ref="B1531"/>
    <hyperlink r:id="rId2786" ref="A1532"/>
    <hyperlink r:id="rId2787" ref="A1533"/>
    <hyperlink r:id="rId2788" ref="B1533"/>
    <hyperlink r:id="rId2789" ref="A1534"/>
    <hyperlink r:id="rId2790" ref="B1534"/>
    <hyperlink r:id="rId2791" ref="A1535"/>
    <hyperlink r:id="rId2792" ref="B1535"/>
    <hyperlink r:id="rId2793" ref="A1536"/>
    <hyperlink r:id="rId2794" ref="B1536"/>
    <hyperlink r:id="rId2795" ref="A1537"/>
    <hyperlink r:id="rId2796" ref="B1537"/>
    <hyperlink r:id="rId2797" ref="A1538"/>
    <hyperlink r:id="rId2798" ref="B1538"/>
    <hyperlink r:id="rId2799" ref="A1539"/>
    <hyperlink r:id="rId2800" ref="B1539"/>
    <hyperlink r:id="rId2801" ref="A1540"/>
    <hyperlink r:id="rId2802" ref="B1540"/>
    <hyperlink r:id="rId2803" ref="A1541"/>
    <hyperlink r:id="rId2804" ref="B1541"/>
    <hyperlink r:id="rId2805" ref="A1542"/>
    <hyperlink r:id="rId2806" ref="B1542"/>
    <hyperlink r:id="rId2807" ref="A1543"/>
    <hyperlink r:id="rId2808" ref="B1543"/>
    <hyperlink r:id="rId2809" ref="B1544"/>
    <hyperlink r:id="rId2810" ref="A1545"/>
    <hyperlink r:id="rId2811" ref="A1546"/>
    <hyperlink r:id="rId2812" ref="B1546"/>
    <hyperlink r:id="rId2813" ref="A1547"/>
    <hyperlink r:id="rId2814" ref="B1547"/>
    <hyperlink r:id="rId2815" ref="A1548"/>
    <hyperlink r:id="rId2816" ref="B1548"/>
    <hyperlink r:id="rId2817" ref="A1549"/>
    <hyperlink r:id="rId2818" ref="B1549"/>
    <hyperlink r:id="rId2819" ref="A1550"/>
    <hyperlink r:id="rId2820" ref="B1550"/>
    <hyperlink r:id="rId2821" ref="A1551"/>
    <hyperlink r:id="rId2822" ref="B1551"/>
    <hyperlink r:id="rId2823" ref="A1552"/>
    <hyperlink r:id="rId2824" ref="B1552"/>
    <hyperlink r:id="rId2825" ref="A1553"/>
    <hyperlink r:id="rId2826" ref="B1553"/>
    <hyperlink r:id="rId2827" ref="A1554"/>
    <hyperlink r:id="rId2828" ref="B1554"/>
    <hyperlink r:id="rId2829" ref="A1555"/>
    <hyperlink r:id="rId2830" ref="B1555"/>
    <hyperlink r:id="rId2831" ref="A1556"/>
    <hyperlink r:id="rId2832" ref="B1557"/>
    <hyperlink r:id="rId2833" ref="A1558"/>
    <hyperlink r:id="rId2834" ref="B1558"/>
    <hyperlink r:id="rId2835" ref="A1559"/>
    <hyperlink r:id="rId2836" ref="B1559"/>
    <hyperlink r:id="rId2837" ref="A1560"/>
    <hyperlink r:id="rId2838" ref="A1561"/>
    <hyperlink r:id="rId2839" ref="B1561"/>
    <hyperlink r:id="rId2840" ref="A1562"/>
    <hyperlink r:id="rId2841" ref="B1562"/>
    <hyperlink r:id="rId2842" ref="A1563"/>
    <hyperlink r:id="rId2843" ref="B1563"/>
    <hyperlink r:id="rId2844" ref="A1564"/>
    <hyperlink r:id="rId2845" ref="B1564"/>
    <hyperlink r:id="rId2846" ref="A1565"/>
    <hyperlink r:id="rId2847" ref="B1565"/>
    <hyperlink r:id="rId2848" ref="A1566"/>
    <hyperlink r:id="rId2849" ref="B1566"/>
    <hyperlink r:id="rId2850" ref="A1567"/>
    <hyperlink r:id="rId2851" ref="B1567"/>
    <hyperlink r:id="rId2852" ref="B1568"/>
    <hyperlink r:id="rId2853" ref="A1569"/>
    <hyperlink r:id="rId2854" ref="B1569"/>
    <hyperlink r:id="rId2855" ref="A1570"/>
    <hyperlink r:id="rId2856" ref="B1570"/>
    <hyperlink r:id="rId2857" ref="A1571"/>
    <hyperlink r:id="rId2858" ref="B1571"/>
    <hyperlink r:id="rId2859" ref="B1572"/>
    <hyperlink r:id="rId2860" ref="A1573"/>
    <hyperlink r:id="rId2861" ref="B1573"/>
    <hyperlink r:id="rId2862" ref="A1574"/>
    <hyperlink r:id="rId2863" ref="B1574"/>
    <hyperlink r:id="rId2864" ref="A1575"/>
    <hyperlink r:id="rId2865" ref="B1575"/>
    <hyperlink r:id="rId2866" ref="A1576"/>
    <hyperlink r:id="rId2867" ref="B1576"/>
    <hyperlink r:id="rId2868" ref="A1577"/>
    <hyperlink r:id="rId2869" ref="B1577"/>
    <hyperlink r:id="rId2870" ref="A1578"/>
    <hyperlink r:id="rId2871" ref="B1578"/>
    <hyperlink r:id="rId2872" ref="A1579"/>
    <hyperlink r:id="rId2873" ref="B1579"/>
    <hyperlink r:id="rId2874" ref="A1580"/>
    <hyperlink r:id="rId2875" ref="B1580"/>
    <hyperlink r:id="rId2876" ref="A1581"/>
    <hyperlink r:id="rId2877" ref="B1581"/>
    <hyperlink r:id="rId2878" ref="A1582"/>
    <hyperlink r:id="rId2879" ref="B1582"/>
    <hyperlink r:id="rId2880" ref="A1583"/>
    <hyperlink r:id="rId2881" ref="B1583"/>
    <hyperlink r:id="rId2882" ref="A1584"/>
    <hyperlink r:id="rId2883" ref="B1584"/>
    <hyperlink r:id="rId2884" ref="A1585"/>
    <hyperlink r:id="rId2885" ref="B1585"/>
    <hyperlink r:id="rId2886" ref="A1586"/>
    <hyperlink r:id="rId2887" ref="B1586"/>
    <hyperlink r:id="rId2888" ref="A1587"/>
    <hyperlink r:id="rId2889" ref="B1587"/>
    <hyperlink r:id="rId2890" ref="A1588"/>
    <hyperlink r:id="rId2891" ref="B1588"/>
    <hyperlink r:id="rId2892" ref="A1589"/>
    <hyperlink r:id="rId2893" ref="B1589"/>
    <hyperlink r:id="rId2894" ref="A1590"/>
    <hyperlink r:id="rId2895" ref="B1590"/>
    <hyperlink r:id="rId2896" ref="A1591"/>
    <hyperlink r:id="rId2897" ref="B1591"/>
    <hyperlink r:id="rId2898" ref="A1592"/>
    <hyperlink r:id="rId2899" ref="B1592"/>
    <hyperlink r:id="rId2900" ref="A1593"/>
    <hyperlink r:id="rId2901" ref="B1593"/>
    <hyperlink r:id="rId2902" ref="A1594"/>
    <hyperlink r:id="rId2903" ref="B1594"/>
    <hyperlink r:id="rId2904" ref="A1595"/>
    <hyperlink r:id="rId2905" ref="B1595"/>
    <hyperlink r:id="rId2906" ref="A1596"/>
    <hyperlink r:id="rId2907" ref="B1596"/>
    <hyperlink r:id="rId2908" ref="A1597"/>
    <hyperlink r:id="rId2909" ref="B1597"/>
    <hyperlink r:id="rId2910" ref="A1598"/>
    <hyperlink r:id="rId2911" ref="A1599"/>
    <hyperlink r:id="rId2912" ref="B1599"/>
    <hyperlink r:id="rId2913" ref="A1600"/>
    <hyperlink r:id="rId2914" ref="B1600"/>
    <hyperlink r:id="rId2915" ref="A1601"/>
    <hyperlink r:id="rId2916" ref="B1601"/>
    <hyperlink r:id="rId2917" ref="A1602"/>
    <hyperlink r:id="rId2918" ref="B1602"/>
    <hyperlink r:id="rId2919" ref="A1603"/>
    <hyperlink r:id="rId2920" ref="B1603"/>
    <hyperlink r:id="rId2921" ref="A1604"/>
    <hyperlink r:id="rId2922" ref="B1604"/>
    <hyperlink r:id="rId2923" ref="A1605"/>
    <hyperlink r:id="rId2924" ref="B1605"/>
    <hyperlink r:id="rId2925" ref="A1606"/>
    <hyperlink r:id="rId2926" ref="B1606"/>
    <hyperlink r:id="rId2927" ref="A1607"/>
    <hyperlink r:id="rId2928" ref="B1607"/>
    <hyperlink r:id="rId2929" ref="A1608"/>
    <hyperlink r:id="rId2930" ref="B1608"/>
    <hyperlink r:id="rId2931" ref="A1609"/>
    <hyperlink r:id="rId2932" ref="B1609"/>
    <hyperlink r:id="rId2933" ref="B1610"/>
    <hyperlink r:id="rId2934" ref="A1611"/>
    <hyperlink r:id="rId2935" ref="B1611"/>
    <hyperlink r:id="rId2936" ref="A1612"/>
    <hyperlink r:id="rId2937" ref="B1612"/>
    <hyperlink r:id="rId2938" ref="A1613"/>
    <hyperlink r:id="rId2939" ref="B1613"/>
    <hyperlink r:id="rId2940" ref="A1614"/>
    <hyperlink r:id="rId2941" ref="B1614"/>
    <hyperlink r:id="rId2942" ref="A1615"/>
    <hyperlink r:id="rId2943" ref="B1615"/>
    <hyperlink r:id="rId2944" ref="A1616"/>
    <hyperlink r:id="rId2945" ref="B1616"/>
    <hyperlink r:id="rId2946" ref="A1617"/>
    <hyperlink r:id="rId2947" ref="B1617"/>
    <hyperlink r:id="rId2948" ref="A1618"/>
    <hyperlink r:id="rId2949" ref="B1618"/>
    <hyperlink r:id="rId2950" ref="A1619"/>
    <hyperlink r:id="rId2951" ref="B1619"/>
    <hyperlink r:id="rId2952" ref="A1620"/>
    <hyperlink r:id="rId2953" ref="B1620"/>
    <hyperlink r:id="rId2954" ref="A1621"/>
    <hyperlink r:id="rId2955" ref="B1621"/>
    <hyperlink r:id="rId2956" ref="A1622"/>
    <hyperlink r:id="rId2957" ref="B1622"/>
    <hyperlink r:id="rId2958" ref="A1623"/>
    <hyperlink r:id="rId2959" ref="B1623"/>
    <hyperlink r:id="rId2960" ref="A1624"/>
    <hyperlink r:id="rId2961" ref="B1624"/>
    <hyperlink r:id="rId2962" ref="A1625"/>
    <hyperlink r:id="rId2963" ref="A1626"/>
    <hyperlink r:id="rId2964" ref="B1626"/>
    <hyperlink r:id="rId2965" ref="A1627"/>
    <hyperlink r:id="rId2966" ref="B1627"/>
    <hyperlink r:id="rId2967" ref="A1628"/>
    <hyperlink r:id="rId2968" ref="B1628"/>
    <hyperlink r:id="rId2969" ref="A1629"/>
    <hyperlink r:id="rId2970" ref="B1629"/>
    <hyperlink r:id="rId2971" ref="A1630"/>
    <hyperlink r:id="rId2972" ref="B1630"/>
    <hyperlink r:id="rId2973" ref="A1631"/>
    <hyperlink r:id="rId2974" ref="B1631"/>
    <hyperlink r:id="rId2975" ref="A1632"/>
    <hyperlink r:id="rId2976" ref="A1633"/>
    <hyperlink r:id="rId2977" ref="B1633"/>
    <hyperlink r:id="rId2978" ref="A1634"/>
    <hyperlink r:id="rId2979" ref="B1634"/>
    <hyperlink r:id="rId2980" ref="A1635"/>
    <hyperlink r:id="rId2981" ref="B1635"/>
    <hyperlink r:id="rId2982" ref="A1636"/>
    <hyperlink r:id="rId2983" ref="B1636"/>
    <hyperlink r:id="rId2984" ref="B1637"/>
    <hyperlink r:id="rId2985" ref="A1638"/>
    <hyperlink r:id="rId2986" ref="B1638"/>
    <hyperlink r:id="rId2987" ref="A1639"/>
    <hyperlink r:id="rId2988" ref="B1639"/>
    <hyperlink r:id="rId2989" ref="A1640"/>
    <hyperlink r:id="rId2990" ref="A1641"/>
    <hyperlink r:id="rId2991" ref="B1641"/>
    <hyperlink r:id="rId2992" ref="A1642"/>
    <hyperlink r:id="rId2993" ref="B1642"/>
    <hyperlink r:id="rId2994" ref="A1643"/>
    <hyperlink r:id="rId2995" ref="B1643"/>
    <hyperlink r:id="rId2996" ref="B1644"/>
    <hyperlink r:id="rId2997" ref="A1645"/>
    <hyperlink r:id="rId2998" ref="B1645"/>
    <hyperlink r:id="rId2999" ref="A1646"/>
    <hyperlink r:id="rId3000" ref="A1647"/>
    <hyperlink r:id="rId3001" ref="B1647"/>
    <hyperlink r:id="rId3002" ref="A1648"/>
    <hyperlink r:id="rId3003" ref="B1648"/>
    <hyperlink r:id="rId3004" ref="A1649"/>
    <hyperlink r:id="rId3005" ref="B1649"/>
    <hyperlink r:id="rId3006" ref="A1650"/>
    <hyperlink r:id="rId3007" ref="B1650"/>
    <hyperlink r:id="rId3008" ref="A1651"/>
    <hyperlink r:id="rId3009" ref="B1651"/>
    <hyperlink r:id="rId3010" ref="B1652"/>
    <hyperlink r:id="rId3011" ref="A1653"/>
    <hyperlink r:id="rId3012" ref="B1653"/>
    <hyperlink r:id="rId3013" ref="A1654"/>
    <hyperlink r:id="rId3014" ref="B1654"/>
    <hyperlink r:id="rId3015" ref="A1655"/>
    <hyperlink r:id="rId3016" ref="B1655"/>
    <hyperlink r:id="rId3017" ref="A1656"/>
    <hyperlink r:id="rId3018" ref="B1656"/>
    <hyperlink r:id="rId3019" ref="A1657"/>
    <hyperlink r:id="rId3020" ref="B1657"/>
    <hyperlink r:id="rId3021" ref="B1658"/>
    <hyperlink r:id="rId3022" ref="A1659"/>
    <hyperlink r:id="rId3023" ref="B1659"/>
    <hyperlink r:id="rId3024" ref="A1660"/>
    <hyperlink r:id="rId3025" ref="B1660"/>
    <hyperlink r:id="rId3026" ref="A1661"/>
    <hyperlink r:id="rId3027" ref="B1661"/>
    <hyperlink r:id="rId3028" ref="A1662"/>
    <hyperlink r:id="rId3029" ref="B1662"/>
    <hyperlink r:id="rId3030" ref="A1663"/>
    <hyperlink r:id="rId3031" ref="B1663"/>
    <hyperlink r:id="rId3032" ref="A1664"/>
    <hyperlink r:id="rId3033" ref="B1664"/>
    <hyperlink r:id="rId3034" ref="A1665"/>
    <hyperlink r:id="rId3035" ref="B1665"/>
    <hyperlink r:id="rId3036" ref="A1666"/>
    <hyperlink r:id="rId3037" ref="A1667"/>
    <hyperlink r:id="rId3038" ref="B1667"/>
    <hyperlink r:id="rId3039" ref="A1668"/>
    <hyperlink r:id="rId3040" ref="B1668"/>
    <hyperlink r:id="rId3041" ref="A1669"/>
    <hyperlink r:id="rId3042" ref="B1669"/>
    <hyperlink r:id="rId3043" ref="A1670"/>
    <hyperlink r:id="rId3044" ref="B1670"/>
    <hyperlink r:id="rId3045" ref="A1671"/>
    <hyperlink r:id="rId3046" ref="B1671"/>
    <hyperlink r:id="rId3047" ref="A1672"/>
    <hyperlink r:id="rId3048" ref="B1672"/>
    <hyperlink r:id="rId3049" ref="A1673"/>
    <hyperlink r:id="rId3050" ref="B1673"/>
    <hyperlink r:id="rId3051" ref="A1674"/>
    <hyperlink r:id="rId3052" ref="B1674"/>
    <hyperlink r:id="rId3053" ref="A1675"/>
    <hyperlink r:id="rId3054" ref="B1675"/>
    <hyperlink r:id="rId3055" ref="A1676"/>
    <hyperlink r:id="rId3056" ref="B1676"/>
    <hyperlink r:id="rId3057" ref="A1677"/>
    <hyperlink r:id="rId3058" ref="B1677"/>
    <hyperlink r:id="rId3059" ref="B1678"/>
    <hyperlink r:id="rId3060" ref="A1679"/>
    <hyperlink r:id="rId3061" ref="B1679"/>
    <hyperlink r:id="rId3062" ref="A1680"/>
    <hyperlink r:id="rId3063" ref="B1680"/>
    <hyperlink r:id="rId3064" ref="A1681"/>
    <hyperlink r:id="rId3065" ref="B1681"/>
    <hyperlink r:id="rId3066" ref="A1682"/>
    <hyperlink r:id="rId3067" ref="B1682"/>
    <hyperlink r:id="rId3068" ref="A1683"/>
    <hyperlink r:id="rId3069" ref="B1683"/>
    <hyperlink r:id="rId3070" ref="A1684"/>
    <hyperlink r:id="rId3071" ref="B1684"/>
    <hyperlink r:id="rId3072" ref="A1685"/>
    <hyperlink r:id="rId3073" ref="B1685"/>
    <hyperlink r:id="rId3074" ref="A1686"/>
    <hyperlink r:id="rId3075" ref="B1686"/>
    <hyperlink r:id="rId3076" ref="A1687"/>
    <hyperlink r:id="rId3077" ref="B1687"/>
    <hyperlink r:id="rId3078" ref="A1688"/>
    <hyperlink r:id="rId3079" ref="B1688"/>
    <hyperlink r:id="rId3080" ref="A1689"/>
    <hyperlink r:id="rId3081" ref="B1689"/>
    <hyperlink r:id="rId3082" ref="A1690"/>
    <hyperlink r:id="rId3083" ref="B1690"/>
    <hyperlink r:id="rId3084" ref="A1691"/>
    <hyperlink r:id="rId3085" ref="B1691"/>
    <hyperlink r:id="rId3086" ref="A1692"/>
    <hyperlink r:id="rId3087" ref="B1692"/>
    <hyperlink r:id="rId3088" ref="A1693"/>
    <hyperlink r:id="rId3089" ref="B1693"/>
    <hyperlink r:id="rId3090" ref="A1694"/>
    <hyperlink r:id="rId3091" ref="B1694"/>
    <hyperlink r:id="rId3092" ref="A1695"/>
    <hyperlink r:id="rId3093" ref="B1695"/>
    <hyperlink r:id="rId3094" ref="A1696"/>
    <hyperlink r:id="rId3095" ref="B1696"/>
    <hyperlink r:id="rId3096" ref="A1697"/>
    <hyperlink r:id="rId3097" ref="A1698"/>
    <hyperlink r:id="rId3098" ref="B1698"/>
    <hyperlink r:id="rId3099" ref="A1699"/>
    <hyperlink r:id="rId3100" ref="B1699"/>
    <hyperlink r:id="rId3101" ref="A1700"/>
    <hyperlink r:id="rId3102" ref="B1700"/>
    <hyperlink r:id="rId3103" ref="A1701"/>
    <hyperlink r:id="rId3104" ref="B1701"/>
    <hyperlink r:id="rId3105" ref="A1702"/>
    <hyperlink r:id="rId3106" ref="B1702"/>
    <hyperlink r:id="rId3107" ref="A1703"/>
    <hyperlink r:id="rId3108" ref="B1703"/>
    <hyperlink r:id="rId3109" ref="A1704"/>
    <hyperlink r:id="rId3110" ref="B1704"/>
    <hyperlink r:id="rId3111" ref="A1705"/>
    <hyperlink r:id="rId3112" ref="B1705"/>
    <hyperlink r:id="rId3113" ref="A1706"/>
    <hyperlink r:id="rId3114" ref="A1707"/>
    <hyperlink r:id="rId3115" ref="B1707"/>
    <hyperlink r:id="rId3116" ref="A1708"/>
    <hyperlink r:id="rId3117" ref="B1708"/>
    <hyperlink r:id="rId3118" ref="B1709"/>
    <hyperlink r:id="rId3119" ref="A1710"/>
    <hyperlink r:id="rId3120" ref="B1710"/>
    <hyperlink r:id="rId3121" ref="A1711"/>
    <hyperlink r:id="rId3122" ref="B1711"/>
    <hyperlink r:id="rId3123" ref="A1712"/>
    <hyperlink r:id="rId3124" ref="B1712"/>
    <hyperlink r:id="rId3125" ref="A1713"/>
    <hyperlink r:id="rId3126" ref="B1713"/>
    <hyperlink r:id="rId3127" ref="A1714"/>
    <hyperlink r:id="rId3128" ref="B1714"/>
    <hyperlink r:id="rId3129" ref="A1715"/>
    <hyperlink r:id="rId3130" ref="B1715"/>
    <hyperlink r:id="rId3131" ref="A1716"/>
    <hyperlink r:id="rId3132" ref="B1716"/>
    <hyperlink r:id="rId3133" ref="A1717"/>
    <hyperlink r:id="rId3134" ref="B1717"/>
    <hyperlink r:id="rId3135" ref="A1719"/>
    <hyperlink r:id="rId3136" ref="B1719"/>
    <hyperlink r:id="rId3137" ref="A1720"/>
    <hyperlink r:id="rId3138" ref="B1720"/>
    <hyperlink r:id="rId3139" ref="A1721"/>
    <hyperlink r:id="rId3140" ref="B1721"/>
    <hyperlink r:id="rId3141" ref="A1722"/>
    <hyperlink r:id="rId3142" ref="B1722"/>
    <hyperlink r:id="rId3143" ref="A1723"/>
    <hyperlink r:id="rId3144" ref="B1723"/>
    <hyperlink r:id="rId3145" ref="A1724"/>
    <hyperlink r:id="rId3146" ref="B1724"/>
    <hyperlink r:id="rId3147" ref="A1725"/>
    <hyperlink r:id="rId3148" ref="B1725"/>
    <hyperlink r:id="rId3149" ref="A1726"/>
    <hyperlink r:id="rId3150" ref="B1726"/>
    <hyperlink r:id="rId3151" ref="A1727"/>
    <hyperlink r:id="rId3152" ref="A1728"/>
    <hyperlink r:id="rId3153" ref="B1728"/>
    <hyperlink r:id="rId3154" ref="A1729"/>
    <hyperlink r:id="rId3155" ref="B1729"/>
    <hyperlink r:id="rId3156" ref="B1730"/>
    <hyperlink r:id="rId3157" ref="A1731"/>
    <hyperlink r:id="rId3158" ref="B1731"/>
    <hyperlink r:id="rId3159" ref="A1732"/>
    <hyperlink r:id="rId3160" ref="B1732"/>
    <hyperlink r:id="rId3161" ref="A1733"/>
    <hyperlink r:id="rId3162" ref="B1733"/>
    <hyperlink r:id="rId3163" ref="A1734"/>
    <hyperlink r:id="rId3164" ref="B1734"/>
    <hyperlink r:id="rId3165" ref="A1735"/>
    <hyperlink r:id="rId3166" ref="B1735"/>
    <hyperlink r:id="rId3167" ref="A1736"/>
    <hyperlink r:id="rId3168" ref="B1736"/>
    <hyperlink r:id="rId3169" ref="A1737"/>
    <hyperlink r:id="rId3170" ref="B1737"/>
    <hyperlink r:id="rId3171" ref="A1738"/>
    <hyperlink r:id="rId3172" ref="B1739"/>
    <hyperlink r:id="rId3173" ref="A1740"/>
    <hyperlink r:id="rId3174" ref="A1741"/>
    <hyperlink r:id="rId3175" ref="B1741"/>
    <hyperlink r:id="rId3176" ref="A1742"/>
    <hyperlink r:id="rId3177" ref="B1742"/>
    <hyperlink r:id="rId3178" ref="A1743"/>
    <hyperlink r:id="rId3179" ref="B1743"/>
    <hyperlink r:id="rId3180" ref="A1744"/>
    <hyperlink r:id="rId3181" ref="B1744"/>
    <hyperlink r:id="rId3182" ref="A1745"/>
    <hyperlink r:id="rId3183" ref="B1745"/>
    <hyperlink r:id="rId3184" ref="A1746"/>
    <hyperlink r:id="rId3185" ref="B1746"/>
    <hyperlink r:id="rId3186" ref="A1747"/>
    <hyperlink r:id="rId3187" ref="B1747"/>
    <hyperlink r:id="rId3188" ref="A1748"/>
    <hyperlink r:id="rId3189" ref="B1748"/>
    <hyperlink r:id="rId3190" ref="A1749"/>
    <hyperlink r:id="rId3191" ref="A1751"/>
    <hyperlink r:id="rId3192" ref="B1751"/>
    <hyperlink r:id="rId3193" ref="B1752"/>
    <hyperlink r:id="rId3194" ref="A1753"/>
    <hyperlink r:id="rId3195" ref="B1753"/>
    <hyperlink r:id="rId3196" ref="A1754"/>
    <hyperlink r:id="rId3197" ref="B1754"/>
    <hyperlink r:id="rId3198" ref="A1755"/>
    <hyperlink r:id="rId3199" ref="B1755"/>
    <hyperlink r:id="rId3200" ref="A1756"/>
    <hyperlink r:id="rId3201" ref="B1756"/>
    <hyperlink r:id="rId3202" ref="A1757"/>
    <hyperlink r:id="rId3203" ref="B1757"/>
    <hyperlink r:id="rId3204" ref="A1758"/>
    <hyperlink r:id="rId3205" ref="B1758"/>
    <hyperlink r:id="rId3206" ref="A1759"/>
    <hyperlink r:id="rId3207" ref="B1759"/>
    <hyperlink r:id="rId3208" ref="A1760"/>
    <hyperlink r:id="rId3209" ref="B1760"/>
    <hyperlink r:id="rId3210" ref="B1761"/>
    <hyperlink r:id="rId3211" ref="B1762"/>
    <hyperlink r:id="rId3212" ref="A1763"/>
    <hyperlink r:id="rId3213" ref="B1763"/>
    <hyperlink r:id="rId3214" ref="A1764"/>
    <hyperlink r:id="rId3215" ref="A1765"/>
    <hyperlink r:id="rId3216" ref="B1765"/>
    <hyperlink r:id="rId3217" ref="A1766"/>
    <hyperlink r:id="rId3218" ref="B1766"/>
    <hyperlink r:id="rId3219" ref="A1767"/>
    <hyperlink r:id="rId3220" ref="B1767"/>
    <hyperlink r:id="rId3221" ref="A1768"/>
    <hyperlink r:id="rId3222" ref="B1768"/>
    <hyperlink r:id="rId3223" ref="A1769"/>
    <hyperlink r:id="rId3224" ref="B1769"/>
    <hyperlink r:id="rId3225" ref="A1770"/>
    <hyperlink r:id="rId3226" ref="B1770"/>
    <hyperlink r:id="rId3227" ref="A1771"/>
    <hyperlink r:id="rId3228" ref="B1771"/>
    <hyperlink r:id="rId3229" ref="A1772"/>
    <hyperlink r:id="rId3230" ref="B1772"/>
    <hyperlink r:id="rId3231" ref="A1773"/>
    <hyperlink r:id="rId3232" ref="B1773"/>
    <hyperlink r:id="rId3233" ref="A1774"/>
    <hyperlink r:id="rId3234" ref="B1774"/>
    <hyperlink r:id="rId3235" ref="A1775"/>
    <hyperlink r:id="rId3236" ref="B1775"/>
    <hyperlink r:id="rId3237" ref="B1776"/>
    <hyperlink r:id="rId3238" ref="B1777"/>
    <hyperlink r:id="rId3239" ref="B1778"/>
    <hyperlink r:id="rId3240" ref="B1779"/>
    <hyperlink r:id="rId3241" ref="B1780"/>
    <hyperlink r:id="rId3242" ref="B1781"/>
    <hyperlink r:id="rId3243" ref="B1782"/>
    <hyperlink r:id="rId3244" ref="B1783"/>
    <hyperlink r:id="rId3245" ref="B1784"/>
    <hyperlink r:id="rId3246" ref="B1785"/>
    <hyperlink r:id="rId3247" ref="B1786"/>
    <hyperlink r:id="rId3248" ref="B1787"/>
    <hyperlink r:id="rId3249" ref="B1788"/>
    <hyperlink r:id="rId3250" ref="B1789"/>
    <hyperlink r:id="rId3251" ref="B1790"/>
    <hyperlink r:id="rId3252" ref="B1791"/>
    <hyperlink r:id="rId3253" ref="B1792"/>
    <hyperlink r:id="rId3254" ref="B1793"/>
    <hyperlink r:id="rId3255" ref="B1794"/>
    <hyperlink r:id="rId3256" ref="B1795"/>
    <hyperlink r:id="rId3257" ref="B1796"/>
    <hyperlink r:id="rId3258" ref="B1797"/>
    <hyperlink r:id="rId3259" ref="B1798"/>
    <hyperlink r:id="rId3260" ref="B1799"/>
    <hyperlink r:id="rId3261" ref="B1800"/>
    <hyperlink r:id="rId3262" ref="B1801"/>
    <hyperlink r:id="rId3263" ref="B1802"/>
    <hyperlink r:id="rId3264" ref="B1803"/>
    <hyperlink r:id="rId3265" ref="B1804"/>
    <hyperlink r:id="rId3266" ref="B1805"/>
    <hyperlink r:id="rId3267" ref="B1806"/>
    <hyperlink r:id="rId3268" ref="B1807"/>
    <hyperlink r:id="rId3269" ref="B1808"/>
    <hyperlink r:id="rId3270" ref="B1809"/>
    <hyperlink r:id="rId3271" ref="B1810"/>
    <hyperlink r:id="rId3272" ref="B1811"/>
    <hyperlink r:id="rId3273" ref="B1812"/>
    <hyperlink r:id="rId3274" ref="B1813"/>
    <hyperlink r:id="rId3275" ref="B1814"/>
    <hyperlink r:id="rId3276" ref="B1815"/>
    <hyperlink r:id="rId3277" ref="B1816"/>
    <hyperlink r:id="rId3278" ref="B1817"/>
    <hyperlink r:id="rId3279" ref="B1818"/>
    <hyperlink r:id="rId3280" ref="B1819"/>
    <hyperlink r:id="rId3281" ref="B1820"/>
    <hyperlink r:id="rId3282" ref="B1821"/>
    <hyperlink r:id="rId3283" ref="B1822"/>
    <hyperlink r:id="rId3284" ref="B1823"/>
    <hyperlink r:id="rId3285" ref="B1824"/>
    <hyperlink r:id="rId3286" ref="B1825"/>
    <hyperlink r:id="rId3287" ref="B1826"/>
    <hyperlink r:id="rId3288" ref="B1827"/>
    <hyperlink r:id="rId3289" ref="B1828"/>
    <hyperlink r:id="rId3290" ref="B1829"/>
    <hyperlink r:id="rId3291" ref="B1830"/>
    <hyperlink r:id="rId3292" ref="B1831"/>
    <hyperlink r:id="rId3293" ref="B1832"/>
    <hyperlink r:id="rId3294" ref="B1833"/>
    <hyperlink r:id="rId3295" ref="B1834"/>
    <hyperlink r:id="rId3296" ref="B1835"/>
    <hyperlink r:id="rId3297" ref="B1836"/>
    <hyperlink r:id="rId3298" ref="B1837"/>
    <hyperlink r:id="rId3299" ref="B1838"/>
    <hyperlink r:id="rId3300" ref="B1839"/>
    <hyperlink r:id="rId3301" ref="B1840"/>
    <hyperlink r:id="rId3302" ref="B1841"/>
    <hyperlink r:id="rId3303" ref="B1842"/>
    <hyperlink r:id="rId3304" ref="B1843"/>
    <hyperlink r:id="rId3305" ref="B1844"/>
    <hyperlink r:id="rId3306" ref="B1845"/>
    <hyperlink r:id="rId3307" ref="B1846"/>
    <hyperlink r:id="rId3308" ref="B1847"/>
    <hyperlink r:id="rId3309" ref="B1848"/>
    <hyperlink r:id="rId3310" ref="B1849"/>
    <hyperlink r:id="rId3311" ref="B1850"/>
    <hyperlink r:id="rId3312" ref="B1851"/>
    <hyperlink r:id="rId3313" ref="B1852"/>
    <hyperlink r:id="rId3314" ref="B1853"/>
    <hyperlink r:id="rId3315" ref="B1854"/>
    <hyperlink r:id="rId3316" ref="B1855"/>
    <hyperlink r:id="rId3317" ref="B1856"/>
    <hyperlink r:id="rId3318" ref="B1857"/>
    <hyperlink r:id="rId3319" ref="B1858"/>
    <hyperlink r:id="rId3320" ref="B1859"/>
    <hyperlink r:id="rId3321" ref="B1860"/>
    <hyperlink r:id="rId3322" ref="B1861"/>
    <hyperlink r:id="rId3323" ref="B1862"/>
    <hyperlink r:id="rId3324" ref="B1863"/>
    <hyperlink r:id="rId3325" ref="B1864"/>
    <hyperlink r:id="rId3326" ref="B1865"/>
    <hyperlink r:id="rId3327" ref="B1866"/>
    <hyperlink r:id="rId3328" ref="B1867"/>
    <hyperlink r:id="rId3329" ref="B1868"/>
    <hyperlink r:id="rId3330" ref="B1869"/>
    <hyperlink r:id="rId3331" ref="B1870"/>
    <hyperlink r:id="rId3332" ref="B1871"/>
    <hyperlink r:id="rId3333" ref="B1872"/>
    <hyperlink r:id="rId3334" ref="B1873"/>
    <hyperlink r:id="rId3335" ref="B1874"/>
    <hyperlink r:id="rId3336" ref="B1875"/>
    <hyperlink r:id="rId3337" ref="B1876"/>
    <hyperlink r:id="rId3338" ref="B1877"/>
    <hyperlink r:id="rId3339" ref="B1878"/>
    <hyperlink r:id="rId3340" ref="B1879"/>
    <hyperlink r:id="rId3341" ref="B1880"/>
    <hyperlink r:id="rId3342" ref="B1881"/>
    <hyperlink r:id="rId3343" ref="B1882"/>
    <hyperlink r:id="rId3344" ref="B1883"/>
    <hyperlink r:id="rId3345" ref="B1884"/>
    <hyperlink r:id="rId3346" ref="B1885"/>
    <hyperlink r:id="rId3347" ref="B1886"/>
    <hyperlink r:id="rId3348" ref="B1887"/>
    <hyperlink r:id="rId3349" ref="B1888"/>
    <hyperlink r:id="rId3350" ref="B1889"/>
    <hyperlink r:id="rId3351" ref="B1890"/>
    <hyperlink r:id="rId3352" ref="B1891"/>
    <hyperlink r:id="rId3353" ref="B1892"/>
    <hyperlink r:id="rId3354" ref="B1893"/>
    <hyperlink r:id="rId3355" ref="B1894"/>
    <hyperlink r:id="rId3356" ref="B1895"/>
    <hyperlink r:id="rId3357" ref="B1896"/>
    <hyperlink r:id="rId3358" ref="B1897"/>
    <hyperlink r:id="rId3359" ref="B1898"/>
    <hyperlink r:id="rId3360" ref="B1899"/>
    <hyperlink r:id="rId3361" ref="B1900"/>
    <hyperlink r:id="rId3362" ref="B1901"/>
    <hyperlink r:id="rId3363" ref="B1902"/>
    <hyperlink r:id="rId3364" ref="B1903"/>
    <hyperlink r:id="rId3365" ref="B1904"/>
    <hyperlink r:id="rId3366" ref="B1905"/>
    <hyperlink r:id="rId3367" ref="B1906"/>
    <hyperlink r:id="rId3368" ref="B1907"/>
    <hyperlink r:id="rId3369" ref="B1908"/>
    <hyperlink r:id="rId3370" ref="B1909"/>
    <hyperlink r:id="rId3371" ref="B1910"/>
    <hyperlink r:id="rId3372" ref="B1911"/>
    <hyperlink r:id="rId3373" ref="B1912"/>
    <hyperlink r:id="rId3374" ref="B1913"/>
    <hyperlink r:id="rId3375" ref="B1914"/>
    <hyperlink r:id="rId3376" ref="B1915"/>
    <hyperlink r:id="rId3377" ref="B1916"/>
    <hyperlink r:id="rId3378" ref="B1917"/>
    <hyperlink r:id="rId3379" ref="B1918"/>
    <hyperlink r:id="rId3380" ref="B1919"/>
    <hyperlink r:id="rId3381" ref="B1920"/>
    <hyperlink r:id="rId3382" ref="B1921"/>
    <hyperlink r:id="rId3383" ref="B1922"/>
    <hyperlink r:id="rId3384" ref="B1923"/>
    <hyperlink r:id="rId3385" ref="B1924"/>
    <hyperlink r:id="rId3386" ref="B1925"/>
    <hyperlink r:id="rId3387" ref="B1926"/>
    <hyperlink r:id="rId3388" ref="B1927"/>
    <hyperlink r:id="rId3389" ref="B1928"/>
    <hyperlink r:id="rId3390" ref="B1929"/>
    <hyperlink r:id="rId3391" ref="B1930"/>
    <hyperlink r:id="rId3392" ref="B1931"/>
    <hyperlink r:id="rId3393" ref="B1932"/>
    <hyperlink r:id="rId3394" ref="B1933"/>
    <hyperlink r:id="rId3395" ref="B1934"/>
    <hyperlink r:id="rId3396" ref="B1935"/>
    <hyperlink r:id="rId3397" ref="B1936"/>
    <hyperlink r:id="rId3398" ref="B1937"/>
    <hyperlink r:id="rId3399" ref="B1938"/>
    <hyperlink r:id="rId3400" ref="B1939"/>
    <hyperlink r:id="rId3401" ref="B1940"/>
    <hyperlink r:id="rId3402" ref="B1941"/>
    <hyperlink r:id="rId3403" ref="B1942"/>
    <hyperlink r:id="rId3404" ref="B1943"/>
    <hyperlink r:id="rId3405" ref="B1944"/>
    <hyperlink r:id="rId3406" ref="B1945"/>
    <hyperlink r:id="rId3407" ref="B1946"/>
    <hyperlink r:id="rId3408" ref="B1947"/>
    <hyperlink r:id="rId3409" ref="B1948"/>
    <hyperlink r:id="rId3410" ref="B1949"/>
    <hyperlink r:id="rId3411" ref="B1950"/>
    <hyperlink r:id="rId3412" ref="B1951"/>
    <hyperlink r:id="rId3413" ref="B1952"/>
    <hyperlink r:id="rId3414" ref="B1953"/>
    <hyperlink r:id="rId3415" ref="B1954"/>
    <hyperlink r:id="rId3416" ref="B1955"/>
    <hyperlink r:id="rId3417" ref="B1956"/>
    <hyperlink r:id="rId3418" ref="B1957"/>
    <hyperlink r:id="rId3419" ref="B1958"/>
    <hyperlink r:id="rId3420" ref="B1959"/>
    <hyperlink r:id="rId3421" ref="B1960"/>
    <hyperlink r:id="rId3422" ref="B1961"/>
    <hyperlink r:id="rId3423" ref="B1962"/>
    <hyperlink r:id="rId3424" ref="B1963"/>
    <hyperlink r:id="rId3425" ref="B1964"/>
    <hyperlink r:id="rId3426" ref="B1965"/>
    <hyperlink r:id="rId3427" ref="B1966"/>
    <hyperlink r:id="rId3428" ref="B1967"/>
    <hyperlink r:id="rId3429" ref="B1968"/>
    <hyperlink r:id="rId3430" ref="B1969"/>
    <hyperlink r:id="rId3431" ref="B1970"/>
    <hyperlink r:id="rId3432" ref="B1971"/>
    <hyperlink r:id="rId3433" ref="B1972"/>
    <hyperlink r:id="rId3434" ref="B1973"/>
    <hyperlink r:id="rId3435" ref="B1974"/>
    <hyperlink r:id="rId3436" ref="B1975"/>
    <hyperlink r:id="rId3437" ref="B1976"/>
    <hyperlink r:id="rId3438" ref="B1977"/>
    <hyperlink r:id="rId3439" ref="B1978"/>
    <hyperlink r:id="rId3440" ref="B1979"/>
    <hyperlink r:id="rId3441" ref="B1980"/>
    <hyperlink r:id="rId3442" ref="B1981"/>
    <hyperlink r:id="rId3443" ref="B1982"/>
    <hyperlink r:id="rId3444" ref="B1983"/>
    <hyperlink r:id="rId3445" ref="B1984"/>
    <hyperlink r:id="rId3446" ref="B1985"/>
    <hyperlink r:id="rId3447" ref="B1986"/>
    <hyperlink r:id="rId3448" ref="B1987"/>
    <hyperlink r:id="rId3449" ref="B1988"/>
    <hyperlink r:id="rId3450" ref="B1989"/>
    <hyperlink r:id="rId3451" ref="B1990"/>
    <hyperlink r:id="rId3452" ref="B1991"/>
    <hyperlink r:id="rId3453" ref="B1992"/>
    <hyperlink r:id="rId3454" ref="B1993"/>
    <hyperlink r:id="rId3455" ref="B1994"/>
    <hyperlink r:id="rId3456" ref="B1995"/>
    <hyperlink r:id="rId3457" ref="B1996"/>
    <hyperlink r:id="rId3458" ref="B1997"/>
    <hyperlink r:id="rId3459" ref="B1998"/>
    <hyperlink r:id="rId3460" ref="B1999"/>
    <hyperlink r:id="rId3461" ref="B2000"/>
    <hyperlink r:id="rId3462" ref="B2001"/>
    <hyperlink r:id="rId3463" ref="B2002"/>
    <hyperlink r:id="rId3464" ref="B2003"/>
    <hyperlink r:id="rId3465" ref="B2004"/>
    <hyperlink r:id="rId3466" ref="B2005"/>
    <hyperlink r:id="rId3467" ref="B2006"/>
    <hyperlink r:id="rId3468" ref="B2007"/>
    <hyperlink r:id="rId3469" ref="B2008"/>
    <hyperlink r:id="rId3470" ref="B2009"/>
    <hyperlink r:id="rId3471" ref="B2010"/>
    <hyperlink r:id="rId3472" ref="B2011"/>
    <hyperlink r:id="rId3473" ref="B2012"/>
    <hyperlink r:id="rId3474" ref="B2013"/>
    <hyperlink r:id="rId3475" ref="B2014"/>
    <hyperlink r:id="rId3476" ref="B2015"/>
    <hyperlink r:id="rId3477" ref="B2016"/>
    <hyperlink r:id="rId3478" ref="B2017"/>
    <hyperlink r:id="rId3479" ref="B2018"/>
    <hyperlink r:id="rId3480" ref="B2019"/>
    <hyperlink r:id="rId3481" ref="B2020"/>
    <hyperlink r:id="rId3482" ref="B2021"/>
    <hyperlink r:id="rId3483" ref="B2022"/>
    <hyperlink r:id="rId3484" ref="B2023"/>
    <hyperlink r:id="rId3485" ref="B2024"/>
    <hyperlink r:id="rId3486" ref="B2025"/>
    <hyperlink r:id="rId3487" ref="B2026"/>
    <hyperlink r:id="rId3488" ref="B2027"/>
    <hyperlink r:id="rId3489" ref="B2028"/>
    <hyperlink r:id="rId3490" ref="B2029"/>
    <hyperlink r:id="rId3491" ref="B2030"/>
    <hyperlink r:id="rId3492" ref="B2031"/>
    <hyperlink r:id="rId3493" ref="B2032"/>
    <hyperlink r:id="rId3494" ref="B2033"/>
    <hyperlink r:id="rId3495" ref="B2034"/>
    <hyperlink r:id="rId3496" ref="B2035"/>
    <hyperlink r:id="rId3497" ref="B2036"/>
    <hyperlink r:id="rId3498" ref="B2037"/>
    <hyperlink r:id="rId3499" ref="B2038"/>
    <hyperlink r:id="rId3500" ref="B2039"/>
    <hyperlink r:id="rId3501" ref="B2040"/>
    <hyperlink r:id="rId3502" ref="B2041"/>
    <hyperlink r:id="rId3503" ref="B2042"/>
    <hyperlink r:id="rId3504" ref="B2043"/>
    <hyperlink r:id="rId3505" ref="B2044"/>
    <hyperlink r:id="rId3506" ref="B2045"/>
    <hyperlink r:id="rId3507" ref="B2046"/>
    <hyperlink r:id="rId3508" ref="B2047"/>
    <hyperlink r:id="rId3509" ref="B2048"/>
    <hyperlink r:id="rId3510" ref="B2049"/>
    <hyperlink r:id="rId3511" ref="B2050"/>
    <hyperlink r:id="rId3512" ref="B2051"/>
    <hyperlink r:id="rId3513" ref="B2052"/>
    <hyperlink r:id="rId3514" ref="B2053"/>
    <hyperlink r:id="rId3515" ref="B2054"/>
    <hyperlink r:id="rId3516" ref="B2055"/>
    <hyperlink r:id="rId3517" ref="B2056"/>
    <hyperlink r:id="rId3518" ref="B2057"/>
    <hyperlink r:id="rId3519" ref="B2058"/>
    <hyperlink r:id="rId3520" ref="B2059"/>
    <hyperlink r:id="rId3521" ref="B2060"/>
    <hyperlink r:id="rId3522" ref="B2061"/>
    <hyperlink r:id="rId3523" ref="B2062"/>
    <hyperlink r:id="rId3524" ref="B2063"/>
    <hyperlink r:id="rId3525" ref="B2064"/>
    <hyperlink r:id="rId3526" ref="B2065"/>
    <hyperlink r:id="rId3527" ref="B2066"/>
    <hyperlink r:id="rId3528" ref="B2067"/>
    <hyperlink r:id="rId3529" ref="B2068"/>
    <hyperlink r:id="rId3530" ref="B2069"/>
    <hyperlink r:id="rId3531" ref="B2070"/>
    <hyperlink r:id="rId3532" ref="B2071"/>
    <hyperlink r:id="rId3533" ref="B2072"/>
    <hyperlink r:id="rId3534" ref="B2073"/>
    <hyperlink r:id="rId3535" location="home" ref="B2074"/>
    <hyperlink r:id="rId3536" ref="B2075"/>
    <hyperlink r:id="rId3537" ref="B2076"/>
    <hyperlink r:id="rId3538" ref="B2077"/>
    <hyperlink r:id="rId3539" ref="B2078"/>
    <hyperlink r:id="rId3540" ref="B2079"/>
    <hyperlink r:id="rId3541" ref="B2080"/>
    <hyperlink r:id="rId3542" ref="B2081"/>
    <hyperlink r:id="rId3543" ref="B2082"/>
    <hyperlink r:id="rId3544" ref="B2083"/>
    <hyperlink r:id="rId3545" ref="B2084"/>
    <hyperlink r:id="rId3546" ref="B2085"/>
    <hyperlink r:id="rId3547" ref="B2086"/>
    <hyperlink r:id="rId3548" ref="B2087"/>
    <hyperlink r:id="rId3549" ref="B2088"/>
    <hyperlink r:id="rId3550" ref="B2089"/>
    <hyperlink r:id="rId3551" ref="B2090"/>
    <hyperlink r:id="rId3552" ref="B2091"/>
    <hyperlink r:id="rId3553" ref="B2092"/>
    <hyperlink r:id="rId3554" ref="B2093"/>
    <hyperlink r:id="rId3555" ref="B2094"/>
    <hyperlink r:id="rId3556" ref="B2095"/>
    <hyperlink r:id="rId3557" ref="B2096"/>
    <hyperlink r:id="rId3558" ref="B2097"/>
    <hyperlink r:id="rId3559" ref="B2098"/>
    <hyperlink r:id="rId3560" ref="B2099"/>
    <hyperlink r:id="rId3561" ref="B2100"/>
    <hyperlink r:id="rId3562" ref="B2101"/>
    <hyperlink r:id="rId3563" ref="B2102"/>
    <hyperlink r:id="rId3564" ref="B2103"/>
    <hyperlink r:id="rId3565" ref="B2104"/>
    <hyperlink r:id="rId3566" ref="B2105"/>
    <hyperlink r:id="rId3567" ref="B2106"/>
    <hyperlink r:id="rId3568" ref="B2107"/>
    <hyperlink r:id="rId3569" ref="B2108"/>
    <hyperlink r:id="rId3570" ref="B2109"/>
    <hyperlink r:id="rId3571" ref="B2110"/>
    <hyperlink r:id="rId3572" location="home" ref="B2111"/>
    <hyperlink r:id="rId3573" ref="B2112"/>
    <hyperlink r:id="rId3574" ref="B2113"/>
    <hyperlink r:id="rId3575" ref="B2114"/>
    <hyperlink r:id="rId3576" ref="B2115"/>
    <hyperlink r:id="rId3577" ref="B2116"/>
    <hyperlink r:id="rId3578" ref="B2117"/>
    <hyperlink r:id="rId3579" ref="B2118"/>
    <hyperlink r:id="rId3580" ref="B2119"/>
    <hyperlink r:id="rId3581" ref="B2120"/>
    <hyperlink r:id="rId3582" ref="B2121"/>
    <hyperlink r:id="rId3583" ref="B2122"/>
    <hyperlink r:id="rId3584" ref="B2123"/>
    <hyperlink r:id="rId3585" ref="B2124"/>
    <hyperlink r:id="rId3586" ref="B2125"/>
    <hyperlink r:id="rId3587" ref="B2126"/>
    <hyperlink r:id="rId3588" ref="B2127"/>
    <hyperlink r:id="rId3589" ref="B2128"/>
    <hyperlink r:id="rId3590" ref="B2129"/>
    <hyperlink r:id="rId3591" ref="B2130"/>
    <hyperlink r:id="rId3592" ref="B2131"/>
    <hyperlink r:id="rId3593" ref="B2132"/>
    <hyperlink r:id="rId3594" ref="B2133"/>
    <hyperlink r:id="rId3595" ref="B2134"/>
    <hyperlink r:id="rId3596" ref="B2135"/>
    <hyperlink r:id="rId3597" ref="B2136"/>
    <hyperlink r:id="rId3598" ref="B2137"/>
    <hyperlink r:id="rId3599" ref="B2138"/>
    <hyperlink r:id="rId3600" ref="B2139"/>
    <hyperlink r:id="rId3601" ref="B2140"/>
    <hyperlink r:id="rId3602" ref="B2141"/>
    <hyperlink r:id="rId3603" ref="B2142"/>
    <hyperlink r:id="rId3604" ref="B2143"/>
    <hyperlink r:id="rId3605" ref="B2144"/>
    <hyperlink r:id="rId3606" ref="B2145"/>
    <hyperlink r:id="rId3607" ref="B2146"/>
    <hyperlink r:id="rId3608" ref="B2147"/>
    <hyperlink r:id="rId3609" ref="B2148"/>
    <hyperlink r:id="rId3610" ref="B2149"/>
    <hyperlink r:id="rId3611" ref="B2150"/>
    <hyperlink r:id="rId3612" ref="B2151"/>
    <hyperlink r:id="rId3613" ref="B2152"/>
    <hyperlink r:id="rId3614" ref="B2153"/>
    <hyperlink r:id="rId3615" ref="B2154"/>
    <hyperlink r:id="rId3616" ref="B2155"/>
    <hyperlink r:id="rId3617" ref="B2156"/>
    <hyperlink r:id="rId3618" ref="B2157"/>
    <hyperlink r:id="rId3619" ref="B2158"/>
    <hyperlink r:id="rId3620" ref="B2159"/>
    <hyperlink r:id="rId3621" ref="B2160"/>
    <hyperlink r:id="rId3622" ref="B2161"/>
    <hyperlink r:id="rId3623" ref="B2162"/>
    <hyperlink r:id="rId3624" ref="B2163"/>
    <hyperlink r:id="rId3625" ref="B2164"/>
    <hyperlink r:id="rId3626" ref="B2165"/>
    <hyperlink r:id="rId3627" ref="B2166"/>
    <hyperlink r:id="rId3628" ref="B2167"/>
    <hyperlink r:id="rId3629" ref="B2168"/>
    <hyperlink r:id="rId3630" ref="B2169"/>
    <hyperlink r:id="rId3631" ref="B2170"/>
    <hyperlink r:id="rId3632" ref="B2171"/>
    <hyperlink r:id="rId3633" ref="B2172"/>
    <hyperlink r:id="rId3634" ref="B2173"/>
    <hyperlink r:id="rId3635" ref="B2174"/>
    <hyperlink r:id="rId3636" ref="B2175"/>
    <hyperlink r:id="rId3637" ref="B2176"/>
    <hyperlink r:id="rId3638" ref="B2177"/>
    <hyperlink r:id="rId3639" ref="B2178"/>
    <hyperlink r:id="rId3640" ref="B2179"/>
    <hyperlink r:id="rId3641" ref="B2180"/>
    <hyperlink r:id="rId3642" ref="B2181"/>
    <hyperlink r:id="rId3643" ref="B2182"/>
    <hyperlink r:id="rId3644" ref="B2183"/>
    <hyperlink r:id="rId3645" ref="B2184"/>
    <hyperlink r:id="rId3646" ref="B2185"/>
    <hyperlink r:id="rId3647" ref="B2186"/>
    <hyperlink r:id="rId3648" ref="B2187"/>
    <hyperlink r:id="rId3649" ref="B2188"/>
    <hyperlink r:id="rId3650" ref="B2189"/>
    <hyperlink r:id="rId3651" ref="B2190"/>
    <hyperlink r:id="rId3652" ref="B2191"/>
    <hyperlink r:id="rId3653" ref="B2192"/>
    <hyperlink r:id="rId3654" ref="B2193"/>
    <hyperlink r:id="rId3655" ref="B2194"/>
    <hyperlink r:id="rId3656" ref="B2195"/>
    <hyperlink r:id="rId3657" ref="B2196"/>
    <hyperlink r:id="rId3658" ref="B2197"/>
    <hyperlink r:id="rId3659" ref="B2198"/>
    <hyperlink r:id="rId3660" ref="B2199"/>
    <hyperlink r:id="rId3661" ref="B2200"/>
    <hyperlink r:id="rId3662" ref="B2201"/>
    <hyperlink r:id="rId3663" ref="B2202"/>
    <hyperlink r:id="rId3664" ref="B2203"/>
    <hyperlink r:id="rId3665" ref="B2204"/>
    <hyperlink r:id="rId3666" ref="B2205"/>
    <hyperlink r:id="rId3667" ref="B2206"/>
    <hyperlink r:id="rId3668" ref="B2207"/>
    <hyperlink r:id="rId3669" ref="B2208"/>
    <hyperlink r:id="rId3670" ref="B2209"/>
    <hyperlink r:id="rId3671" ref="B2210"/>
    <hyperlink r:id="rId3672" ref="B2211"/>
    <hyperlink r:id="rId3673" ref="B2212"/>
    <hyperlink r:id="rId3674" ref="B2213"/>
    <hyperlink r:id="rId3675" ref="B2214"/>
    <hyperlink r:id="rId3676" ref="B2215"/>
    <hyperlink r:id="rId3677" ref="B2216"/>
    <hyperlink r:id="rId3678" ref="B2217"/>
    <hyperlink r:id="rId3679" ref="B2218"/>
    <hyperlink r:id="rId3680" ref="B2219"/>
    <hyperlink r:id="rId3681" ref="B2220"/>
    <hyperlink r:id="rId3682" ref="B2221"/>
    <hyperlink r:id="rId3683" ref="B2222"/>
    <hyperlink r:id="rId3684" ref="B2223"/>
    <hyperlink r:id="rId3685" ref="B2224"/>
    <hyperlink r:id="rId3686" ref="B2225"/>
    <hyperlink r:id="rId3687" ref="B2226"/>
    <hyperlink r:id="rId3688" ref="B2227"/>
    <hyperlink r:id="rId3689" ref="B2228"/>
    <hyperlink r:id="rId3690" ref="B2229"/>
    <hyperlink r:id="rId3691" ref="B2230"/>
    <hyperlink r:id="rId3692" ref="B2231"/>
    <hyperlink r:id="rId3693" ref="B2232"/>
    <hyperlink r:id="rId3694" ref="B2233"/>
    <hyperlink r:id="rId3695" ref="B2234"/>
    <hyperlink r:id="rId3696" ref="B2235"/>
    <hyperlink r:id="rId3697" ref="B2236"/>
    <hyperlink r:id="rId3698" ref="B2237"/>
    <hyperlink r:id="rId3699" ref="B2238"/>
    <hyperlink r:id="rId3700" ref="B2239"/>
    <hyperlink r:id="rId3701" ref="B2240"/>
    <hyperlink r:id="rId3702" ref="B2241"/>
    <hyperlink r:id="rId3703" ref="B2242"/>
    <hyperlink r:id="rId3704" ref="B2243"/>
    <hyperlink r:id="rId3705" ref="B2244"/>
    <hyperlink r:id="rId3706" ref="B2245"/>
    <hyperlink r:id="rId3707" ref="B2246"/>
    <hyperlink r:id="rId3708" ref="B2247"/>
    <hyperlink r:id="rId3709" ref="B2248"/>
    <hyperlink r:id="rId3710" ref="B2249"/>
    <hyperlink r:id="rId3711" ref="B2250"/>
    <hyperlink r:id="rId3712" ref="B2251"/>
    <hyperlink r:id="rId3713" ref="B2252"/>
    <hyperlink r:id="rId3714" ref="B2253"/>
    <hyperlink r:id="rId3715" ref="B2254"/>
    <hyperlink r:id="rId3716" ref="B2255"/>
    <hyperlink r:id="rId3717" ref="B2256"/>
    <hyperlink r:id="rId3718" ref="B2257"/>
    <hyperlink r:id="rId3719" ref="B2258"/>
    <hyperlink r:id="rId3720" ref="B2259"/>
    <hyperlink r:id="rId3721" ref="B2260"/>
    <hyperlink r:id="rId3722" ref="B2261"/>
    <hyperlink r:id="rId3723" ref="B2262"/>
    <hyperlink r:id="rId3724" ref="B2263"/>
    <hyperlink r:id="rId3725" ref="B2264"/>
    <hyperlink r:id="rId3726" ref="B2265"/>
    <hyperlink r:id="rId3727" ref="B2266"/>
    <hyperlink r:id="rId3728" ref="B2267"/>
    <hyperlink r:id="rId3729" ref="B2268"/>
    <hyperlink r:id="rId3730" ref="B2269"/>
    <hyperlink r:id="rId3731" ref="B2270"/>
    <hyperlink r:id="rId3732" ref="B2271"/>
    <hyperlink r:id="rId3733" ref="B2272"/>
    <hyperlink r:id="rId3734" ref="B2273"/>
    <hyperlink r:id="rId3735" ref="B2274"/>
    <hyperlink r:id="rId3736" ref="B2275"/>
    <hyperlink r:id="rId3737" ref="B2276"/>
    <hyperlink r:id="rId3738" ref="B2277"/>
    <hyperlink r:id="rId3739" ref="B2278"/>
    <hyperlink r:id="rId3740" ref="B2279"/>
    <hyperlink r:id="rId3741" ref="B2280"/>
    <hyperlink r:id="rId3742" ref="B2281"/>
    <hyperlink r:id="rId3743" ref="B2282"/>
    <hyperlink r:id="rId3744" ref="B2283"/>
    <hyperlink r:id="rId3745" ref="B2284"/>
    <hyperlink r:id="rId3746" ref="B2285"/>
    <hyperlink r:id="rId3747" ref="B2286"/>
    <hyperlink r:id="rId3748" ref="B2287"/>
    <hyperlink r:id="rId3749" ref="B2288"/>
    <hyperlink r:id="rId3750" ref="B2289"/>
    <hyperlink r:id="rId3751" ref="B2290"/>
    <hyperlink r:id="rId3752" ref="B2291"/>
    <hyperlink r:id="rId3753" ref="B2292"/>
    <hyperlink r:id="rId3754" ref="B2293"/>
    <hyperlink r:id="rId3755" ref="B2294"/>
    <hyperlink r:id="rId3756" ref="B2295"/>
    <hyperlink r:id="rId3757" ref="B2296"/>
    <hyperlink r:id="rId3758" ref="B2297"/>
    <hyperlink r:id="rId3759" ref="B2298"/>
    <hyperlink r:id="rId3760" ref="B2299"/>
    <hyperlink r:id="rId3761" ref="B2300"/>
    <hyperlink r:id="rId3762" ref="B2301"/>
    <hyperlink r:id="rId3763" ref="B2302"/>
    <hyperlink r:id="rId3764" ref="B2303"/>
    <hyperlink r:id="rId3765" ref="B2304"/>
    <hyperlink r:id="rId3766" ref="B2305"/>
    <hyperlink r:id="rId3767" ref="B2306"/>
    <hyperlink r:id="rId3768" ref="B2307"/>
    <hyperlink r:id="rId3769" ref="B2308"/>
    <hyperlink r:id="rId3770" ref="B2309"/>
    <hyperlink r:id="rId3771" ref="B2310"/>
    <hyperlink r:id="rId3772" ref="B2311"/>
    <hyperlink r:id="rId3773" ref="B2312"/>
    <hyperlink r:id="rId3774" ref="B2313"/>
    <hyperlink r:id="rId3775" ref="B2314"/>
    <hyperlink r:id="rId3776" ref="B2315"/>
    <hyperlink r:id="rId3777" ref="B2316"/>
    <hyperlink r:id="rId3778" ref="B2317"/>
    <hyperlink r:id="rId3779" ref="B2318"/>
    <hyperlink r:id="rId3780" ref="B2319"/>
    <hyperlink r:id="rId3781" ref="B2320"/>
    <hyperlink r:id="rId3782" ref="B2321"/>
    <hyperlink r:id="rId3783" ref="B2322"/>
    <hyperlink r:id="rId3784" ref="B2323"/>
    <hyperlink r:id="rId3785" ref="B2324"/>
    <hyperlink r:id="rId3786" ref="B2325"/>
    <hyperlink r:id="rId3787" ref="B2326"/>
    <hyperlink r:id="rId3788" ref="B2328"/>
    <hyperlink r:id="rId3789" ref="B2329"/>
    <hyperlink r:id="rId3790" ref="B2330"/>
    <hyperlink r:id="rId3791" ref="B2331"/>
    <hyperlink r:id="rId3792" ref="B2332"/>
    <hyperlink r:id="rId3793" ref="B2333"/>
    <hyperlink r:id="rId3794" ref="B2334"/>
    <hyperlink r:id="rId3795" ref="B2335"/>
    <hyperlink r:id="rId3796" ref="B2336"/>
    <hyperlink r:id="rId3797" ref="B2337"/>
    <hyperlink r:id="rId3798" ref="B2338"/>
    <hyperlink r:id="rId3799" ref="B2339"/>
    <hyperlink r:id="rId3800" ref="B2340"/>
    <hyperlink r:id="rId3801" ref="B2341"/>
    <hyperlink r:id="rId3802" ref="B2342"/>
    <hyperlink r:id="rId3803" ref="B2343"/>
    <hyperlink r:id="rId3804" ref="B2344"/>
    <hyperlink r:id="rId3805" ref="B2345"/>
    <hyperlink r:id="rId3806" ref="B2346"/>
    <hyperlink r:id="rId3807" ref="B2347"/>
    <hyperlink r:id="rId3808" location="gsc.tab=0" ref="B2348"/>
    <hyperlink r:id="rId3809" ref="B2349"/>
    <hyperlink r:id="rId3810" ref="B2350"/>
    <hyperlink r:id="rId3811" ref="B2351"/>
    <hyperlink r:id="rId3812" ref="B2352"/>
    <hyperlink r:id="rId3813" ref="B2353"/>
    <hyperlink r:id="rId3814" ref="B2354"/>
    <hyperlink r:id="rId3815" ref="B2355"/>
    <hyperlink r:id="rId3816" ref="B2356"/>
    <hyperlink r:id="rId3817" ref="B2357"/>
    <hyperlink r:id="rId3818" ref="B2358"/>
    <hyperlink r:id="rId3819" ref="B2360"/>
    <hyperlink r:id="rId3820" ref="B2362"/>
    <hyperlink r:id="rId3821" ref="B2363"/>
    <hyperlink r:id="rId3822" ref="B2364"/>
    <hyperlink r:id="rId3823" ref="B2365"/>
    <hyperlink r:id="rId3824" ref="B2366"/>
    <hyperlink r:id="rId3825" ref="B2367"/>
    <hyperlink r:id="rId3826" ref="B2368"/>
    <hyperlink r:id="rId3827" ref="B2369"/>
    <hyperlink r:id="rId3828" ref="B2370"/>
    <hyperlink r:id="rId3829" ref="B2371"/>
    <hyperlink r:id="rId3830" ref="B2372"/>
    <hyperlink r:id="rId3831" ref="B2374"/>
    <hyperlink r:id="rId3832" ref="B2375"/>
    <hyperlink r:id="rId3833" ref="B2376"/>
    <hyperlink r:id="rId3834" ref="B2377"/>
    <hyperlink r:id="rId3835" ref="B2378"/>
    <hyperlink r:id="rId3836" ref="B2379"/>
    <hyperlink r:id="rId3837" ref="B2380"/>
    <hyperlink r:id="rId3838" ref="B2381"/>
    <hyperlink r:id="rId3839" ref="B2382"/>
    <hyperlink r:id="rId3840" ref="B2383"/>
    <hyperlink r:id="rId3841" ref="B2386"/>
    <hyperlink r:id="rId3842" ref="B2387"/>
    <hyperlink r:id="rId3843" ref="B2388"/>
    <hyperlink r:id="rId3844" ref="B2389"/>
    <hyperlink r:id="rId3845" ref="B2390"/>
    <hyperlink r:id="rId3846" ref="B2391"/>
    <hyperlink r:id="rId3847" ref="B2392"/>
    <hyperlink r:id="rId3848" ref="B2393"/>
    <hyperlink r:id="rId3849" ref="B2394"/>
    <hyperlink r:id="rId3850" ref="B2395"/>
    <hyperlink r:id="rId3851" ref="B2396"/>
    <hyperlink r:id="rId3852" ref="B2399"/>
    <hyperlink r:id="rId3853" ref="B2400"/>
    <hyperlink r:id="rId3854" ref="B2401"/>
    <hyperlink r:id="rId3855" ref="B2402"/>
    <hyperlink r:id="rId3856" ref="B2403"/>
    <hyperlink r:id="rId3857" ref="B2405"/>
    <hyperlink r:id="rId3858" ref="B2406"/>
    <hyperlink r:id="rId3859" ref="B2407"/>
    <hyperlink r:id="rId3860" ref="B2409"/>
    <hyperlink r:id="rId3861" ref="B2410"/>
    <hyperlink r:id="rId3862" ref="B2411"/>
    <hyperlink r:id="rId3863" ref="B2412"/>
    <hyperlink r:id="rId3864" ref="B2413"/>
    <hyperlink r:id="rId3865" ref="B2414"/>
    <hyperlink r:id="rId3866" ref="B2415"/>
    <hyperlink r:id="rId3867" ref="B2416"/>
    <hyperlink r:id="rId3868" ref="B2417"/>
    <hyperlink r:id="rId3869" ref="B2418"/>
    <hyperlink r:id="rId3870" ref="B2419"/>
    <hyperlink r:id="rId3871" ref="B2420"/>
    <hyperlink r:id="rId3872" ref="B2421"/>
    <hyperlink r:id="rId3873" ref="B2422"/>
    <hyperlink r:id="rId3874" ref="B2423"/>
    <hyperlink r:id="rId3875" ref="B2424"/>
    <hyperlink r:id="rId3876" ref="B2425"/>
    <hyperlink r:id="rId3877" ref="B2426"/>
    <hyperlink r:id="rId3878" ref="B2427"/>
    <hyperlink r:id="rId3879" ref="B2428"/>
    <hyperlink r:id="rId3880" ref="B2429"/>
    <hyperlink r:id="rId3881" ref="B2430"/>
    <hyperlink r:id="rId3882" ref="B2431"/>
    <hyperlink r:id="rId3883" ref="B2433"/>
    <hyperlink r:id="rId3884" ref="B2434"/>
    <hyperlink r:id="rId3885" ref="B2435"/>
    <hyperlink r:id="rId3886" ref="B2436"/>
    <hyperlink r:id="rId3887" ref="B2437"/>
    <hyperlink r:id="rId3888" ref="B2438"/>
    <hyperlink r:id="rId3889" ref="B2439"/>
    <hyperlink r:id="rId3890" ref="B2440"/>
    <hyperlink r:id="rId3891" ref="B2441"/>
    <hyperlink r:id="rId3892" ref="B2442"/>
    <hyperlink r:id="rId3893" ref="B2443"/>
    <hyperlink r:id="rId3894" ref="B2444"/>
    <hyperlink r:id="rId3895" ref="B2445"/>
    <hyperlink r:id="rId3896" ref="B2446"/>
    <hyperlink r:id="rId3897" ref="B2447"/>
    <hyperlink r:id="rId3898" ref="B2448"/>
    <hyperlink r:id="rId3899" ref="B2449"/>
    <hyperlink r:id="rId3900" ref="B2450"/>
    <hyperlink r:id="rId3901" ref="B2451"/>
    <hyperlink r:id="rId3902" ref="B2452"/>
    <hyperlink r:id="rId3903" ref="B2453"/>
    <hyperlink r:id="rId3904" ref="B2454"/>
    <hyperlink r:id="rId3905" ref="B2455"/>
    <hyperlink r:id="rId3906" ref="B2456"/>
    <hyperlink r:id="rId3907" ref="B2457"/>
    <hyperlink r:id="rId3908" ref="B2458"/>
    <hyperlink r:id="rId3909" ref="B2459"/>
    <hyperlink r:id="rId3910" ref="B2460"/>
    <hyperlink r:id="rId3911" ref="B2461"/>
    <hyperlink r:id="rId3912" ref="B2462"/>
    <hyperlink r:id="rId3913" ref="B2463"/>
    <hyperlink r:id="rId3914" ref="B2464"/>
    <hyperlink r:id="rId3915" ref="B2465"/>
    <hyperlink r:id="rId3916" ref="B2466"/>
    <hyperlink r:id="rId3917" ref="B2467"/>
    <hyperlink r:id="rId3918" ref="B2468"/>
    <hyperlink r:id="rId3919" ref="B2469"/>
    <hyperlink r:id="rId3920" ref="B2470"/>
    <hyperlink r:id="rId3921" ref="B2471"/>
    <hyperlink r:id="rId3922" ref="B2472"/>
    <hyperlink r:id="rId3923" ref="B2473"/>
    <hyperlink r:id="rId3924" ref="B2474"/>
    <hyperlink r:id="rId3925" ref="B2475"/>
    <hyperlink r:id="rId3926" ref="B2476"/>
    <hyperlink r:id="rId3927" ref="B2477"/>
    <hyperlink r:id="rId3928" ref="B2478"/>
    <hyperlink r:id="rId3929" ref="B2479"/>
    <hyperlink r:id="rId3930" ref="B2480"/>
    <hyperlink r:id="rId3931" ref="B2481"/>
    <hyperlink r:id="rId3932" ref="B2482"/>
    <hyperlink r:id="rId3933" ref="B2483"/>
    <hyperlink r:id="rId3934" ref="B2484"/>
    <hyperlink r:id="rId3935" ref="B2485"/>
    <hyperlink r:id="rId3936" ref="B2486"/>
    <hyperlink r:id="rId3937" ref="B2487"/>
    <hyperlink r:id="rId3938" ref="B2488"/>
    <hyperlink r:id="rId3939" ref="B2489"/>
    <hyperlink r:id="rId3940" ref="B2490"/>
    <hyperlink r:id="rId3941" ref="B2491"/>
    <hyperlink r:id="rId3942" ref="B2492"/>
    <hyperlink r:id="rId3943" ref="B2493"/>
    <hyperlink r:id="rId3944" ref="B2494"/>
    <hyperlink r:id="rId3945" ref="B2495"/>
    <hyperlink r:id="rId3946" ref="B2496"/>
    <hyperlink r:id="rId3947" ref="B2497"/>
    <hyperlink r:id="rId3948" ref="B2498"/>
    <hyperlink r:id="rId3949" ref="B2499"/>
    <hyperlink r:id="rId3950" ref="B2500"/>
    <hyperlink r:id="rId3951" ref="B2501"/>
    <hyperlink r:id="rId3952" ref="B2502"/>
    <hyperlink r:id="rId3953" ref="B2503"/>
    <hyperlink r:id="rId3954" ref="B2504"/>
    <hyperlink r:id="rId3955" ref="B2505"/>
    <hyperlink r:id="rId3956" ref="B2506"/>
    <hyperlink r:id="rId3957" ref="B2507"/>
    <hyperlink r:id="rId3958" ref="B2508"/>
    <hyperlink r:id="rId3959" ref="B2509"/>
    <hyperlink r:id="rId3960" ref="B2510"/>
    <hyperlink r:id="rId3961" ref="B2511"/>
    <hyperlink r:id="rId3962" ref="B2512"/>
    <hyperlink r:id="rId3963" ref="B2513"/>
    <hyperlink r:id="rId3964" ref="B2514"/>
    <hyperlink r:id="rId3965" ref="B2515"/>
    <hyperlink r:id="rId3966" ref="B2516"/>
    <hyperlink r:id="rId3967" ref="B2517"/>
    <hyperlink r:id="rId3968" ref="B2518"/>
    <hyperlink r:id="rId3969" ref="B2519"/>
    <hyperlink r:id="rId3970" ref="B2520"/>
    <hyperlink r:id="rId3971" ref="B2521"/>
    <hyperlink r:id="rId3972" ref="B2522"/>
    <hyperlink r:id="rId3973" ref="B2523"/>
    <hyperlink r:id="rId3974" ref="B2524"/>
    <hyperlink r:id="rId3975" ref="B2525"/>
    <hyperlink r:id="rId3976" ref="B2527"/>
    <hyperlink r:id="rId3977" ref="B2528"/>
    <hyperlink r:id="rId3978" ref="B2529"/>
    <hyperlink r:id="rId3979" ref="B2530"/>
    <hyperlink r:id="rId3980" ref="B2531"/>
    <hyperlink r:id="rId3981" ref="B2532"/>
    <hyperlink r:id="rId3982" ref="B2533"/>
    <hyperlink r:id="rId3983" ref="B2534"/>
    <hyperlink r:id="rId3984" ref="B2535"/>
    <hyperlink r:id="rId3985" ref="B2536"/>
    <hyperlink r:id="rId3986" ref="B2537"/>
    <hyperlink r:id="rId3987" ref="B2538"/>
    <hyperlink r:id="rId3988" ref="B2539"/>
    <hyperlink r:id="rId3989" ref="B2540"/>
    <hyperlink r:id="rId3990" ref="B2541"/>
    <hyperlink r:id="rId3991" ref="B2542"/>
    <hyperlink r:id="rId3992" ref="B2543"/>
    <hyperlink r:id="rId3993" ref="B2544"/>
    <hyperlink r:id="rId3994" ref="B2545"/>
    <hyperlink r:id="rId3995" ref="B2546"/>
    <hyperlink r:id="rId3996" ref="B2547"/>
    <hyperlink r:id="rId3997" ref="B2548"/>
    <hyperlink r:id="rId3998" ref="B2549"/>
    <hyperlink r:id="rId3999" ref="B2550"/>
    <hyperlink r:id="rId4000" ref="B2551"/>
    <hyperlink r:id="rId4001" ref="B2552"/>
    <hyperlink r:id="rId4002" ref="B2553"/>
    <hyperlink r:id="rId4003" ref="B2554"/>
    <hyperlink r:id="rId4004" ref="B2555"/>
    <hyperlink r:id="rId4005" ref="B2556"/>
    <hyperlink r:id="rId4006" ref="B2557"/>
    <hyperlink r:id="rId4007" ref="B2558"/>
    <hyperlink r:id="rId4008" ref="B2559"/>
    <hyperlink r:id="rId4009" ref="B2560"/>
    <hyperlink r:id="rId4010" ref="B2561"/>
    <hyperlink r:id="rId4011" ref="B2562"/>
    <hyperlink r:id="rId4012" ref="B2563"/>
    <hyperlink r:id="rId4013" ref="B2564"/>
    <hyperlink r:id="rId4014" ref="B2565"/>
    <hyperlink r:id="rId4015" ref="B2566"/>
    <hyperlink r:id="rId4016" ref="B2567"/>
    <hyperlink r:id="rId4017" ref="B2568"/>
    <hyperlink r:id="rId4018" ref="B2569"/>
    <hyperlink r:id="rId4019" ref="B2570"/>
    <hyperlink r:id="rId4020" ref="B2571"/>
    <hyperlink r:id="rId4021" ref="B2572"/>
    <hyperlink r:id="rId4022" ref="B2573"/>
    <hyperlink r:id="rId4023" ref="B2574"/>
    <hyperlink r:id="rId4024" ref="B2575"/>
    <hyperlink r:id="rId4025" ref="B2577"/>
    <hyperlink r:id="rId4026" ref="B2578"/>
    <hyperlink r:id="rId4027" ref="B2579"/>
    <hyperlink r:id="rId4028" ref="B2580"/>
    <hyperlink r:id="rId4029" ref="B2582"/>
    <hyperlink r:id="rId4030" ref="B2583"/>
    <hyperlink r:id="rId4031" ref="B2584"/>
    <hyperlink r:id="rId4032" ref="B2585"/>
    <hyperlink r:id="rId4033" ref="B2586"/>
    <hyperlink r:id="rId4034" ref="B2587"/>
    <hyperlink r:id="rId4035" ref="B2588"/>
    <hyperlink r:id="rId4036" ref="B2589"/>
    <hyperlink r:id="rId4037" ref="B2590"/>
    <hyperlink r:id="rId4038" ref="B2591"/>
    <hyperlink r:id="rId4039" ref="B2592"/>
    <hyperlink r:id="rId4040" ref="B2593"/>
    <hyperlink r:id="rId4041" ref="B2594"/>
    <hyperlink r:id="rId4042" ref="B2595"/>
    <hyperlink r:id="rId4043" ref="B2596"/>
    <hyperlink r:id="rId4044" ref="B2597"/>
    <hyperlink r:id="rId4045" ref="B2598"/>
    <hyperlink r:id="rId4046" ref="B2599"/>
    <hyperlink r:id="rId4047" ref="B2600"/>
    <hyperlink r:id="rId4048" ref="B2601"/>
    <hyperlink r:id="rId4049" ref="B2602"/>
    <hyperlink r:id="rId4050" ref="B2603"/>
    <hyperlink r:id="rId4051" ref="B2604"/>
    <hyperlink r:id="rId4052" ref="B2605"/>
    <hyperlink r:id="rId4053" ref="B2606"/>
    <hyperlink r:id="rId4054" ref="B2607"/>
    <hyperlink r:id="rId4055" ref="B2608"/>
    <hyperlink r:id="rId4056" ref="B2609"/>
    <hyperlink r:id="rId4057" ref="B2610"/>
    <hyperlink r:id="rId4058" ref="B2611"/>
    <hyperlink r:id="rId4059" ref="B2612"/>
    <hyperlink r:id="rId4060" ref="B2613"/>
    <hyperlink r:id="rId4061" ref="B2614"/>
    <hyperlink r:id="rId4062" ref="B2615"/>
    <hyperlink r:id="rId4063" ref="B2616"/>
    <hyperlink r:id="rId4064" ref="B2617"/>
    <hyperlink r:id="rId4065" ref="B2618"/>
    <hyperlink r:id="rId4066" ref="B2620"/>
    <hyperlink r:id="rId4067" ref="B2621"/>
    <hyperlink r:id="rId4068" ref="B2622"/>
    <hyperlink r:id="rId4069" ref="B2623"/>
    <hyperlink r:id="rId4070" ref="B2624"/>
    <hyperlink r:id="rId4071" ref="B2625"/>
    <hyperlink r:id="rId4072" ref="B2627"/>
    <hyperlink r:id="rId4073" ref="B2628"/>
    <hyperlink r:id="rId4074" ref="B2629"/>
    <hyperlink r:id="rId4075" ref="B2630"/>
    <hyperlink r:id="rId4076" ref="B2631"/>
    <hyperlink r:id="rId4077" ref="B2633"/>
    <hyperlink r:id="rId4078" ref="B2634"/>
    <hyperlink r:id="rId4079" ref="B2635"/>
    <hyperlink r:id="rId4080" ref="B2637"/>
    <hyperlink r:id="rId4081" ref="B2638"/>
    <hyperlink r:id="rId4082" ref="B2639"/>
    <hyperlink r:id="rId4083" ref="B2640"/>
    <hyperlink r:id="rId4084" ref="B2641"/>
    <hyperlink r:id="rId4085" ref="B2642"/>
    <hyperlink r:id="rId4086" ref="B2643"/>
    <hyperlink r:id="rId4087" ref="B2644"/>
    <hyperlink r:id="rId4088" ref="B2645"/>
    <hyperlink r:id="rId4089" ref="B2646"/>
    <hyperlink r:id="rId4090" ref="B2647"/>
    <hyperlink r:id="rId4091" ref="B2648"/>
    <hyperlink r:id="rId4092" ref="B2649"/>
    <hyperlink r:id="rId4093" ref="B2650"/>
    <hyperlink r:id="rId4094" ref="B2651"/>
    <hyperlink r:id="rId4095" ref="B2652"/>
    <hyperlink r:id="rId4096" ref="B2653"/>
    <hyperlink r:id="rId4097" ref="B2654"/>
    <hyperlink r:id="rId4098" ref="B2655"/>
    <hyperlink r:id="rId4099" ref="B2656"/>
    <hyperlink r:id="rId4100" ref="B2657"/>
    <hyperlink r:id="rId4101" ref="B2658"/>
    <hyperlink r:id="rId4102" ref="B2659"/>
    <hyperlink r:id="rId4103" ref="B2660"/>
    <hyperlink r:id="rId4104" ref="B2661"/>
    <hyperlink r:id="rId4105" ref="B2662"/>
    <hyperlink r:id="rId4106" ref="B2664"/>
    <hyperlink r:id="rId4107" ref="B2665"/>
    <hyperlink r:id="rId4108" ref="B2666"/>
    <hyperlink r:id="rId4109" ref="B2667"/>
    <hyperlink r:id="rId4110" ref="B2668"/>
    <hyperlink r:id="rId4111" ref="B2669"/>
    <hyperlink r:id="rId4112" ref="B2670"/>
    <hyperlink r:id="rId4113" ref="B2671"/>
    <hyperlink r:id="rId4114" ref="B2672"/>
    <hyperlink r:id="rId4115" ref="B2674"/>
    <hyperlink r:id="rId4116" ref="B2675"/>
    <hyperlink r:id="rId4117" ref="B2676"/>
    <hyperlink r:id="rId4118" ref="B2677"/>
    <hyperlink r:id="rId4119" ref="B2679"/>
    <hyperlink r:id="rId4120" ref="B2680"/>
    <hyperlink r:id="rId4121" ref="B2681"/>
    <hyperlink r:id="rId4122" ref="B2682"/>
    <hyperlink r:id="rId4123" ref="B2683"/>
    <hyperlink r:id="rId4124" ref="B2684"/>
    <hyperlink r:id="rId4125" ref="B2685"/>
    <hyperlink r:id="rId4126" ref="B2686"/>
    <hyperlink r:id="rId4127" ref="B2687"/>
    <hyperlink r:id="rId4128" ref="B2688"/>
    <hyperlink r:id="rId4129" ref="B2689"/>
    <hyperlink r:id="rId4130" ref="B2690"/>
    <hyperlink r:id="rId4131" ref="B2691"/>
    <hyperlink r:id="rId4132" ref="B2692"/>
    <hyperlink r:id="rId4133" ref="B2693"/>
    <hyperlink r:id="rId4134" ref="B2694"/>
    <hyperlink r:id="rId4135" ref="B2695"/>
    <hyperlink r:id="rId4136" ref="B2696"/>
    <hyperlink r:id="rId4137" ref="B2697"/>
    <hyperlink r:id="rId4138" ref="B2698"/>
    <hyperlink r:id="rId4139" ref="B2699"/>
    <hyperlink r:id="rId4140" ref="B2700"/>
    <hyperlink r:id="rId4141" ref="B2701"/>
    <hyperlink r:id="rId4142" ref="B2702"/>
    <hyperlink r:id="rId4143" ref="B2703"/>
    <hyperlink r:id="rId4144" ref="B2704"/>
    <hyperlink r:id="rId4145" ref="B2705"/>
    <hyperlink r:id="rId4146" ref="B2706"/>
    <hyperlink r:id="rId4147" ref="B2707"/>
    <hyperlink r:id="rId4148" ref="B2708"/>
    <hyperlink r:id="rId4149" ref="B2709"/>
    <hyperlink r:id="rId4150" ref="B2710"/>
    <hyperlink r:id="rId4151" ref="B2711"/>
    <hyperlink r:id="rId4152" ref="B2712"/>
    <hyperlink r:id="rId4153" ref="B2713"/>
    <hyperlink r:id="rId4154" ref="B2714"/>
    <hyperlink r:id="rId4155" ref="B2716"/>
    <hyperlink r:id="rId4156" ref="B2717"/>
    <hyperlink r:id="rId4157" ref="B2718"/>
    <hyperlink r:id="rId4158" ref="B2720"/>
    <hyperlink r:id="rId4159" ref="B2721"/>
    <hyperlink r:id="rId4160" ref="B2722"/>
    <hyperlink r:id="rId4161" ref="B2723"/>
    <hyperlink r:id="rId4162" ref="B2724"/>
    <hyperlink r:id="rId4163" ref="B2725"/>
    <hyperlink r:id="rId4164" ref="B2726"/>
    <hyperlink r:id="rId4165" ref="B2727"/>
    <hyperlink r:id="rId4166" ref="B2728"/>
    <hyperlink r:id="rId4167" ref="B2729"/>
    <hyperlink r:id="rId4168" ref="B2731"/>
    <hyperlink r:id="rId4169" ref="B2732"/>
    <hyperlink r:id="rId4170" ref="B2733"/>
    <hyperlink r:id="rId4171" ref="B2734"/>
    <hyperlink r:id="rId4172" ref="B2735"/>
    <hyperlink r:id="rId4173" ref="B2736"/>
    <hyperlink r:id="rId4174" ref="B2737"/>
    <hyperlink r:id="rId4175" ref="B2738"/>
    <hyperlink r:id="rId4176" ref="B2739"/>
    <hyperlink r:id="rId4177" ref="B2740"/>
    <hyperlink r:id="rId4178" ref="B2741"/>
    <hyperlink r:id="rId4179" ref="B2743"/>
    <hyperlink r:id="rId4180" ref="B2745"/>
    <hyperlink r:id="rId4181" ref="B2746"/>
    <hyperlink r:id="rId4182" ref="B2747"/>
    <hyperlink r:id="rId4183" ref="B2749"/>
    <hyperlink r:id="rId4184" ref="B2751"/>
    <hyperlink r:id="rId4185" ref="B2752"/>
    <hyperlink r:id="rId4186" ref="B2753"/>
    <hyperlink r:id="rId4187" ref="B2754"/>
    <hyperlink r:id="rId4188" ref="B2755"/>
    <hyperlink r:id="rId4189" ref="B2756"/>
    <hyperlink r:id="rId4190" ref="B2757"/>
    <hyperlink r:id="rId4191" ref="B2758"/>
    <hyperlink r:id="rId4192" ref="B2759"/>
    <hyperlink r:id="rId4193" ref="B2760"/>
    <hyperlink r:id="rId4194" ref="B2761"/>
    <hyperlink r:id="rId4195" ref="B2762"/>
    <hyperlink r:id="rId4196" ref="B2763"/>
    <hyperlink r:id="rId4197" ref="B2764"/>
    <hyperlink r:id="rId4198" ref="B2765"/>
    <hyperlink r:id="rId4199" ref="B2766"/>
    <hyperlink r:id="rId4200" ref="B2767"/>
    <hyperlink r:id="rId4201" ref="B2768"/>
    <hyperlink r:id="rId4202" ref="B2769"/>
    <hyperlink r:id="rId4203" ref="B2770"/>
    <hyperlink r:id="rId4204" ref="B2771"/>
    <hyperlink r:id="rId4205" ref="B2772"/>
    <hyperlink r:id="rId4206" ref="B2773"/>
    <hyperlink r:id="rId4207" ref="B2774"/>
    <hyperlink r:id="rId4208" ref="B2775"/>
    <hyperlink r:id="rId4209" ref="B2776"/>
    <hyperlink r:id="rId4210" ref="B2777"/>
    <hyperlink r:id="rId4211" ref="B2778"/>
    <hyperlink r:id="rId4212" ref="B2779"/>
    <hyperlink r:id="rId4213" ref="B2780"/>
    <hyperlink r:id="rId4214" ref="B2781"/>
    <hyperlink r:id="rId4215" ref="B2782"/>
    <hyperlink r:id="rId4216" ref="B2783"/>
    <hyperlink r:id="rId4217" ref="B2784"/>
    <hyperlink r:id="rId4218" ref="B2785"/>
    <hyperlink r:id="rId4219" ref="B2786"/>
    <hyperlink r:id="rId4220" ref="B2787"/>
    <hyperlink r:id="rId4221" ref="B2788"/>
    <hyperlink r:id="rId4222" ref="B2789"/>
    <hyperlink r:id="rId4223" ref="B2790"/>
    <hyperlink r:id="rId4224" ref="B2791"/>
    <hyperlink r:id="rId4225" ref="B2792"/>
    <hyperlink r:id="rId4226" ref="B2793"/>
    <hyperlink r:id="rId4227" ref="B2794"/>
    <hyperlink r:id="rId4228" ref="B2795"/>
    <hyperlink r:id="rId4229" ref="B2796"/>
    <hyperlink r:id="rId4230" ref="B2797"/>
    <hyperlink r:id="rId4231" ref="B2798"/>
    <hyperlink r:id="rId4232" ref="B2799"/>
    <hyperlink r:id="rId4233" ref="B2800"/>
    <hyperlink r:id="rId4234" ref="B2801"/>
    <hyperlink r:id="rId4235" ref="B2802"/>
    <hyperlink r:id="rId4236" ref="B2803"/>
    <hyperlink r:id="rId4237" ref="B2804"/>
    <hyperlink r:id="rId4238" ref="B2805"/>
    <hyperlink r:id="rId4239" ref="B2806"/>
    <hyperlink r:id="rId4240" ref="B2807"/>
    <hyperlink r:id="rId4241" ref="B2808"/>
    <hyperlink r:id="rId4242" ref="B2809"/>
    <hyperlink r:id="rId4243" ref="B2810"/>
    <hyperlink r:id="rId4244" ref="B2811"/>
    <hyperlink r:id="rId4245" ref="B2812"/>
    <hyperlink r:id="rId4246" ref="B2813"/>
    <hyperlink r:id="rId4247" ref="B2814"/>
    <hyperlink r:id="rId4248" ref="B2815"/>
    <hyperlink r:id="rId4249" ref="B2816"/>
    <hyperlink r:id="rId4250" ref="B2817"/>
    <hyperlink r:id="rId4251" ref="B2818"/>
    <hyperlink r:id="rId4252" ref="B2819"/>
    <hyperlink r:id="rId4253" ref="B2820"/>
    <hyperlink r:id="rId4254" ref="B2821"/>
    <hyperlink r:id="rId4255" ref="B2822"/>
    <hyperlink r:id="rId4256" ref="B2823"/>
    <hyperlink r:id="rId4257" ref="B2824"/>
    <hyperlink r:id="rId4258" ref="B2825"/>
    <hyperlink r:id="rId4259" ref="B2826"/>
    <hyperlink r:id="rId4260" ref="B2827"/>
    <hyperlink r:id="rId4261" ref="B2828"/>
    <hyperlink r:id="rId4262" ref="B2829"/>
    <hyperlink r:id="rId4263" ref="B2830"/>
    <hyperlink r:id="rId4264" ref="B2831"/>
    <hyperlink r:id="rId4265" ref="B2833"/>
    <hyperlink r:id="rId4266" ref="B2834"/>
    <hyperlink r:id="rId4267" ref="B2835"/>
    <hyperlink r:id="rId4268" ref="B2836"/>
    <hyperlink r:id="rId4269" ref="B2837"/>
    <hyperlink r:id="rId4270" ref="B2838"/>
    <hyperlink r:id="rId4271" ref="B2839"/>
    <hyperlink r:id="rId4272" ref="B2840"/>
    <hyperlink r:id="rId4273" ref="B2841"/>
    <hyperlink r:id="rId4274" ref="B2842"/>
    <hyperlink r:id="rId4275" ref="B2843"/>
    <hyperlink r:id="rId4276" ref="B2844"/>
    <hyperlink r:id="rId4277" ref="B2845"/>
    <hyperlink r:id="rId4278" ref="B2846"/>
    <hyperlink r:id="rId4279" ref="B2847"/>
    <hyperlink r:id="rId4280" ref="B2848"/>
    <hyperlink r:id="rId4281" ref="B2850"/>
    <hyperlink r:id="rId4282" ref="B2851"/>
    <hyperlink r:id="rId4283" ref="B2853"/>
    <hyperlink r:id="rId4284" ref="B2854"/>
    <hyperlink r:id="rId4285" ref="B2855"/>
    <hyperlink r:id="rId4286" ref="B2856"/>
    <hyperlink r:id="rId4287" ref="B2857"/>
    <hyperlink r:id="rId4288" ref="B2858"/>
    <hyperlink r:id="rId4289" ref="B2859"/>
    <hyperlink r:id="rId4290" ref="B2860"/>
    <hyperlink r:id="rId4291" ref="B2861"/>
    <hyperlink r:id="rId4292" ref="B2862"/>
    <hyperlink r:id="rId4293" ref="B2863"/>
    <hyperlink r:id="rId4294" ref="B2864"/>
    <hyperlink r:id="rId4295" ref="B2865"/>
    <hyperlink r:id="rId4296" ref="B2866"/>
    <hyperlink r:id="rId4297" ref="B2867"/>
    <hyperlink r:id="rId4298" ref="B2868"/>
    <hyperlink r:id="rId4299" ref="B2869"/>
    <hyperlink r:id="rId4300" ref="B2870"/>
    <hyperlink r:id="rId4301" ref="B2871"/>
    <hyperlink r:id="rId4302" ref="B2872"/>
    <hyperlink r:id="rId4303" ref="B2873"/>
    <hyperlink r:id="rId4304" ref="B2874"/>
    <hyperlink r:id="rId4305" ref="B2875"/>
    <hyperlink r:id="rId4306" ref="B2876"/>
    <hyperlink r:id="rId4307" ref="B2877"/>
    <hyperlink r:id="rId4308" ref="B2878"/>
    <hyperlink r:id="rId4309" ref="B2879"/>
    <hyperlink r:id="rId4310" ref="B2880"/>
    <hyperlink r:id="rId4311" ref="B2881"/>
    <hyperlink r:id="rId4312" ref="B2882"/>
    <hyperlink r:id="rId4313" ref="B2883"/>
    <hyperlink r:id="rId4314" ref="B2884"/>
    <hyperlink r:id="rId4315" ref="B2885"/>
    <hyperlink r:id="rId4316" ref="B2886"/>
    <hyperlink r:id="rId4317" ref="B2887"/>
    <hyperlink r:id="rId4318" ref="B2888"/>
    <hyperlink r:id="rId4319" ref="B2889"/>
    <hyperlink r:id="rId4320" ref="B2890"/>
    <hyperlink r:id="rId4321" ref="B2891"/>
    <hyperlink r:id="rId4322" ref="B2892"/>
    <hyperlink r:id="rId4323" ref="B2893"/>
    <hyperlink r:id="rId4324" ref="B2894"/>
    <hyperlink r:id="rId4325" ref="B2895"/>
    <hyperlink r:id="rId4326" ref="B2896"/>
    <hyperlink r:id="rId4327" ref="B2897"/>
    <hyperlink r:id="rId4328" ref="B2898"/>
    <hyperlink r:id="rId4329" ref="B2899"/>
    <hyperlink r:id="rId4330" ref="B2900"/>
    <hyperlink r:id="rId4331" ref="B2901"/>
    <hyperlink r:id="rId4332" ref="B2902"/>
    <hyperlink r:id="rId4333" ref="B2903"/>
    <hyperlink r:id="rId4334" ref="B2904"/>
    <hyperlink r:id="rId4335" ref="B2905"/>
    <hyperlink r:id="rId4336" ref="B2906"/>
    <hyperlink r:id="rId4337" ref="B2907"/>
    <hyperlink r:id="rId4338" ref="B2908"/>
    <hyperlink r:id="rId4339" ref="B2910"/>
    <hyperlink r:id="rId4340" ref="B2911"/>
    <hyperlink r:id="rId4341" ref="B2912"/>
    <hyperlink r:id="rId4342" ref="B2913"/>
    <hyperlink r:id="rId4343" ref="B2915"/>
    <hyperlink r:id="rId4344" ref="B2916"/>
    <hyperlink r:id="rId4345" ref="B2917"/>
    <hyperlink r:id="rId4346" ref="B2918"/>
    <hyperlink r:id="rId4347" ref="B2919"/>
    <hyperlink r:id="rId4348" ref="B2920"/>
    <hyperlink r:id="rId4349" ref="B2921"/>
    <hyperlink r:id="rId4350" ref="B2922"/>
    <hyperlink r:id="rId4351" ref="B2923"/>
    <hyperlink r:id="rId4352" ref="B2924"/>
    <hyperlink r:id="rId4353" ref="B2925"/>
    <hyperlink r:id="rId4354" ref="B2926"/>
    <hyperlink r:id="rId4355" ref="B2927"/>
    <hyperlink r:id="rId4356" ref="B2928"/>
    <hyperlink r:id="rId4357" ref="B2930"/>
    <hyperlink r:id="rId4358" ref="B2931"/>
    <hyperlink r:id="rId4359" ref="B2932"/>
    <hyperlink r:id="rId4360" ref="B2933"/>
    <hyperlink r:id="rId4361" ref="B2934"/>
    <hyperlink r:id="rId4362" ref="B2935"/>
    <hyperlink r:id="rId4363" ref="B2936"/>
    <hyperlink r:id="rId4364" ref="B2937"/>
    <hyperlink r:id="rId4365" ref="B2938"/>
    <hyperlink r:id="rId4366" ref="B2939"/>
    <hyperlink r:id="rId4367" ref="B2940"/>
    <hyperlink r:id="rId4368" ref="B2941"/>
    <hyperlink r:id="rId4369" ref="B2942"/>
    <hyperlink r:id="rId4370" ref="B2943"/>
    <hyperlink r:id="rId4371" ref="B2944"/>
    <hyperlink r:id="rId4372" ref="B2945"/>
    <hyperlink r:id="rId4373" ref="B2946"/>
    <hyperlink r:id="rId4374" ref="B2947"/>
    <hyperlink r:id="rId4375" ref="B2948"/>
    <hyperlink r:id="rId4376" ref="B2949"/>
    <hyperlink r:id="rId4377" ref="B2950"/>
    <hyperlink r:id="rId4378" ref="B2952"/>
    <hyperlink r:id="rId4379" ref="B2953"/>
    <hyperlink r:id="rId4380" ref="B2954"/>
    <hyperlink r:id="rId4381" ref="B2955"/>
    <hyperlink r:id="rId4382" ref="B2957"/>
    <hyperlink r:id="rId4383" ref="B2958"/>
    <hyperlink r:id="rId4384" ref="B2959"/>
    <hyperlink r:id="rId4385" ref="B2960"/>
    <hyperlink r:id="rId4386" ref="B2961"/>
    <hyperlink r:id="rId4387" ref="B2962"/>
    <hyperlink r:id="rId4388" ref="B2963"/>
    <hyperlink r:id="rId4389" ref="B2964"/>
    <hyperlink r:id="rId4390" ref="B2965"/>
    <hyperlink r:id="rId4391" ref="B2966"/>
    <hyperlink r:id="rId4392" ref="B2967"/>
    <hyperlink r:id="rId4393" ref="B2968"/>
    <hyperlink r:id="rId4394" ref="B2969"/>
    <hyperlink r:id="rId4395" ref="B2970"/>
    <hyperlink r:id="rId4396" ref="B2971"/>
    <hyperlink r:id="rId4397" ref="B2972"/>
    <hyperlink r:id="rId4398" ref="B2973"/>
    <hyperlink r:id="rId4399" ref="B2974"/>
    <hyperlink r:id="rId4400" ref="B2975"/>
    <hyperlink r:id="rId4401" ref="B2976"/>
    <hyperlink r:id="rId4402" ref="B2977"/>
    <hyperlink r:id="rId4403" ref="B2978"/>
    <hyperlink r:id="rId4404" ref="B2979"/>
    <hyperlink r:id="rId4405" ref="B2980"/>
    <hyperlink r:id="rId4406" ref="B2981"/>
    <hyperlink r:id="rId4407" ref="B2982"/>
    <hyperlink r:id="rId4408" ref="B2984"/>
    <hyperlink r:id="rId4409" ref="B2985"/>
    <hyperlink r:id="rId4410" ref="B2986"/>
    <hyperlink r:id="rId4411" ref="B2987"/>
    <hyperlink r:id="rId4412" ref="B2988"/>
    <hyperlink r:id="rId4413" ref="B2990"/>
    <hyperlink r:id="rId4414" ref="B2991"/>
    <hyperlink r:id="rId4415" ref="B2992"/>
    <hyperlink r:id="rId4416" ref="B2993"/>
    <hyperlink r:id="rId4417" ref="B2994"/>
    <hyperlink r:id="rId4418" ref="B2995"/>
    <hyperlink r:id="rId4419" ref="B2996"/>
    <hyperlink r:id="rId4420" ref="B2997"/>
    <hyperlink r:id="rId4421" ref="B2999"/>
    <hyperlink r:id="rId4422" ref="B3000"/>
    <hyperlink r:id="rId4423" ref="B3001"/>
    <hyperlink r:id="rId4424" ref="B3002"/>
    <hyperlink r:id="rId4425" ref="B3003"/>
    <hyperlink r:id="rId4426" ref="B3004"/>
    <hyperlink r:id="rId4427" ref="B3005"/>
    <hyperlink r:id="rId4428" ref="B3006"/>
    <hyperlink r:id="rId4429" ref="B3007"/>
    <hyperlink r:id="rId4430" ref="B3008"/>
    <hyperlink r:id="rId4431" ref="B3009"/>
    <hyperlink r:id="rId4432" ref="B3010"/>
    <hyperlink r:id="rId4433" ref="B3011"/>
    <hyperlink r:id="rId4434" ref="B3012"/>
    <hyperlink r:id="rId4435" ref="B3013"/>
    <hyperlink r:id="rId4436" ref="B3014"/>
  </hyperlinks>
  <drawing r:id="rId443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88"/>
    <col customWidth="1" min="2" max="2" width="16.5"/>
    <col customWidth="1" min="3" max="3" width="11.13"/>
    <col customWidth="1" min="4" max="4" width="24.5"/>
    <col customWidth="1" min="5" max="5" width="16.13"/>
    <col customWidth="1" min="6" max="6" width="19.25"/>
    <col customWidth="1" min="7" max="7" width="17.38"/>
    <col customWidth="1" min="8" max="8" width="19.25"/>
    <col customWidth="1" min="9" max="9" width="16.5"/>
    <col customWidth="1" min="10" max="10" width="23.38"/>
    <col customWidth="1" min="11" max="11" width="18.5"/>
    <col customWidth="1" min="12" max="12" width="23.38"/>
    <col customWidth="1" min="13" max="15" width="37.63"/>
    <col customWidth="1" min="16" max="16" width="10.13"/>
  </cols>
  <sheetData>
    <row r="1">
      <c r="A1" s="8" t="s">
        <v>1257</v>
      </c>
      <c r="B1" s="9" t="s">
        <v>1258</v>
      </c>
      <c r="C1" s="10" t="s">
        <v>0</v>
      </c>
      <c r="D1" s="10" t="s">
        <v>1259</v>
      </c>
      <c r="E1" s="10" t="s">
        <v>1260</v>
      </c>
      <c r="F1" s="8" t="s">
        <v>1261</v>
      </c>
      <c r="G1" s="8" t="s">
        <v>1262</v>
      </c>
      <c r="H1" s="8" t="s">
        <v>1263</v>
      </c>
      <c r="I1" s="8" t="s">
        <v>1264</v>
      </c>
      <c r="J1" s="8" t="s">
        <v>1265</v>
      </c>
      <c r="K1" s="8" t="s">
        <v>1266</v>
      </c>
      <c r="L1" s="8" t="s">
        <v>1267</v>
      </c>
      <c r="M1" s="8" t="s">
        <v>1268</v>
      </c>
      <c r="N1" s="8" t="s">
        <v>1269</v>
      </c>
      <c r="O1" s="8" t="s">
        <v>1270</v>
      </c>
      <c r="P1" s="8" t="s">
        <v>1271</v>
      </c>
    </row>
    <row r="2">
      <c r="A2" s="11" t="s">
        <v>1272</v>
      </c>
      <c r="B2" s="9">
        <v>0.7</v>
      </c>
      <c r="C2" s="8" t="s">
        <v>1273</v>
      </c>
      <c r="D2" s="8" t="s">
        <v>1274</v>
      </c>
      <c r="E2" s="8" t="s">
        <v>1275</v>
      </c>
      <c r="F2" s="8" t="b">
        <v>1</v>
      </c>
      <c r="G2" s="11" t="s">
        <v>1275</v>
      </c>
      <c r="H2" s="12"/>
      <c r="I2" s="12"/>
      <c r="J2" s="11" t="s">
        <v>1276</v>
      </c>
      <c r="K2" s="11" t="s">
        <v>1277</v>
      </c>
      <c r="L2" s="11" t="s">
        <v>1278</v>
      </c>
      <c r="M2" s="11" t="s">
        <v>1279</v>
      </c>
      <c r="N2" s="11" t="s">
        <v>1280</v>
      </c>
      <c r="O2" s="11" t="s">
        <v>1281</v>
      </c>
      <c r="P2" s="13" t="s">
        <v>1282</v>
      </c>
    </row>
    <row r="3">
      <c r="A3" s="11" t="s">
        <v>1283</v>
      </c>
      <c r="B3" s="9">
        <v>0.7</v>
      </c>
      <c r="C3" s="8" t="s">
        <v>1284</v>
      </c>
      <c r="D3" s="8" t="s">
        <v>1285</v>
      </c>
      <c r="E3" s="8" t="s">
        <v>1286</v>
      </c>
      <c r="F3" s="8" t="b">
        <v>1</v>
      </c>
      <c r="G3" s="11" t="s">
        <v>1286</v>
      </c>
      <c r="H3" s="12"/>
      <c r="I3" s="11" t="s">
        <v>1287</v>
      </c>
      <c r="J3" s="11" t="s">
        <v>1288</v>
      </c>
      <c r="K3" s="11" t="s">
        <v>1289</v>
      </c>
      <c r="L3" s="11" t="s">
        <v>1290</v>
      </c>
      <c r="M3" s="11" t="s">
        <v>1291</v>
      </c>
      <c r="N3" s="11" t="s">
        <v>1292</v>
      </c>
      <c r="O3" s="11" t="s">
        <v>1293</v>
      </c>
      <c r="P3" s="13" t="s">
        <v>1282</v>
      </c>
    </row>
    <row r="4">
      <c r="A4" s="11" t="s">
        <v>1294</v>
      </c>
      <c r="B4" s="9">
        <v>0.8</v>
      </c>
      <c r="C4" s="8" t="s">
        <v>1295</v>
      </c>
      <c r="D4" s="8" t="s">
        <v>1296</v>
      </c>
      <c r="E4" s="8" t="s">
        <v>1297</v>
      </c>
      <c r="F4" s="8" t="b">
        <v>1</v>
      </c>
      <c r="G4" s="11" t="s">
        <v>1297</v>
      </c>
      <c r="H4" s="12"/>
      <c r="I4" s="12"/>
      <c r="J4" s="11" t="s">
        <v>1298</v>
      </c>
      <c r="K4" s="12"/>
      <c r="L4" s="11" t="s">
        <v>1299</v>
      </c>
      <c r="M4" s="11" t="s">
        <v>1300</v>
      </c>
      <c r="N4" s="11" t="s">
        <v>1301</v>
      </c>
      <c r="O4" s="11" t="s">
        <v>1302</v>
      </c>
      <c r="P4" s="13" t="s">
        <v>1282</v>
      </c>
    </row>
    <row r="5">
      <c r="A5" s="11" t="s">
        <v>1303</v>
      </c>
      <c r="B5" s="9">
        <v>0.8</v>
      </c>
      <c r="C5" s="8" t="s">
        <v>1295</v>
      </c>
      <c r="D5" s="8" t="s">
        <v>1304</v>
      </c>
      <c r="E5" s="8" t="s">
        <v>1305</v>
      </c>
      <c r="F5" s="8" t="b">
        <v>1</v>
      </c>
      <c r="G5" s="11" t="s">
        <v>1305</v>
      </c>
      <c r="H5" s="12"/>
      <c r="I5" s="12"/>
      <c r="J5" s="11" t="s">
        <v>1298</v>
      </c>
      <c r="K5" s="12"/>
      <c r="L5" s="11" t="s">
        <v>1306</v>
      </c>
      <c r="M5" s="11" t="s">
        <v>1307</v>
      </c>
      <c r="N5" s="11" t="s">
        <v>1308</v>
      </c>
      <c r="O5" s="11" t="s">
        <v>1293</v>
      </c>
      <c r="P5" s="13" t="s">
        <v>1282</v>
      </c>
    </row>
    <row r="6">
      <c r="A6" s="11" t="s">
        <v>1309</v>
      </c>
      <c r="B6" s="9">
        <v>0.8</v>
      </c>
      <c r="C6" s="8" t="s">
        <v>1310</v>
      </c>
      <c r="D6" s="8" t="s">
        <v>1311</v>
      </c>
      <c r="E6" s="8" t="s">
        <v>1312</v>
      </c>
      <c r="F6" s="8" t="b">
        <v>1</v>
      </c>
      <c r="G6" s="11" t="s">
        <v>1312</v>
      </c>
      <c r="H6" s="12"/>
      <c r="I6" s="12"/>
      <c r="J6" s="11" t="s">
        <v>1276</v>
      </c>
      <c r="K6" s="11" t="s">
        <v>1313</v>
      </c>
      <c r="L6" s="11" t="s">
        <v>1314</v>
      </c>
      <c r="M6" s="11" t="s">
        <v>1315</v>
      </c>
      <c r="N6" s="11" t="s">
        <v>1316</v>
      </c>
      <c r="O6" s="11" t="s">
        <v>1317</v>
      </c>
      <c r="P6" s="13" t="s">
        <v>1318</v>
      </c>
    </row>
    <row r="7">
      <c r="A7" s="11" t="s">
        <v>1319</v>
      </c>
      <c r="B7" s="9">
        <v>0.8</v>
      </c>
      <c r="C7" s="8" t="s">
        <v>1295</v>
      </c>
      <c r="D7" s="8" t="s">
        <v>1320</v>
      </c>
      <c r="E7" s="8" t="s">
        <v>1321</v>
      </c>
      <c r="F7" s="8" t="b">
        <v>1</v>
      </c>
      <c r="G7" s="11" t="s">
        <v>1321</v>
      </c>
      <c r="H7" s="12"/>
      <c r="I7" s="12"/>
      <c r="J7" s="11" t="s">
        <v>1322</v>
      </c>
      <c r="K7" s="11" t="s">
        <v>1313</v>
      </c>
      <c r="L7" s="11" t="s">
        <v>1323</v>
      </c>
      <c r="M7" s="11" t="s">
        <v>1324</v>
      </c>
      <c r="N7" s="11" t="s">
        <v>1325</v>
      </c>
      <c r="O7" s="11" t="s">
        <v>1326</v>
      </c>
      <c r="P7" s="13" t="s">
        <v>1282</v>
      </c>
    </row>
    <row r="8">
      <c r="A8" s="11" t="s">
        <v>1327</v>
      </c>
      <c r="B8" s="9">
        <v>0.8</v>
      </c>
      <c r="C8" s="8" t="s">
        <v>1328</v>
      </c>
      <c r="D8" s="8" t="s">
        <v>1329</v>
      </c>
      <c r="E8" s="8" t="s">
        <v>1330</v>
      </c>
      <c r="F8" s="8" t="b">
        <v>1</v>
      </c>
      <c r="G8" s="11" t="s">
        <v>1330</v>
      </c>
      <c r="H8" s="12"/>
      <c r="I8" s="12"/>
      <c r="J8" s="11" t="s">
        <v>1331</v>
      </c>
      <c r="K8" s="12"/>
      <c r="L8" s="11" t="s">
        <v>1332</v>
      </c>
      <c r="M8" s="12"/>
      <c r="N8" s="11" t="s">
        <v>1333</v>
      </c>
      <c r="O8" s="11" t="s">
        <v>1302</v>
      </c>
      <c r="P8" s="13" t="s">
        <v>1282</v>
      </c>
    </row>
    <row r="9">
      <c r="A9" s="11" t="s">
        <v>1334</v>
      </c>
      <c r="B9" s="9">
        <v>0.75</v>
      </c>
      <c r="C9" s="8" t="s">
        <v>1335</v>
      </c>
      <c r="D9" s="8" t="s">
        <v>1336</v>
      </c>
      <c r="E9" s="8" t="s">
        <v>1337</v>
      </c>
      <c r="F9" s="8" t="b">
        <v>1</v>
      </c>
      <c r="G9" s="11" t="s">
        <v>1337</v>
      </c>
      <c r="H9" s="12"/>
      <c r="I9" s="12"/>
      <c r="J9" s="11" t="s">
        <v>1298</v>
      </c>
      <c r="K9" s="12"/>
      <c r="L9" s="11" t="s">
        <v>1338</v>
      </c>
      <c r="M9" s="11" t="s">
        <v>1339</v>
      </c>
      <c r="N9" s="11" t="s">
        <v>1340</v>
      </c>
      <c r="O9" s="11" t="s">
        <v>1326</v>
      </c>
      <c r="P9" s="13" t="s">
        <v>1282</v>
      </c>
    </row>
    <row r="10">
      <c r="A10" s="11" t="s">
        <v>1341</v>
      </c>
      <c r="B10" s="9">
        <v>0.75</v>
      </c>
      <c r="C10" s="8" t="s">
        <v>1295</v>
      </c>
      <c r="D10" s="8" t="s">
        <v>1342</v>
      </c>
      <c r="E10" s="8" t="s">
        <v>1343</v>
      </c>
      <c r="F10" s="8" t="b">
        <v>1</v>
      </c>
      <c r="G10" s="11" t="s">
        <v>1343</v>
      </c>
      <c r="H10" s="12"/>
      <c r="I10" s="11" t="s">
        <v>1344</v>
      </c>
      <c r="J10" s="11" t="s">
        <v>1345</v>
      </c>
      <c r="K10" s="11" t="s">
        <v>1313</v>
      </c>
      <c r="L10" s="11" t="s">
        <v>1346</v>
      </c>
      <c r="M10" s="11" t="s">
        <v>1347</v>
      </c>
      <c r="N10" s="11" t="s">
        <v>1348</v>
      </c>
      <c r="O10" s="11" t="s">
        <v>1349</v>
      </c>
      <c r="P10" s="13" t="s">
        <v>1282</v>
      </c>
    </row>
    <row r="11">
      <c r="A11" s="11" t="s">
        <v>1350</v>
      </c>
      <c r="B11" s="9">
        <v>0.75</v>
      </c>
      <c r="C11" s="8" t="s">
        <v>1351</v>
      </c>
      <c r="D11" s="8" t="s">
        <v>1352</v>
      </c>
      <c r="E11" s="8" t="s">
        <v>1353</v>
      </c>
      <c r="F11" s="8" t="b">
        <v>1</v>
      </c>
      <c r="G11" s="11" t="s">
        <v>1353</v>
      </c>
      <c r="H11" s="12"/>
      <c r="I11" s="12"/>
      <c r="J11" s="11" t="s">
        <v>1276</v>
      </c>
      <c r="K11" s="12"/>
      <c r="L11" s="11" t="s">
        <v>1354</v>
      </c>
      <c r="M11" s="11" t="s">
        <v>1355</v>
      </c>
      <c r="N11" s="11" t="s">
        <v>1356</v>
      </c>
      <c r="O11" s="11" t="s">
        <v>1293</v>
      </c>
      <c r="P11" s="13" t="s">
        <v>1282</v>
      </c>
    </row>
    <row r="12">
      <c r="A12" s="11" t="s">
        <v>1357</v>
      </c>
      <c r="B12" s="9">
        <v>0.75</v>
      </c>
      <c r="C12" s="8" t="s">
        <v>1295</v>
      </c>
      <c r="D12" s="8" t="s">
        <v>1358</v>
      </c>
      <c r="E12" s="8" t="s">
        <v>1359</v>
      </c>
      <c r="F12" s="8" t="b">
        <v>1</v>
      </c>
      <c r="G12" s="11" t="s">
        <v>1359</v>
      </c>
      <c r="H12" s="12"/>
      <c r="I12" s="11" t="s">
        <v>1344</v>
      </c>
      <c r="J12" s="11" t="s">
        <v>1288</v>
      </c>
      <c r="K12" s="12"/>
      <c r="L12" s="11" t="s">
        <v>1360</v>
      </c>
      <c r="M12" s="11" t="s">
        <v>1361</v>
      </c>
      <c r="N12" s="11" t="s">
        <v>1362</v>
      </c>
      <c r="O12" s="11" t="s">
        <v>1293</v>
      </c>
      <c r="P12" s="13" t="s">
        <v>1282</v>
      </c>
    </row>
    <row r="13">
      <c r="A13" s="11" t="s">
        <v>1363</v>
      </c>
      <c r="B13" s="9">
        <v>0.75</v>
      </c>
      <c r="C13" s="8" t="s">
        <v>1295</v>
      </c>
      <c r="D13" s="8" t="s">
        <v>1364</v>
      </c>
      <c r="E13" s="8" t="s">
        <v>1365</v>
      </c>
      <c r="F13" s="8" t="b">
        <v>1</v>
      </c>
      <c r="G13" s="11" t="s">
        <v>1365</v>
      </c>
      <c r="H13" s="12"/>
      <c r="I13" s="11" t="s">
        <v>1344</v>
      </c>
      <c r="J13" s="11" t="s">
        <v>1298</v>
      </c>
      <c r="K13" s="12"/>
      <c r="L13" s="11" t="s">
        <v>1366</v>
      </c>
      <c r="M13" s="11" t="s">
        <v>1367</v>
      </c>
      <c r="N13" s="11" t="s">
        <v>1368</v>
      </c>
      <c r="O13" s="11" t="s">
        <v>1369</v>
      </c>
      <c r="P13" s="13" t="s">
        <v>1282</v>
      </c>
    </row>
    <row r="14">
      <c r="A14" s="11" t="s">
        <v>1370</v>
      </c>
      <c r="B14" s="9">
        <v>0.75</v>
      </c>
      <c r="C14" s="8" t="s">
        <v>1371</v>
      </c>
      <c r="D14" s="8" t="s">
        <v>1372</v>
      </c>
      <c r="E14" s="8" t="s">
        <v>1373</v>
      </c>
      <c r="F14" s="8" t="b">
        <v>1</v>
      </c>
      <c r="G14" s="11" t="s">
        <v>1374</v>
      </c>
      <c r="H14" s="12"/>
      <c r="I14" s="11" t="s">
        <v>1344</v>
      </c>
      <c r="J14" s="11" t="s">
        <v>1298</v>
      </c>
      <c r="K14" s="11" t="s">
        <v>1277</v>
      </c>
      <c r="L14" s="11" t="s">
        <v>1375</v>
      </c>
      <c r="M14" s="11" t="s">
        <v>1376</v>
      </c>
      <c r="N14" s="11" t="s">
        <v>1377</v>
      </c>
      <c r="O14" s="11" t="s">
        <v>1378</v>
      </c>
      <c r="P14" s="13" t="s">
        <v>1282</v>
      </c>
    </row>
    <row r="15">
      <c r="A15" s="11" t="s">
        <v>1379</v>
      </c>
      <c r="B15" s="9">
        <v>0.7</v>
      </c>
      <c r="C15" s="8" t="s">
        <v>1380</v>
      </c>
      <c r="D15" s="8" t="s">
        <v>1381</v>
      </c>
      <c r="E15" s="8" t="s">
        <v>1382</v>
      </c>
      <c r="F15" s="8" t="b">
        <v>1</v>
      </c>
      <c r="G15" s="11" t="s">
        <v>1382</v>
      </c>
      <c r="H15" s="12"/>
      <c r="I15" s="12"/>
      <c r="J15" s="11" t="s">
        <v>1383</v>
      </c>
      <c r="K15" s="12"/>
      <c r="L15" s="11" t="s">
        <v>1384</v>
      </c>
      <c r="M15" s="11" t="s">
        <v>1385</v>
      </c>
      <c r="N15" s="11" t="s">
        <v>1386</v>
      </c>
      <c r="O15" s="11" t="s">
        <v>1302</v>
      </c>
      <c r="P15" s="13" t="s">
        <v>1318</v>
      </c>
    </row>
    <row r="16">
      <c r="A16" s="11" t="s">
        <v>1387</v>
      </c>
      <c r="B16" s="9">
        <v>0.7</v>
      </c>
      <c r="C16" s="8" t="s">
        <v>1388</v>
      </c>
      <c r="D16" s="8" t="s">
        <v>1389</v>
      </c>
      <c r="E16" s="8" t="s">
        <v>1390</v>
      </c>
      <c r="F16" s="8" t="b">
        <v>1</v>
      </c>
      <c r="G16" s="14" t="s">
        <v>1387</v>
      </c>
      <c r="H16" s="12"/>
      <c r="I16" s="12"/>
      <c r="J16" s="11" t="s">
        <v>1298</v>
      </c>
      <c r="K16" s="12"/>
      <c r="L16" s="11" t="s">
        <v>1391</v>
      </c>
      <c r="M16" s="11" t="s">
        <v>1392</v>
      </c>
      <c r="N16" s="11" t="s">
        <v>1393</v>
      </c>
      <c r="O16" s="11" t="s">
        <v>1394</v>
      </c>
      <c r="P16" s="13" t="s">
        <v>1318</v>
      </c>
    </row>
    <row r="17">
      <c r="A17" s="11" t="s">
        <v>1395</v>
      </c>
      <c r="B17" s="9">
        <v>0.7</v>
      </c>
      <c r="C17" s="8" t="s">
        <v>1295</v>
      </c>
      <c r="D17" s="8" t="s">
        <v>1396</v>
      </c>
      <c r="E17" s="8" t="s">
        <v>1397</v>
      </c>
      <c r="F17" s="8" t="b">
        <v>1</v>
      </c>
      <c r="G17" s="11" t="s">
        <v>1397</v>
      </c>
      <c r="H17" s="12"/>
      <c r="I17" s="11" t="s">
        <v>1344</v>
      </c>
      <c r="J17" s="11" t="s">
        <v>1398</v>
      </c>
      <c r="K17" s="12"/>
      <c r="L17" s="11" t="s">
        <v>1399</v>
      </c>
      <c r="M17" s="11" t="s">
        <v>1400</v>
      </c>
      <c r="N17" s="11" t="s">
        <v>1401</v>
      </c>
      <c r="O17" s="11" t="s">
        <v>1402</v>
      </c>
      <c r="P17" s="13" t="s">
        <v>1282</v>
      </c>
    </row>
    <row r="18">
      <c r="A18" s="11" t="s">
        <v>1403</v>
      </c>
      <c r="B18" s="9">
        <v>0.7</v>
      </c>
      <c r="C18" s="8" t="s">
        <v>1404</v>
      </c>
      <c r="D18" s="8" t="s">
        <v>1405</v>
      </c>
      <c r="E18" s="8" t="s">
        <v>1406</v>
      </c>
      <c r="F18" s="8" t="b">
        <v>1</v>
      </c>
      <c r="G18" s="11" t="s">
        <v>1406</v>
      </c>
      <c r="H18" s="12"/>
      <c r="I18" s="11" t="s">
        <v>1407</v>
      </c>
      <c r="J18" s="11" t="s">
        <v>1288</v>
      </c>
      <c r="K18" s="12"/>
      <c r="L18" s="11" t="s">
        <v>1408</v>
      </c>
      <c r="M18" s="11" t="s">
        <v>1409</v>
      </c>
      <c r="N18" s="11" t="s">
        <v>1410</v>
      </c>
      <c r="O18" s="11" t="s">
        <v>1293</v>
      </c>
      <c r="P18" s="13" t="s">
        <v>1282</v>
      </c>
    </row>
    <row r="19">
      <c r="A19" s="11" t="s">
        <v>1411</v>
      </c>
      <c r="B19" s="9">
        <v>0.7</v>
      </c>
      <c r="C19" s="8" t="s">
        <v>1412</v>
      </c>
      <c r="D19" s="8" t="s">
        <v>1413</v>
      </c>
      <c r="E19" s="8" t="s">
        <v>1414</v>
      </c>
      <c r="F19" s="8" t="b">
        <v>1</v>
      </c>
      <c r="G19" s="11" t="s">
        <v>1414</v>
      </c>
      <c r="H19" s="12"/>
      <c r="I19" s="11" t="s">
        <v>1407</v>
      </c>
      <c r="J19" s="11" t="s">
        <v>1415</v>
      </c>
      <c r="K19" s="12"/>
      <c r="L19" s="11" t="s">
        <v>1416</v>
      </c>
      <c r="M19" s="11" t="s">
        <v>1417</v>
      </c>
      <c r="N19" s="11" t="s">
        <v>1418</v>
      </c>
      <c r="O19" s="11" t="s">
        <v>1302</v>
      </c>
      <c r="P19" s="13" t="s">
        <v>1282</v>
      </c>
    </row>
    <row r="20">
      <c r="A20" s="11" t="s">
        <v>1419</v>
      </c>
      <c r="B20" s="9">
        <v>0.7</v>
      </c>
      <c r="C20" s="8" t="s">
        <v>1420</v>
      </c>
      <c r="D20" s="8" t="s">
        <v>1421</v>
      </c>
      <c r="E20" s="8" t="s">
        <v>1422</v>
      </c>
      <c r="F20" s="8" t="b">
        <v>1</v>
      </c>
      <c r="G20" s="11" t="s">
        <v>1422</v>
      </c>
      <c r="H20" s="12"/>
      <c r="I20" s="11" t="s">
        <v>1344</v>
      </c>
      <c r="J20" s="11" t="s">
        <v>1298</v>
      </c>
      <c r="K20" s="11" t="s">
        <v>1313</v>
      </c>
      <c r="L20" s="11" t="s">
        <v>1423</v>
      </c>
      <c r="M20" s="11" t="s">
        <v>1424</v>
      </c>
      <c r="N20" s="11" t="s">
        <v>1425</v>
      </c>
      <c r="O20" s="11" t="s">
        <v>1326</v>
      </c>
      <c r="P20" s="13" t="s">
        <v>1282</v>
      </c>
    </row>
    <row r="21">
      <c r="A21" s="15" t="s">
        <v>1426</v>
      </c>
      <c r="B21" s="9">
        <v>0.7</v>
      </c>
      <c r="C21" s="8" t="s">
        <v>1427</v>
      </c>
      <c r="D21" s="8" t="s">
        <v>1428</v>
      </c>
      <c r="E21" s="8" t="s">
        <v>1429</v>
      </c>
      <c r="F21" s="8" t="b">
        <v>1</v>
      </c>
      <c r="G21" s="11" t="s">
        <v>1429</v>
      </c>
      <c r="H21" s="12"/>
      <c r="I21" s="12"/>
      <c r="J21" s="11" t="s">
        <v>1276</v>
      </c>
      <c r="K21" s="12"/>
      <c r="L21" s="11" t="s">
        <v>1430</v>
      </c>
      <c r="M21" s="12"/>
      <c r="N21" s="11" t="s">
        <v>1431</v>
      </c>
      <c r="O21" s="11" t="s">
        <v>1293</v>
      </c>
      <c r="P21" s="13" t="s">
        <v>1282</v>
      </c>
    </row>
    <row r="22">
      <c r="A22" s="15" t="s">
        <v>1432</v>
      </c>
      <c r="B22" s="9">
        <v>0.7</v>
      </c>
      <c r="C22" s="8" t="s">
        <v>1433</v>
      </c>
      <c r="D22" s="8" t="s">
        <v>1434</v>
      </c>
      <c r="E22" s="8" t="s">
        <v>1435</v>
      </c>
      <c r="F22" s="8" t="b">
        <v>1</v>
      </c>
      <c r="G22" s="11" t="s">
        <v>1435</v>
      </c>
      <c r="H22" s="12"/>
      <c r="I22" s="11" t="s">
        <v>1407</v>
      </c>
      <c r="J22" s="12"/>
      <c r="K22" s="11" t="s">
        <v>1313</v>
      </c>
      <c r="L22" s="11" t="s">
        <v>1436</v>
      </c>
      <c r="M22" s="11" t="s">
        <v>1437</v>
      </c>
      <c r="N22" s="11" t="s">
        <v>1438</v>
      </c>
      <c r="O22" s="11" t="s">
        <v>1326</v>
      </c>
      <c r="P22" s="13" t="s">
        <v>1282</v>
      </c>
    </row>
    <row r="23">
      <c r="A23" s="11" t="s">
        <v>1439</v>
      </c>
      <c r="B23" s="9">
        <v>0.7</v>
      </c>
      <c r="C23" s="8" t="s">
        <v>1440</v>
      </c>
      <c r="D23" s="8" t="s">
        <v>1441</v>
      </c>
      <c r="E23" s="8" t="s">
        <v>1442</v>
      </c>
      <c r="F23" s="8" t="b">
        <v>1</v>
      </c>
      <c r="G23" s="11" t="s">
        <v>1442</v>
      </c>
      <c r="H23" s="12"/>
      <c r="I23" s="12"/>
      <c r="J23" s="12"/>
      <c r="K23" s="11" t="s">
        <v>1313</v>
      </c>
      <c r="L23" s="11" t="s">
        <v>1443</v>
      </c>
      <c r="M23" s="12"/>
      <c r="N23" s="11" t="s">
        <v>1444</v>
      </c>
      <c r="O23" s="11" t="s">
        <v>1326</v>
      </c>
      <c r="P23" s="13" t="s">
        <v>1282</v>
      </c>
    </row>
    <row r="24">
      <c r="A24" s="11" t="s">
        <v>1445</v>
      </c>
      <c r="B24" s="9">
        <v>0.7</v>
      </c>
      <c r="C24" s="8" t="s">
        <v>1446</v>
      </c>
      <c r="D24" s="8" t="s">
        <v>1447</v>
      </c>
      <c r="E24" s="8" t="s">
        <v>1448</v>
      </c>
      <c r="F24" s="8" t="b">
        <v>1</v>
      </c>
      <c r="G24" s="11" t="s">
        <v>1448</v>
      </c>
      <c r="H24" s="12"/>
      <c r="I24" s="11" t="s">
        <v>1344</v>
      </c>
      <c r="J24" s="11" t="s">
        <v>1345</v>
      </c>
      <c r="K24" s="12"/>
      <c r="L24" s="11" t="s">
        <v>1449</v>
      </c>
      <c r="M24" s="11" t="s">
        <v>1450</v>
      </c>
      <c r="N24" s="11" t="s">
        <v>1451</v>
      </c>
      <c r="O24" s="11" t="s">
        <v>1452</v>
      </c>
      <c r="P24" s="13" t="s">
        <v>1318</v>
      </c>
    </row>
    <row r="25">
      <c r="A25" s="11" t="s">
        <v>1453</v>
      </c>
      <c r="B25" s="9">
        <v>0.7</v>
      </c>
      <c r="C25" s="8" t="s">
        <v>1454</v>
      </c>
      <c r="D25" s="8" t="s">
        <v>1455</v>
      </c>
      <c r="E25" s="8" t="s">
        <v>1456</v>
      </c>
      <c r="F25" s="8" t="b">
        <v>1</v>
      </c>
      <c r="G25" s="11" t="s">
        <v>1456</v>
      </c>
      <c r="H25" s="12"/>
      <c r="I25" s="11" t="s">
        <v>1407</v>
      </c>
      <c r="J25" s="11" t="s">
        <v>1345</v>
      </c>
      <c r="K25" s="11" t="s">
        <v>1313</v>
      </c>
      <c r="L25" s="11" t="s">
        <v>1457</v>
      </c>
      <c r="M25" s="11" t="s">
        <v>1458</v>
      </c>
      <c r="N25" s="11" t="s">
        <v>1459</v>
      </c>
      <c r="O25" s="11" t="s">
        <v>1460</v>
      </c>
      <c r="P25" s="13" t="s">
        <v>1318</v>
      </c>
    </row>
    <row r="26">
      <c r="A26" s="11" t="s">
        <v>1461</v>
      </c>
      <c r="B26" s="9">
        <v>0.7</v>
      </c>
      <c r="C26" s="8" t="s">
        <v>1295</v>
      </c>
      <c r="D26" s="8" t="s">
        <v>1462</v>
      </c>
      <c r="E26" s="8" t="s">
        <v>1463</v>
      </c>
      <c r="F26" s="8" t="b">
        <v>1</v>
      </c>
      <c r="G26" s="11" t="s">
        <v>1463</v>
      </c>
      <c r="H26" s="12"/>
      <c r="I26" s="12"/>
      <c r="J26" s="11" t="s">
        <v>1276</v>
      </c>
      <c r="K26" s="12"/>
      <c r="L26" s="11" t="s">
        <v>1464</v>
      </c>
      <c r="M26" s="11" t="s">
        <v>1465</v>
      </c>
      <c r="N26" s="11" t="s">
        <v>1466</v>
      </c>
      <c r="O26" s="11" t="s">
        <v>1302</v>
      </c>
      <c r="P26" s="13" t="s">
        <v>1282</v>
      </c>
    </row>
    <row r="27">
      <c r="A27" s="11" t="s">
        <v>1467</v>
      </c>
      <c r="B27" s="9">
        <v>0.7</v>
      </c>
      <c r="C27" s="8" t="s">
        <v>1468</v>
      </c>
      <c r="D27" s="8" t="s">
        <v>1469</v>
      </c>
      <c r="E27" s="8" t="s">
        <v>1470</v>
      </c>
      <c r="F27" s="8" t="b">
        <v>1</v>
      </c>
      <c r="G27" s="11" t="s">
        <v>1470</v>
      </c>
      <c r="H27" s="12"/>
      <c r="I27" s="11" t="s">
        <v>1407</v>
      </c>
      <c r="J27" s="11" t="s">
        <v>1345</v>
      </c>
      <c r="K27" s="11" t="s">
        <v>1289</v>
      </c>
      <c r="L27" s="11" t="s">
        <v>1471</v>
      </c>
      <c r="M27" s="11" t="s">
        <v>1472</v>
      </c>
      <c r="N27" s="11" t="s">
        <v>1473</v>
      </c>
      <c r="O27" s="11" t="s">
        <v>1474</v>
      </c>
      <c r="P27" s="13" t="s">
        <v>1282</v>
      </c>
    </row>
    <row r="28">
      <c r="A28" s="11" t="s">
        <v>1475</v>
      </c>
      <c r="B28" s="9">
        <v>0.7</v>
      </c>
      <c r="C28" s="8" t="s">
        <v>1476</v>
      </c>
      <c r="D28" s="8" t="s">
        <v>1477</v>
      </c>
      <c r="E28" s="8" t="s">
        <v>1478</v>
      </c>
      <c r="F28" s="8" t="b">
        <v>1</v>
      </c>
      <c r="G28" s="11" t="s">
        <v>1478</v>
      </c>
      <c r="H28" s="12"/>
      <c r="I28" s="12"/>
      <c r="J28" s="11" t="s">
        <v>1276</v>
      </c>
      <c r="K28" s="12"/>
      <c r="L28" s="11" t="s">
        <v>1479</v>
      </c>
      <c r="M28" s="11" t="s">
        <v>1480</v>
      </c>
      <c r="N28" s="11" t="s">
        <v>1481</v>
      </c>
      <c r="O28" s="11" t="s">
        <v>1482</v>
      </c>
      <c r="P28" s="13" t="s">
        <v>1282</v>
      </c>
    </row>
    <row r="29">
      <c r="A29" s="11" t="s">
        <v>1483</v>
      </c>
      <c r="B29" s="9">
        <v>0.7</v>
      </c>
      <c r="C29" s="8" t="s">
        <v>1484</v>
      </c>
      <c r="D29" s="8" t="s">
        <v>1485</v>
      </c>
      <c r="E29" s="8" t="s">
        <v>1486</v>
      </c>
      <c r="F29" s="8" t="b">
        <v>1</v>
      </c>
      <c r="G29" s="11" t="s">
        <v>1487</v>
      </c>
      <c r="H29" s="12"/>
      <c r="I29" s="11" t="s">
        <v>1407</v>
      </c>
      <c r="J29" s="11" t="s">
        <v>1488</v>
      </c>
      <c r="K29" s="12"/>
      <c r="L29" s="11" t="s">
        <v>1489</v>
      </c>
      <c r="M29" s="11" t="s">
        <v>1490</v>
      </c>
      <c r="N29" s="11" t="s">
        <v>1491</v>
      </c>
      <c r="O29" s="11" t="s">
        <v>1281</v>
      </c>
      <c r="P29" s="13" t="s">
        <v>1282</v>
      </c>
    </row>
    <row r="30">
      <c r="A30" s="11" t="s">
        <v>1492</v>
      </c>
      <c r="B30" s="9">
        <v>0.7</v>
      </c>
      <c r="C30" s="8" t="s">
        <v>1493</v>
      </c>
      <c r="D30" s="8" t="s">
        <v>1494</v>
      </c>
      <c r="E30" s="8" t="s">
        <v>1495</v>
      </c>
      <c r="F30" s="8" t="b">
        <v>1</v>
      </c>
      <c r="G30" s="11" t="s">
        <v>1495</v>
      </c>
      <c r="H30" s="12"/>
      <c r="I30" s="12"/>
      <c r="J30" s="11" t="s">
        <v>1496</v>
      </c>
      <c r="K30" s="12"/>
      <c r="L30" s="11" t="s">
        <v>1497</v>
      </c>
      <c r="M30" s="11" t="s">
        <v>1498</v>
      </c>
      <c r="N30" s="11" t="s">
        <v>1499</v>
      </c>
      <c r="O30" s="11" t="s">
        <v>1369</v>
      </c>
      <c r="P30" s="11"/>
    </row>
    <row r="31">
      <c r="A31" s="11" t="s">
        <v>1500</v>
      </c>
      <c r="B31" s="9">
        <v>0.7</v>
      </c>
      <c r="C31" s="8" t="s">
        <v>1501</v>
      </c>
      <c r="D31" s="8" t="s">
        <v>1502</v>
      </c>
      <c r="E31" s="8" t="s">
        <v>1503</v>
      </c>
      <c r="F31" s="8" t="b">
        <v>1</v>
      </c>
      <c r="G31" s="11" t="s">
        <v>1503</v>
      </c>
      <c r="H31" s="12"/>
      <c r="I31" s="11" t="s">
        <v>1344</v>
      </c>
      <c r="J31" s="11" t="s">
        <v>1488</v>
      </c>
      <c r="K31" s="11" t="s">
        <v>1313</v>
      </c>
      <c r="L31" s="11" t="s">
        <v>1504</v>
      </c>
      <c r="M31" s="11" t="s">
        <v>1505</v>
      </c>
      <c r="N31" s="11" t="s">
        <v>1506</v>
      </c>
      <c r="O31" s="11" t="s">
        <v>1474</v>
      </c>
      <c r="P31" s="13" t="s">
        <v>1282</v>
      </c>
    </row>
    <row r="32">
      <c r="A32" s="11" t="s">
        <v>1507</v>
      </c>
      <c r="B32" s="9">
        <v>0.7</v>
      </c>
      <c r="C32" s="8" t="s">
        <v>1295</v>
      </c>
      <c r="D32" s="8" t="s">
        <v>1508</v>
      </c>
      <c r="E32" s="8" t="s">
        <v>1509</v>
      </c>
      <c r="F32" s="8" t="b">
        <v>1</v>
      </c>
      <c r="G32" s="11" t="s">
        <v>1510</v>
      </c>
      <c r="H32" s="12"/>
      <c r="I32" s="11" t="s">
        <v>1344</v>
      </c>
      <c r="J32" s="11" t="s">
        <v>1511</v>
      </c>
      <c r="K32" s="12"/>
      <c r="L32" s="11" t="s">
        <v>1512</v>
      </c>
      <c r="M32" s="11" t="s">
        <v>1513</v>
      </c>
      <c r="N32" s="11" t="s">
        <v>1514</v>
      </c>
      <c r="O32" s="11" t="s">
        <v>1515</v>
      </c>
      <c r="P32" s="13" t="s">
        <v>1282</v>
      </c>
    </row>
    <row r="33">
      <c r="A33" s="11" t="s">
        <v>1516</v>
      </c>
      <c r="B33" s="9">
        <v>0.7</v>
      </c>
      <c r="C33" s="8" t="s">
        <v>1295</v>
      </c>
      <c r="D33" s="8" t="s">
        <v>1517</v>
      </c>
      <c r="E33" s="8" t="s">
        <v>1518</v>
      </c>
      <c r="F33" s="8" t="b">
        <v>1</v>
      </c>
      <c r="G33" s="11" t="s">
        <v>1518</v>
      </c>
      <c r="H33" s="12"/>
      <c r="I33" s="12"/>
      <c r="J33" s="11" t="s">
        <v>1519</v>
      </c>
      <c r="K33" s="12"/>
      <c r="L33" s="11" t="s">
        <v>1520</v>
      </c>
      <c r="M33" s="11" t="s">
        <v>1521</v>
      </c>
      <c r="N33" s="11" t="s">
        <v>1522</v>
      </c>
      <c r="O33" s="11" t="s">
        <v>1523</v>
      </c>
      <c r="P33" s="13" t="s">
        <v>1282</v>
      </c>
    </row>
    <row r="34">
      <c r="A34" s="11" t="s">
        <v>1524</v>
      </c>
      <c r="B34" s="9">
        <v>0.7</v>
      </c>
      <c r="C34" s="8" t="s">
        <v>1525</v>
      </c>
      <c r="D34" s="8" t="s">
        <v>1526</v>
      </c>
      <c r="E34" s="8" t="s">
        <v>1527</v>
      </c>
      <c r="F34" s="8" t="b">
        <v>1</v>
      </c>
      <c r="G34" s="11" t="s">
        <v>1528</v>
      </c>
      <c r="H34" s="12"/>
      <c r="I34" s="12"/>
      <c r="J34" s="11" t="s">
        <v>1298</v>
      </c>
      <c r="K34" s="11" t="s">
        <v>1529</v>
      </c>
      <c r="L34" s="11" t="s">
        <v>1530</v>
      </c>
      <c r="M34" s="11" t="s">
        <v>1531</v>
      </c>
      <c r="N34" s="11" t="s">
        <v>1532</v>
      </c>
      <c r="O34" s="11" t="s">
        <v>1533</v>
      </c>
      <c r="P34" s="13" t="s">
        <v>1282</v>
      </c>
    </row>
    <row r="35">
      <c r="A35" s="11" t="s">
        <v>1534</v>
      </c>
      <c r="B35" s="9">
        <v>0.7</v>
      </c>
      <c r="C35" s="8" t="s">
        <v>1535</v>
      </c>
      <c r="D35" s="8" t="s">
        <v>1536</v>
      </c>
      <c r="E35" s="8" t="s">
        <v>1537</v>
      </c>
      <c r="F35" s="8" t="b">
        <v>1</v>
      </c>
      <c r="G35" s="11" t="s">
        <v>1537</v>
      </c>
      <c r="H35" s="12"/>
      <c r="I35" s="11" t="s">
        <v>1407</v>
      </c>
      <c r="J35" s="11" t="s">
        <v>1345</v>
      </c>
      <c r="K35" s="12"/>
      <c r="L35" s="11" t="s">
        <v>1538</v>
      </c>
      <c r="M35" s="11" t="s">
        <v>1539</v>
      </c>
      <c r="N35" s="11" t="s">
        <v>1540</v>
      </c>
      <c r="O35" s="11" t="s">
        <v>1326</v>
      </c>
      <c r="P35" s="13" t="s">
        <v>1318</v>
      </c>
    </row>
    <row r="36">
      <c r="A36" s="11" t="s">
        <v>1541</v>
      </c>
      <c r="B36" s="9">
        <v>0.7</v>
      </c>
      <c r="C36" s="8" t="s">
        <v>1542</v>
      </c>
      <c r="D36" s="8" t="s">
        <v>1543</v>
      </c>
      <c r="E36" s="8" t="s">
        <v>1544</v>
      </c>
      <c r="F36" s="8" t="b">
        <v>1</v>
      </c>
      <c r="G36" s="11" t="s">
        <v>1544</v>
      </c>
      <c r="H36" s="12"/>
      <c r="I36" s="11" t="s">
        <v>1407</v>
      </c>
      <c r="J36" s="11" t="s">
        <v>1288</v>
      </c>
      <c r="K36" s="12"/>
      <c r="L36" s="11" t="s">
        <v>1545</v>
      </c>
      <c r="M36" s="11" t="s">
        <v>1546</v>
      </c>
      <c r="N36" s="11" t="s">
        <v>1547</v>
      </c>
      <c r="O36" s="11" t="s">
        <v>1293</v>
      </c>
      <c r="P36" s="13" t="s">
        <v>1282</v>
      </c>
    </row>
    <row r="37">
      <c r="A37" s="11" t="s">
        <v>1548</v>
      </c>
      <c r="B37" s="9">
        <v>0.7</v>
      </c>
      <c r="C37" s="8" t="s">
        <v>1549</v>
      </c>
      <c r="D37" s="8" t="s">
        <v>1550</v>
      </c>
      <c r="E37" s="8" t="s">
        <v>1551</v>
      </c>
      <c r="F37" s="8" t="b">
        <v>1</v>
      </c>
      <c r="G37" s="11" t="s">
        <v>1551</v>
      </c>
      <c r="H37" s="12"/>
      <c r="I37" s="11" t="s">
        <v>1344</v>
      </c>
      <c r="J37" s="11" t="s">
        <v>1552</v>
      </c>
      <c r="K37" s="12"/>
      <c r="L37" s="11" t="s">
        <v>1553</v>
      </c>
      <c r="M37" s="11" t="s">
        <v>1554</v>
      </c>
      <c r="N37" s="11" t="s">
        <v>1555</v>
      </c>
      <c r="O37" s="11" t="s">
        <v>1556</v>
      </c>
      <c r="P37" s="13" t="s">
        <v>1282</v>
      </c>
    </row>
    <row r="38">
      <c r="A38" s="11" t="s">
        <v>1557</v>
      </c>
      <c r="B38" s="9">
        <v>0.7</v>
      </c>
      <c r="C38" s="8" t="s">
        <v>1558</v>
      </c>
      <c r="D38" s="8" t="s">
        <v>1559</v>
      </c>
      <c r="E38" s="8" t="s">
        <v>1560</v>
      </c>
      <c r="F38" s="8" t="b">
        <v>1</v>
      </c>
      <c r="G38" s="11" t="s">
        <v>1560</v>
      </c>
      <c r="H38" s="12"/>
      <c r="I38" s="11" t="s">
        <v>1344</v>
      </c>
      <c r="J38" s="11" t="s">
        <v>1561</v>
      </c>
      <c r="K38" s="12"/>
      <c r="L38" s="11" t="s">
        <v>1562</v>
      </c>
      <c r="M38" s="11" t="s">
        <v>1563</v>
      </c>
      <c r="N38" s="11" t="s">
        <v>1564</v>
      </c>
      <c r="O38" s="11" t="s">
        <v>1565</v>
      </c>
      <c r="P38" s="13" t="s">
        <v>1282</v>
      </c>
    </row>
    <row r="39">
      <c r="A39" s="11" t="s">
        <v>1566</v>
      </c>
      <c r="B39" s="9">
        <v>0.7</v>
      </c>
      <c r="C39" s="8" t="s">
        <v>1567</v>
      </c>
      <c r="D39" s="8" t="s">
        <v>1568</v>
      </c>
      <c r="E39" s="8" t="s">
        <v>1569</v>
      </c>
      <c r="F39" s="8" t="b">
        <v>1</v>
      </c>
      <c r="G39" s="11" t="s">
        <v>1569</v>
      </c>
      <c r="H39" s="12"/>
      <c r="I39" s="12"/>
      <c r="J39" s="11" t="s">
        <v>1276</v>
      </c>
      <c r="K39" s="12"/>
      <c r="L39" s="11" t="s">
        <v>1570</v>
      </c>
      <c r="M39" s="11" t="s">
        <v>1571</v>
      </c>
      <c r="N39" s="11" t="s">
        <v>1572</v>
      </c>
      <c r="O39" s="11" t="s">
        <v>1573</v>
      </c>
      <c r="P39" s="13" t="s">
        <v>1282</v>
      </c>
    </row>
    <row r="40">
      <c r="A40" s="11" t="s">
        <v>1574</v>
      </c>
      <c r="B40" s="9">
        <v>0.7</v>
      </c>
      <c r="C40" s="8" t="s">
        <v>1575</v>
      </c>
      <c r="D40" s="8" t="s">
        <v>1576</v>
      </c>
      <c r="E40" s="8" t="s">
        <v>1577</v>
      </c>
      <c r="F40" s="8" t="b">
        <v>1</v>
      </c>
      <c r="G40" s="11" t="s">
        <v>1577</v>
      </c>
      <c r="H40" s="12"/>
      <c r="I40" s="11" t="s">
        <v>1407</v>
      </c>
      <c r="J40" s="12"/>
      <c r="K40" s="12"/>
      <c r="L40" s="11" t="s">
        <v>1578</v>
      </c>
      <c r="M40" s="11" t="s">
        <v>1579</v>
      </c>
      <c r="N40" s="11" t="s">
        <v>1580</v>
      </c>
      <c r="O40" s="11" t="s">
        <v>1317</v>
      </c>
      <c r="P40" s="13" t="s">
        <v>1282</v>
      </c>
    </row>
    <row r="41">
      <c r="A41" s="11" t="s">
        <v>1581</v>
      </c>
      <c r="B41" s="9">
        <v>0.7</v>
      </c>
      <c r="C41" s="8" t="s">
        <v>1582</v>
      </c>
      <c r="D41" s="8" t="s">
        <v>1583</v>
      </c>
      <c r="E41" s="8" t="s">
        <v>1584</v>
      </c>
      <c r="F41" s="8" t="b">
        <v>1</v>
      </c>
      <c r="G41" s="11" t="s">
        <v>1581</v>
      </c>
      <c r="H41" s="12"/>
      <c r="I41" s="11" t="s">
        <v>1344</v>
      </c>
      <c r="J41" s="11" t="s">
        <v>1276</v>
      </c>
      <c r="K41" s="12"/>
      <c r="L41" s="11" t="s">
        <v>1585</v>
      </c>
      <c r="M41" s="11" t="s">
        <v>1586</v>
      </c>
      <c r="N41" s="11" t="s">
        <v>1587</v>
      </c>
      <c r="O41" s="11" t="s">
        <v>1474</v>
      </c>
      <c r="P41" s="13" t="s">
        <v>1282</v>
      </c>
    </row>
    <row r="42">
      <c r="A42" s="11" t="s">
        <v>1588</v>
      </c>
      <c r="B42" s="9">
        <v>0.7</v>
      </c>
      <c r="C42" s="8" t="s">
        <v>1589</v>
      </c>
      <c r="D42" s="8" t="s">
        <v>1590</v>
      </c>
      <c r="E42" s="8" t="s">
        <v>1591</v>
      </c>
      <c r="F42" s="8" t="b">
        <v>1</v>
      </c>
      <c r="G42" s="11" t="s">
        <v>1591</v>
      </c>
      <c r="H42" s="12"/>
      <c r="I42" s="11" t="s">
        <v>1344</v>
      </c>
      <c r="J42" s="11" t="s">
        <v>1561</v>
      </c>
      <c r="K42" s="12"/>
      <c r="L42" s="11" t="s">
        <v>1592</v>
      </c>
      <c r="M42" s="11" t="s">
        <v>1593</v>
      </c>
      <c r="N42" s="11" t="s">
        <v>1594</v>
      </c>
      <c r="O42" s="11" t="s">
        <v>1595</v>
      </c>
      <c r="P42" s="13" t="s">
        <v>1282</v>
      </c>
    </row>
    <row r="43">
      <c r="A43" s="11" t="s">
        <v>1596</v>
      </c>
      <c r="B43" s="9">
        <v>0.7</v>
      </c>
      <c r="C43" s="8" t="s">
        <v>1597</v>
      </c>
      <c r="D43" s="8" t="s">
        <v>1598</v>
      </c>
      <c r="E43" s="8" t="s">
        <v>1599</v>
      </c>
      <c r="F43" s="8" t="b">
        <v>1</v>
      </c>
      <c r="G43" s="11" t="s">
        <v>1599</v>
      </c>
      <c r="H43" s="12"/>
      <c r="I43" s="12"/>
      <c r="J43" s="11" t="s">
        <v>1276</v>
      </c>
      <c r="K43" s="12"/>
      <c r="L43" s="11" t="s">
        <v>1600</v>
      </c>
      <c r="M43" s="11" t="s">
        <v>1601</v>
      </c>
      <c r="N43" s="11" t="s">
        <v>1602</v>
      </c>
      <c r="O43" s="11" t="s">
        <v>1302</v>
      </c>
      <c r="P43" s="13" t="s">
        <v>1318</v>
      </c>
    </row>
    <row r="44">
      <c r="A44" s="11" t="s">
        <v>1603</v>
      </c>
      <c r="B44" s="9">
        <v>0.7</v>
      </c>
      <c r="C44" s="8" t="s">
        <v>1295</v>
      </c>
      <c r="D44" s="8" t="s">
        <v>1604</v>
      </c>
      <c r="E44" s="8" t="s">
        <v>1605</v>
      </c>
      <c r="F44" s="8" t="b">
        <v>1</v>
      </c>
      <c r="G44" s="11" t="s">
        <v>1606</v>
      </c>
      <c r="H44" s="12"/>
      <c r="I44" s="12"/>
      <c r="J44" s="11" t="s">
        <v>1607</v>
      </c>
      <c r="K44" s="12"/>
      <c r="L44" s="11" t="s">
        <v>1608</v>
      </c>
      <c r="M44" s="11" t="s">
        <v>1609</v>
      </c>
      <c r="N44" s="11" t="s">
        <v>1610</v>
      </c>
      <c r="O44" s="11" t="s">
        <v>1533</v>
      </c>
      <c r="P44" s="13" t="s">
        <v>1282</v>
      </c>
    </row>
    <row r="45">
      <c r="A45" s="11" t="s">
        <v>1611</v>
      </c>
      <c r="B45" s="9">
        <v>0.7</v>
      </c>
      <c r="C45" s="8" t="s">
        <v>1612</v>
      </c>
      <c r="D45" s="8" t="s">
        <v>1613</v>
      </c>
      <c r="E45" s="8" t="s">
        <v>1614</v>
      </c>
      <c r="F45" s="8" t="b">
        <v>1</v>
      </c>
      <c r="G45" s="11" t="s">
        <v>1614</v>
      </c>
      <c r="H45" s="12"/>
      <c r="I45" s="11" t="s">
        <v>1407</v>
      </c>
      <c r="J45" s="11" t="s">
        <v>1488</v>
      </c>
      <c r="K45" s="12"/>
      <c r="L45" s="11" t="s">
        <v>1615</v>
      </c>
      <c r="M45" s="11" t="s">
        <v>1616</v>
      </c>
      <c r="N45" s="11" t="s">
        <v>1617</v>
      </c>
      <c r="O45" s="11" t="s">
        <v>1533</v>
      </c>
      <c r="P45" s="13" t="s">
        <v>1282</v>
      </c>
    </row>
    <row r="46">
      <c r="A46" s="11" t="s">
        <v>1618</v>
      </c>
      <c r="B46" s="9">
        <v>0.7</v>
      </c>
      <c r="C46" s="8" t="s">
        <v>1619</v>
      </c>
      <c r="D46" s="8" t="s">
        <v>1620</v>
      </c>
      <c r="E46" s="8" t="s">
        <v>1621</v>
      </c>
      <c r="F46" s="8" t="b">
        <v>1</v>
      </c>
      <c r="G46" s="11" t="s">
        <v>1621</v>
      </c>
      <c r="H46" s="12"/>
      <c r="I46" s="11" t="s">
        <v>1407</v>
      </c>
      <c r="J46" s="11" t="s">
        <v>1622</v>
      </c>
      <c r="K46" s="12"/>
      <c r="L46" s="11" t="s">
        <v>1623</v>
      </c>
      <c r="M46" s="11" t="s">
        <v>1624</v>
      </c>
      <c r="N46" s="11" t="s">
        <v>1625</v>
      </c>
      <c r="O46" s="11" t="s">
        <v>1533</v>
      </c>
      <c r="P46" s="13" t="s">
        <v>1318</v>
      </c>
    </row>
    <row r="47">
      <c r="A47" s="11" t="s">
        <v>1626</v>
      </c>
      <c r="B47" s="9">
        <v>0.7</v>
      </c>
      <c r="C47" s="8" t="s">
        <v>1295</v>
      </c>
      <c r="D47" s="8" t="s">
        <v>1627</v>
      </c>
      <c r="E47" s="8" t="s">
        <v>1628</v>
      </c>
      <c r="F47" s="8" t="b">
        <v>1</v>
      </c>
      <c r="G47" s="11" t="s">
        <v>1628</v>
      </c>
      <c r="H47" s="12"/>
      <c r="I47" s="11" t="s">
        <v>1407</v>
      </c>
      <c r="J47" s="12"/>
      <c r="K47" s="11" t="s">
        <v>1313</v>
      </c>
      <c r="L47" s="11" t="s">
        <v>1629</v>
      </c>
      <c r="M47" s="11" t="s">
        <v>1630</v>
      </c>
      <c r="N47" s="11" t="s">
        <v>1631</v>
      </c>
      <c r="O47" s="11" t="s">
        <v>1326</v>
      </c>
      <c r="P47" s="13" t="s">
        <v>1282</v>
      </c>
    </row>
    <row r="48">
      <c r="A48" s="11" t="s">
        <v>1632</v>
      </c>
      <c r="B48" s="9">
        <v>0.7</v>
      </c>
      <c r="C48" s="8" t="s">
        <v>1633</v>
      </c>
      <c r="D48" s="8" t="s">
        <v>1634</v>
      </c>
      <c r="E48" s="8" t="s">
        <v>1635</v>
      </c>
      <c r="F48" s="8" t="b">
        <v>1</v>
      </c>
      <c r="G48" s="11" t="s">
        <v>1635</v>
      </c>
      <c r="H48" s="12"/>
      <c r="I48" s="11" t="s">
        <v>1407</v>
      </c>
      <c r="J48" s="11" t="s">
        <v>1298</v>
      </c>
      <c r="K48" s="12"/>
      <c r="L48" s="11" t="s">
        <v>1636</v>
      </c>
      <c r="M48" s="11" t="s">
        <v>1637</v>
      </c>
      <c r="N48" s="11" t="s">
        <v>1638</v>
      </c>
      <c r="O48" s="11" t="s">
        <v>1533</v>
      </c>
      <c r="P48" s="13" t="s">
        <v>1282</v>
      </c>
    </row>
    <row r="49">
      <c r="A49" s="11" t="s">
        <v>1639</v>
      </c>
      <c r="B49" s="9">
        <v>0.7</v>
      </c>
      <c r="C49" s="8" t="s">
        <v>1295</v>
      </c>
      <c r="D49" s="8" t="s">
        <v>1640</v>
      </c>
      <c r="E49" s="8" t="s">
        <v>1641</v>
      </c>
      <c r="F49" s="8" t="b">
        <v>1</v>
      </c>
      <c r="G49" s="11" t="s">
        <v>1641</v>
      </c>
      <c r="H49" s="12"/>
      <c r="I49" s="12"/>
      <c r="J49" s="11" t="s">
        <v>1298</v>
      </c>
      <c r="K49" s="12"/>
      <c r="L49" s="11" t="s">
        <v>1642</v>
      </c>
      <c r="M49" s="11" t="s">
        <v>1643</v>
      </c>
      <c r="N49" s="11" t="s">
        <v>1644</v>
      </c>
      <c r="O49" s="11" t="s">
        <v>1326</v>
      </c>
      <c r="P49" s="13" t="s">
        <v>1282</v>
      </c>
    </row>
    <row r="50">
      <c r="A50" s="11" t="s">
        <v>1645</v>
      </c>
      <c r="B50" s="9">
        <v>0.7</v>
      </c>
      <c r="C50" s="8" t="s">
        <v>1646</v>
      </c>
      <c r="D50" s="8" t="s">
        <v>1647</v>
      </c>
      <c r="E50" s="8" t="s">
        <v>1648</v>
      </c>
      <c r="F50" s="8" t="b">
        <v>1</v>
      </c>
      <c r="G50" s="11" t="s">
        <v>1648</v>
      </c>
      <c r="H50" s="12"/>
      <c r="I50" s="11" t="s">
        <v>1407</v>
      </c>
      <c r="J50" s="11" t="s">
        <v>1276</v>
      </c>
      <c r="K50" s="12"/>
      <c r="L50" s="11" t="s">
        <v>1649</v>
      </c>
      <c r="M50" s="11" t="s">
        <v>1650</v>
      </c>
      <c r="N50" s="11" t="s">
        <v>1651</v>
      </c>
      <c r="O50" s="11" t="s">
        <v>1326</v>
      </c>
      <c r="P50" s="13" t="s">
        <v>1282</v>
      </c>
    </row>
    <row r="51">
      <c r="A51" s="11" t="s">
        <v>1652</v>
      </c>
      <c r="B51" s="9">
        <v>0.7</v>
      </c>
      <c r="C51" s="8" t="s">
        <v>1653</v>
      </c>
      <c r="D51" s="8" t="s">
        <v>1654</v>
      </c>
      <c r="E51" s="8" t="s">
        <v>1655</v>
      </c>
      <c r="F51" s="8" t="b">
        <v>1</v>
      </c>
      <c r="G51" s="11" t="s">
        <v>1655</v>
      </c>
      <c r="H51" s="12"/>
      <c r="I51" s="12"/>
      <c r="J51" s="11" t="s">
        <v>1383</v>
      </c>
      <c r="K51" s="11" t="s">
        <v>1313</v>
      </c>
      <c r="L51" s="11" t="s">
        <v>1656</v>
      </c>
      <c r="M51" s="11" t="s">
        <v>1657</v>
      </c>
      <c r="N51" s="11" t="s">
        <v>1658</v>
      </c>
      <c r="O51" s="11" t="s">
        <v>1293</v>
      </c>
      <c r="P51" s="13" t="s">
        <v>1282</v>
      </c>
    </row>
    <row r="52">
      <c r="A52" s="11" t="s">
        <v>1659</v>
      </c>
      <c r="B52" s="9">
        <v>0.7</v>
      </c>
      <c r="C52" s="8" t="s">
        <v>1660</v>
      </c>
      <c r="D52" s="8" t="s">
        <v>1661</v>
      </c>
      <c r="E52" s="8" t="s">
        <v>1662</v>
      </c>
      <c r="F52" s="8" t="b">
        <v>1</v>
      </c>
      <c r="G52" s="11" t="s">
        <v>1662</v>
      </c>
      <c r="H52" s="12"/>
      <c r="I52" s="11" t="s">
        <v>1407</v>
      </c>
      <c r="J52" s="11" t="s">
        <v>1298</v>
      </c>
      <c r="K52" s="12"/>
      <c r="L52" s="11" t="s">
        <v>1663</v>
      </c>
      <c r="M52" s="11" t="s">
        <v>1664</v>
      </c>
      <c r="N52" s="11" t="s">
        <v>1665</v>
      </c>
      <c r="O52" s="11" t="s">
        <v>1302</v>
      </c>
      <c r="P52" s="13" t="s">
        <v>1282</v>
      </c>
    </row>
    <row r="53">
      <c r="A53" s="11" t="s">
        <v>1666</v>
      </c>
      <c r="B53" s="9">
        <v>0.7</v>
      </c>
      <c r="C53" s="8" t="s">
        <v>1667</v>
      </c>
      <c r="D53" s="8" t="s">
        <v>1668</v>
      </c>
      <c r="E53" s="8" t="s">
        <v>1669</v>
      </c>
      <c r="F53" s="8" t="b">
        <v>1</v>
      </c>
      <c r="G53" s="11" t="s">
        <v>1669</v>
      </c>
      <c r="H53" s="12"/>
      <c r="I53" s="12"/>
      <c r="J53" s="11" t="s">
        <v>1276</v>
      </c>
      <c r="K53" s="12"/>
      <c r="L53" s="11" t="s">
        <v>1670</v>
      </c>
      <c r="M53" s="11" t="s">
        <v>1671</v>
      </c>
      <c r="N53" s="11" t="s">
        <v>1672</v>
      </c>
      <c r="O53" s="11" t="s">
        <v>1673</v>
      </c>
      <c r="P53" s="13" t="s">
        <v>1282</v>
      </c>
    </row>
    <row r="54">
      <c r="A54" s="11" t="s">
        <v>1674</v>
      </c>
      <c r="B54" s="9">
        <v>0.7</v>
      </c>
      <c r="C54" s="8" t="s">
        <v>1295</v>
      </c>
      <c r="D54" s="8" t="s">
        <v>1675</v>
      </c>
      <c r="E54" s="8" t="s">
        <v>1676</v>
      </c>
      <c r="F54" s="8" t="b">
        <v>1</v>
      </c>
      <c r="G54" s="11" t="s">
        <v>1676</v>
      </c>
      <c r="H54" s="12"/>
      <c r="I54" s="11" t="s">
        <v>1407</v>
      </c>
      <c r="J54" s="11" t="s">
        <v>1288</v>
      </c>
      <c r="K54" s="12"/>
      <c r="L54" s="11" t="s">
        <v>1677</v>
      </c>
      <c r="M54" s="11" t="s">
        <v>1678</v>
      </c>
      <c r="N54" s="11" t="s">
        <v>1679</v>
      </c>
      <c r="O54" s="11" t="s">
        <v>1293</v>
      </c>
      <c r="P54" s="13" t="s">
        <v>1282</v>
      </c>
    </row>
    <row r="55">
      <c r="A55" s="11" t="s">
        <v>1680</v>
      </c>
      <c r="B55" s="9">
        <v>0.7</v>
      </c>
      <c r="C55" s="8" t="s">
        <v>1681</v>
      </c>
      <c r="D55" s="8" t="s">
        <v>1682</v>
      </c>
      <c r="E55" s="8" t="s">
        <v>1683</v>
      </c>
      <c r="F55" s="8" t="b">
        <v>1</v>
      </c>
      <c r="G55" s="11" t="s">
        <v>1683</v>
      </c>
      <c r="H55" s="12"/>
      <c r="I55" s="11" t="s">
        <v>1407</v>
      </c>
      <c r="J55" s="11" t="s">
        <v>1276</v>
      </c>
      <c r="K55" s="11" t="s">
        <v>1529</v>
      </c>
      <c r="L55" s="11" t="s">
        <v>1684</v>
      </c>
      <c r="M55" s="11" t="s">
        <v>1685</v>
      </c>
      <c r="N55" s="11" t="s">
        <v>1686</v>
      </c>
      <c r="O55" s="11" t="s">
        <v>1281</v>
      </c>
      <c r="P55" s="13" t="s">
        <v>1282</v>
      </c>
    </row>
    <row r="56">
      <c r="A56" s="11" t="s">
        <v>1687</v>
      </c>
      <c r="B56" s="9">
        <v>0.7</v>
      </c>
      <c r="C56" s="8" t="s">
        <v>1295</v>
      </c>
      <c r="D56" s="8" t="s">
        <v>1688</v>
      </c>
      <c r="E56" s="8" t="s">
        <v>1689</v>
      </c>
      <c r="F56" s="8" t="b">
        <v>1</v>
      </c>
      <c r="G56" s="11" t="s">
        <v>1689</v>
      </c>
      <c r="H56" s="12"/>
      <c r="I56" s="12"/>
      <c r="J56" s="11" t="s">
        <v>1288</v>
      </c>
      <c r="K56" s="12"/>
      <c r="L56" s="11" t="s">
        <v>1690</v>
      </c>
      <c r="M56" s="11" t="s">
        <v>1691</v>
      </c>
      <c r="N56" s="11" t="s">
        <v>1692</v>
      </c>
      <c r="O56" s="11" t="s">
        <v>1293</v>
      </c>
      <c r="P56" s="13" t="s">
        <v>1282</v>
      </c>
    </row>
    <row r="57">
      <c r="A57" s="11" t="s">
        <v>1693</v>
      </c>
      <c r="B57" s="9">
        <v>0.7</v>
      </c>
      <c r="C57" s="8" t="s">
        <v>1694</v>
      </c>
      <c r="D57" s="8" t="s">
        <v>1695</v>
      </c>
      <c r="E57" s="8" t="s">
        <v>1696</v>
      </c>
      <c r="F57" s="8" t="b">
        <v>1</v>
      </c>
      <c r="G57" s="11" t="s">
        <v>1696</v>
      </c>
      <c r="H57" s="12"/>
      <c r="I57" s="12"/>
      <c r="J57" s="11" t="s">
        <v>1488</v>
      </c>
      <c r="K57" s="12"/>
      <c r="L57" s="11" t="s">
        <v>1697</v>
      </c>
      <c r="M57" s="11" t="s">
        <v>1698</v>
      </c>
      <c r="N57" s="11" t="s">
        <v>1699</v>
      </c>
      <c r="O57" s="11" t="s">
        <v>1533</v>
      </c>
      <c r="P57" s="13" t="s">
        <v>1282</v>
      </c>
    </row>
    <row r="58">
      <c r="A58" s="11" t="s">
        <v>1700</v>
      </c>
      <c r="B58" s="9">
        <v>0.7</v>
      </c>
      <c r="C58" s="8" t="s">
        <v>1701</v>
      </c>
      <c r="D58" s="8" t="s">
        <v>1702</v>
      </c>
      <c r="E58" s="8" t="s">
        <v>1703</v>
      </c>
      <c r="F58" s="8" t="b">
        <v>1</v>
      </c>
      <c r="G58" s="11" t="s">
        <v>1703</v>
      </c>
      <c r="H58" s="12"/>
      <c r="I58" s="11" t="s">
        <v>1344</v>
      </c>
      <c r="J58" s="12"/>
      <c r="K58" s="12"/>
      <c r="L58" s="11" t="s">
        <v>1704</v>
      </c>
      <c r="M58" s="11" t="s">
        <v>1705</v>
      </c>
      <c r="N58" s="11" t="s">
        <v>1706</v>
      </c>
      <c r="O58" s="11" t="s">
        <v>1707</v>
      </c>
      <c r="P58" s="13" t="s">
        <v>1318</v>
      </c>
    </row>
    <row r="59">
      <c r="A59" s="11" t="s">
        <v>1708</v>
      </c>
      <c r="B59" s="9">
        <v>0.7</v>
      </c>
      <c r="C59" s="8" t="s">
        <v>1295</v>
      </c>
      <c r="D59" s="8" t="s">
        <v>1709</v>
      </c>
      <c r="E59" s="8" t="s">
        <v>1710</v>
      </c>
      <c r="F59" s="8" t="b">
        <v>1</v>
      </c>
      <c r="G59" s="11" t="s">
        <v>1711</v>
      </c>
      <c r="H59" s="12"/>
      <c r="I59" s="12"/>
      <c r="J59" s="11" t="s">
        <v>1288</v>
      </c>
      <c r="K59" s="12"/>
      <c r="L59" s="11" t="s">
        <v>1712</v>
      </c>
      <c r="M59" s="11" t="s">
        <v>1713</v>
      </c>
      <c r="N59" s="11" t="s">
        <v>1714</v>
      </c>
      <c r="O59" s="11" t="s">
        <v>1523</v>
      </c>
      <c r="P59" s="13" t="s">
        <v>1282</v>
      </c>
    </row>
    <row r="60">
      <c r="A60" s="11" t="s">
        <v>1715</v>
      </c>
      <c r="B60" s="9">
        <v>0.7</v>
      </c>
      <c r="C60" s="8" t="s">
        <v>1716</v>
      </c>
      <c r="D60" s="8" t="s">
        <v>1717</v>
      </c>
      <c r="E60" s="8" t="s">
        <v>1718</v>
      </c>
      <c r="F60" s="8" t="b">
        <v>1</v>
      </c>
      <c r="G60" s="11" t="s">
        <v>1718</v>
      </c>
      <c r="H60" s="12"/>
      <c r="I60" s="11" t="s">
        <v>1344</v>
      </c>
      <c r="J60" s="11" t="s">
        <v>1298</v>
      </c>
      <c r="K60" s="11" t="s">
        <v>1313</v>
      </c>
      <c r="L60" s="11" t="s">
        <v>1719</v>
      </c>
      <c r="M60" s="11" t="s">
        <v>1720</v>
      </c>
      <c r="N60" s="12"/>
      <c r="O60" s="11" t="s">
        <v>1721</v>
      </c>
      <c r="P60" s="13" t="s">
        <v>1318</v>
      </c>
    </row>
    <row r="61">
      <c r="A61" s="11" t="s">
        <v>1722</v>
      </c>
      <c r="B61" s="9">
        <v>0.7</v>
      </c>
      <c r="C61" s="8" t="s">
        <v>1723</v>
      </c>
      <c r="D61" s="8" t="s">
        <v>1724</v>
      </c>
      <c r="E61" s="8" t="s">
        <v>1725</v>
      </c>
      <c r="F61" s="8" t="b">
        <v>1</v>
      </c>
      <c r="G61" s="11" t="s">
        <v>1725</v>
      </c>
      <c r="H61" s="12"/>
      <c r="I61" s="11" t="s">
        <v>1407</v>
      </c>
      <c r="J61" s="11" t="s">
        <v>1276</v>
      </c>
      <c r="K61" s="11" t="s">
        <v>1313</v>
      </c>
      <c r="L61" s="11" t="s">
        <v>1726</v>
      </c>
      <c r="M61" s="11" t="s">
        <v>1727</v>
      </c>
      <c r="N61" s="11" t="s">
        <v>1728</v>
      </c>
      <c r="O61" s="11" t="s">
        <v>1326</v>
      </c>
      <c r="P61" s="13" t="s">
        <v>1318</v>
      </c>
    </row>
    <row r="62">
      <c r="A62" s="11" t="s">
        <v>1729</v>
      </c>
      <c r="B62" s="9">
        <v>0.7</v>
      </c>
      <c r="C62" s="8" t="s">
        <v>1730</v>
      </c>
      <c r="D62" s="8" t="s">
        <v>1731</v>
      </c>
      <c r="E62" s="8" t="s">
        <v>1732</v>
      </c>
      <c r="F62" s="8" t="b">
        <v>1</v>
      </c>
      <c r="G62" s="11" t="s">
        <v>1732</v>
      </c>
      <c r="H62" s="12"/>
      <c r="I62" s="11" t="s">
        <v>1733</v>
      </c>
      <c r="J62" s="11" t="s">
        <v>1276</v>
      </c>
      <c r="K62" s="11" t="s">
        <v>1313</v>
      </c>
      <c r="L62" s="11" t="s">
        <v>1734</v>
      </c>
      <c r="M62" s="11" t="s">
        <v>1735</v>
      </c>
      <c r="N62" s="11" t="s">
        <v>1736</v>
      </c>
      <c r="O62" s="11" t="s">
        <v>1573</v>
      </c>
      <c r="P62" s="13" t="s">
        <v>1282</v>
      </c>
    </row>
    <row r="63">
      <c r="A63" s="11" t="s">
        <v>1737</v>
      </c>
      <c r="B63" s="9">
        <v>0.7</v>
      </c>
      <c r="C63" s="8" t="s">
        <v>1738</v>
      </c>
      <c r="D63" s="8" t="s">
        <v>1739</v>
      </c>
      <c r="E63" s="8" t="s">
        <v>1740</v>
      </c>
      <c r="F63" s="8" t="b">
        <v>1</v>
      </c>
      <c r="G63" s="11" t="s">
        <v>1740</v>
      </c>
      <c r="H63" s="12"/>
      <c r="I63" s="12"/>
      <c r="J63" s="11" t="s">
        <v>1741</v>
      </c>
      <c r="K63" s="12"/>
      <c r="L63" s="11" t="s">
        <v>1742</v>
      </c>
      <c r="M63" s="11" t="s">
        <v>1743</v>
      </c>
      <c r="N63" s="11" t="s">
        <v>1744</v>
      </c>
      <c r="O63" s="11" t="s">
        <v>1474</v>
      </c>
      <c r="P63" s="13" t="s">
        <v>1282</v>
      </c>
    </row>
    <row r="64">
      <c r="A64" s="11" t="s">
        <v>1745</v>
      </c>
      <c r="B64" s="9">
        <v>0.7</v>
      </c>
      <c r="C64" s="8" t="s">
        <v>1746</v>
      </c>
      <c r="D64" s="8" t="s">
        <v>1747</v>
      </c>
      <c r="E64" s="8" t="s">
        <v>1748</v>
      </c>
      <c r="F64" s="8" t="b">
        <v>1</v>
      </c>
      <c r="G64" s="11" t="s">
        <v>1748</v>
      </c>
      <c r="H64" s="12"/>
      <c r="I64" s="12"/>
      <c r="J64" s="11" t="s">
        <v>1276</v>
      </c>
      <c r="K64" s="12"/>
      <c r="L64" s="11" t="s">
        <v>1749</v>
      </c>
      <c r="M64" s="11" t="s">
        <v>1750</v>
      </c>
      <c r="N64" s="11" t="s">
        <v>1751</v>
      </c>
      <c r="O64" s="11" t="s">
        <v>1573</v>
      </c>
      <c r="P64" s="13" t="s">
        <v>1282</v>
      </c>
    </row>
    <row r="65">
      <c r="A65" s="11" t="s">
        <v>1752</v>
      </c>
      <c r="B65" s="9">
        <v>0.7</v>
      </c>
      <c r="C65" s="8" t="s">
        <v>1753</v>
      </c>
      <c r="D65" s="8" t="s">
        <v>1754</v>
      </c>
      <c r="E65" s="8" t="s">
        <v>1755</v>
      </c>
      <c r="F65" s="8" t="b">
        <v>1</v>
      </c>
      <c r="G65" s="11" t="s">
        <v>1755</v>
      </c>
      <c r="H65" s="12"/>
      <c r="I65" s="12"/>
      <c r="J65" s="12"/>
      <c r="K65" s="12"/>
      <c r="L65" s="11" t="s">
        <v>1756</v>
      </c>
      <c r="M65" s="11" t="s">
        <v>1757</v>
      </c>
      <c r="N65" s="11" t="s">
        <v>1758</v>
      </c>
      <c r="O65" s="11" t="s">
        <v>1759</v>
      </c>
      <c r="P65" s="13" t="s">
        <v>1282</v>
      </c>
    </row>
    <row r="66">
      <c r="A66" s="11" t="s">
        <v>1760</v>
      </c>
      <c r="B66" s="9">
        <v>0.7</v>
      </c>
      <c r="C66" s="8" t="s">
        <v>1761</v>
      </c>
      <c r="D66" s="8" t="s">
        <v>1762</v>
      </c>
      <c r="E66" s="8" t="s">
        <v>1763</v>
      </c>
      <c r="F66" s="8" t="b">
        <v>1</v>
      </c>
      <c r="G66" s="14" t="s">
        <v>1764</v>
      </c>
      <c r="H66" s="11" t="s">
        <v>1765</v>
      </c>
      <c r="I66" s="11" t="s">
        <v>1407</v>
      </c>
      <c r="J66" s="11" t="s">
        <v>1298</v>
      </c>
      <c r="K66" s="11" t="s">
        <v>1313</v>
      </c>
      <c r="L66" s="11" t="s">
        <v>1766</v>
      </c>
      <c r="M66" s="11" t="s">
        <v>1767</v>
      </c>
      <c r="N66" s="11" t="s">
        <v>1768</v>
      </c>
      <c r="O66" s="11" t="s">
        <v>1293</v>
      </c>
      <c r="P66" s="13" t="s">
        <v>1282</v>
      </c>
    </row>
    <row r="67">
      <c r="A67" s="11" t="s">
        <v>1769</v>
      </c>
      <c r="B67" s="9">
        <v>0.7</v>
      </c>
      <c r="C67" s="8" t="s">
        <v>1770</v>
      </c>
      <c r="D67" s="8" t="s">
        <v>1771</v>
      </c>
      <c r="E67" s="8" t="s">
        <v>1772</v>
      </c>
      <c r="F67" s="8" t="b">
        <v>1</v>
      </c>
      <c r="G67" s="11" t="s">
        <v>1772</v>
      </c>
      <c r="H67" s="12"/>
      <c r="I67" s="11" t="s">
        <v>1733</v>
      </c>
      <c r="J67" s="11" t="s">
        <v>1276</v>
      </c>
      <c r="K67" s="12"/>
      <c r="L67" s="11" t="s">
        <v>1773</v>
      </c>
      <c r="M67" s="11" t="s">
        <v>1774</v>
      </c>
      <c r="N67" s="11" t="s">
        <v>1775</v>
      </c>
      <c r="O67" s="11" t="s">
        <v>1378</v>
      </c>
      <c r="P67" s="13" t="s">
        <v>1282</v>
      </c>
    </row>
    <row r="68">
      <c r="A68" s="11" t="s">
        <v>1776</v>
      </c>
      <c r="B68" s="9">
        <v>0.7</v>
      </c>
      <c r="C68" s="8" t="s">
        <v>1777</v>
      </c>
      <c r="D68" s="8" t="s">
        <v>1778</v>
      </c>
      <c r="E68" s="8" t="s">
        <v>1779</v>
      </c>
      <c r="F68" s="8" t="b">
        <v>1</v>
      </c>
      <c r="G68" s="11" t="s">
        <v>1779</v>
      </c>
      <c r="H68" s="12"/>
      <c r="I68" s="11" t="s">
        <v>1344</v>
      </c>
      <c r="J68" s="11" t="s">
        <v>1496</v>
      </c>
      <c r="K68" s="12"/>
      <c r="L68" s="11" t="s">
        <v>1780</v>
      </c>
      <c r="M68" s="11" t="s">
        <v>1781</v>
      </c>
      <c r="N68" s="11" t="s">
        <v>1782</v>
      </c>
      <c r="O68" s="11" t="s">
        <v>1326</v>
      </c>
      <c r="P68" s="13" t="s">
        <v>1282</v>
      </c>
    </row>
    <row r="69">
      <c r="A69" s="11" t="s">
        <v>1783</v>
      </c>
      <c r="B69" s="9">
        <v>0.7</v>
      </c>
      <c r="C69" s="8" t="s">
        <v>1784</v>
      </c>
      <c r="D69" s="8" t="s">
        <v>1785</v>
      </c>
      <c r="E69" s="8" t="s">
        <v>1786</v>
      </c>
      <c r="F69" s="8" t="b">
        <v>1</v>
      </c>
      <c r="G69" s="11" t="s">
        <v>1786</v>
      </c>
      <c r="H69" s="12"/>
      <c r="I69" s="11" t="s">
        <v>1407</v>
      </c>
      <c r="J69" s="11" t="s">
        <v>1288</v>
      </c>
      <c r="K69" s="11" t="s">
        <v>1277</v>
      </c>
      <c r="L69" s="11" t="s">
        <v>1787</v>
      </c>
      <c r="M69" s="11" t="s">
        <v>1788</v>
      </c>
      <c r="N69" s="11" t="s">
        <v>1789</v>
      </c>
      <c r="O69" s="11" t="s">
        <v>1326</v>
      </c>
      <c r="P69" s="13" t="s">
        <v>1282</v>
      </c>
    </row>
    <row r="70">
      <c r="A70" s="11" t="s">
        <v>1790</v>
      </c>
      <c r="B70" s="9">
        <v>0.7</v>
      </c>
      <c r="C70" s="8" t="s">
        <v>1791</v>
      </c>
      <c r="D70" s="8" t="s">
        <v>1792</v>
      </c>
      <c r="E70" s="8" t="s">
        <v>1793</v>
      </c>
      <c r="F70" s="8" t="b">
        <v>1</v>
      </c>
      <c r="G70" s="11" t="s">
        <v>1794</v>
      </c>
      <c r="H70" s="12"/>
      <c r="I70" s="12"/>
      <c r="J70" s="11" t="s">
        <v>1288</v>
      </c>
      <c r="K70" s="12"/>
      <c r="L70" s="11" t="s">
        <v>1795</v>
      </c>
      <c r="M70" s="12"/>
      <c r="N70" s="11" t="s">
        <v>1796</v>
      </c>
      <c r="O70" s="11" t="s">
        <v>1797</v>
      </c>
      <c r="P70" s="13" t="s">
        <v>1282</v>
      </c>
    </row>
    <row r="71">
      <c r="A71" s="11" t="s">
        <v>1798</v>
      </c>
      <c r="B71" s="9">
        <v>0.7</v>
      </c>
      <c r="C71" s="8" t="s">
        <v>1799</v>
      </c>
      <c r="D71" s="8" t="s">
        <v>1800</v>
      </c>
      <c r="E71" s="8" t="s">
        <v>1801</v>
      </c>
      <c r="F71" s="8" t="b">
        <v>1</v>
      </c>
      <c r="G71" s="11" t="s">
        <v>1801</v>
      </c>
      <c r="H71" s="12"/>
      <c r="I71" s="12"/>
      <c r="J71" s="12"/>
      <c r="K71" s="12"/>
      <c r="L71" s="11" t="s">
        <v>1802</v>
      </c>
      <c r="M71" s="11" t="s">
        <v>1803</v>
      </c>
      <c r="N71" s="11" t="s">
        <v>1804</v>
      </c>
      <c r="O71" s="11" t="s">
        <v>1533</v>
      </c>
      <c r="P71" s="13" t="s">
        <v>1282</v>
      </c>
    </row>
    <row r="72">
      <c r="A72" s="11" t="s">
        <v>1805</v>
      </c>
      <c r="B72" s="9">
        <v>0.7</v>
      </c>
      <c r="C72" s="8" t="s">
        <v>1806</v>
      </c>
      <c r="D72" s="8" t="s">
        <v>1807</v>
      </c>
      <c r="E72" s="8" t="s">
        <v>1808</v>
      </c>
      <c r="F72" s="8" t="b">
        <v>1</v>
      </c>
      <c r="G72" s="11" t="s">
        <v>1809</v>
      </c>
      <c r="H72" s="12"/>
      <c r="I72" s="11" t="s">
        <v>1407</v>
      </c>
      <c r="J72" s="11" t="s">
        <v>1276</v>
      </c>
      <c r="K72" s="11" t="s">
        <v>1313</v>
      </c>
      <c r="L72" s="11" t="s">
        <v>1810</v>
      </c>
      <c r="M72" s="11" t="s">
        <v>1811</v>
      </c>
      <c r="N72" s="11" t="s">
        <v>1812</v>
      </c>
      <c r="O72" s="11" t="s">
        <v>1326</v>
      </c>
      <c r="P72" s="13" t="s">
        <v>1282</v>
      </c>
    </row>
    <row r="73">
      <c r="A73" s="11" t="s">
        <v>1813</v>
      </c>
      <c r="B73" s="9">
        <v>0.7</v>
      </c>
      <c r="C73" s="8" t="s">
        <v>1814</v>
      </c>
      <c r="D73" s="8" t="s">
        <v>1815</v>
      </c>
      <c r="E73" s="8" t="s">
        <v>1816</v>
      </c>
      <c r="F73" s="8" t="b">
        <v>1</v>
      </c>
      <c r="G73" s="11" t="s">
        <v>1816</v>
      </c>
      <c r="H73" s="12"/>
      <c r="I73" s="11" t="s">
        <v>1344</v>
      </c>
      <c r="J73" s="11" t="s">
        <v>1276</v>
      </c>
      <c r="K73" s="11" t="s">
        <v>1313</v>
      </c>
      <c r="L73" s="11" t="s">
        <v>1817</v>
      </c>
      <c r="M73" s="11" t="s">
        <v>1818</v>
      </c>
      <c r="N73" s="11" t="s">
        <v>1819</v>
      </c>
      <c r="O73" s="11" t="s">
        <v>1820</v>
      </c>
      <c r="P73" s="13" t="s">
        <v>1318</v>
      </c>
    </row>
    <row r="74">
      <c r="A74" s="11" t="s">
        <v>1821</v>
      </c>
      <c r="B74" s="9">
        <v>0.7</v>
      </c>
      <c r="C74" s="8" t="s">
        <v>1822</v>
      </c>
      <c r="D74" s="8" t="s">
        <v>1823</v>
      </c>
      <c r="E74" s="8" t="s">
        <v>1824</v>
      </c>
      <c r="F74" s="8" t="b">
        <v>1</v>
      </c>
      <c r="G74" s="11" t="s">
        <v>1824</v>
      </c>
      <c r="H74" s="12"/>
      <c r="I74" s="12"/>
      <c r="J74" s="11" t="s">
        <v>1488</v>
      </c>
      <c r="K74" s="11" t="s">
        <v>1313</v>
      </c>
      <c r="L74" s="11" t="s">
        <v>1825</v>
      </c>
      <c r="M74" s="11" t="s">
        <v>1826</v>
      </c>
      <c r="N74" s="11" t="s">
        <v>1827</v>
      </c>
      <c r="O74" s="11" t="s">
        <v>1326</v>
      </c>
      <c r="P74" s="13" t="s">
        <v>1282</v>
      </c>
    </row>
    <row r="75">
      <c r="A75" s="11" t="s">
        <v>1828</v>
      </c>
      <c r="B75" s="9">
        <v>0.7</v>
      </c>
      <c r="C75" s="8" t="s">
        <v>1829</v>
      </c>
      <c r="D75" s="8" t="s">
        <v>1830</v>
      </c>
      <c r="E75" s="11" t="s">
        <v>1831</v>
      </c>
      <c r="F75" s="8" t="b">
        <v>1</v>
      </c>
      <c r="G75" s="11" t="s">
        <v>1831</v>
      </c>
      <c r="H75" s="12"/>
      <c r="I75" s="12"/>
      <c r="J75" s="11" t="s">
        <v>1607</v>
      </c>
      <c r="K75" s="12"/>
      <c r="L75" s="11" t="s">
        <v>1832</v>
      </c>
      <c r="M75" s="11" t="s">
        <v>1833</v>
      </c>
      <c r="N75" s="11" t="s">
        <v>1834</v>
      </c>
      <c r="O75" s="11" t="s">
        <v>1533</v>
      </c>
      <c r="P75" s="13" t="s">
        <v>1318</v>
      </c>
    </row>
    <row r="76">
      <c r="A76" s="11" t="s">
        <v>1835</v>
      </c>
      <c r="B76" s="9">
        <v>0.65</v>
      </c>
      <c r="C76" s="8"/>
      <c r="D76" s="8" t="s">
        <v>1836</v>
      </c>
      <c r="E76" s="8" t="s">
        <v>1837</v>
      </c>
      <c r="F76" s="8" t="b">
        <v>1</v>
      </c>
      <c r="G76" s="11" t="s">
        <v>1837</v>
      </c>
      <c r="H76" s="12"/>
      <c r="I76" s="11" t="s">
        <v>1838</v>
      </c>
      <c r="J76" s="11" t="s">
        <v>1839</v>
      </c>
      <c r="K76" s="12"/>
      <c r="L76" s="11" t="s">
        <v>1840</v>
      </c>
      <c r="M76" s="11" t="s">
        <v>1841</v>
      </c>
      <c r="N76" s="11" t="s">
        <v>1842</v>
      </c>
      <c r="O76" s="11" t="s">
        <v>1843</v>
      </c>
      <c r="P76" s="13" t="s">
        <v>1282</v>
      </c>
    </row>
    <row r="77">
      <c r="A77" s="11" t="s">
        <v>1844</v>
      </c>
      <c r="B77" s="9">
        <v>0.65</v>
      </c>
      <c r="C77" s="8" t="s">
        <v>1845</v>
      </c>
      <c r="D77" s="8" t="s">
        <v>1846</v>
      </c>
      <c r="E77" s="8" t="s">
        <v>1847</v>
      </c>
      <c r="F77" s="8" t="b">
        <v>1</v>
      </c>
      <c r="G77" s="11" t="s">
        <v>1847</v>
      </c>
      <c r="H77" s="12"/>
      <c r="I77" s="12"/>
      <c r="J77" s="11" t="s">
        <v>1298</v>
      </c>
      <c r="K77" s="12"/>
      <c r="L77" s="11" t="s">
        <v>1848</v>
      </c>
      <c r="M77" s="11" t="s">
        <v>1849</v>
      </c>
      <c r="N77" s="11" t="s">
        <v>1850</v>
      </c>
      <c r="O77" s="11" t="s">
        <v>1474</v>
      </c>
      <c r="P77" s="13" t="s">
        <v>1318</v>
      </c>
    </row>
    <row r="78">
      <c r="A78" s="11" t="s">
        <v>1851</v>
      </c>
      <c r="B78" s="9">
        <v>0.65</v>
      </c>
      <c r="C78" s="8" t="s">
        <v>1852</v>
      </c>
      <c r="D78" s="8" t="s">
        <v>1853</v>
      </c>
      <c r="E78" s="8" t="s">
        <v>1854</v>
      </c>
      <c r="F78" s="8" t="b">
        <v>1</v>
      </c>
      <c r="G78" s="11" t="s">
        <v>1855</v>
      </c>
      <c r="H78" s="12"/>
      <c r="I78" s="11" t="s">
        <v>1856</v>
      </c>
      <c r="J78" s="11" t="s">
        <v>1561</v>
      </c>
      <c r="K78" s="12"/>
      <c r="L78" s="11" t="s">
        <v>1857</v>
      </c>
      <c r="M78" s="11" t="s">
        <v>1858</v>
      </c>
      <c r="N78" s="11" t="s">
        <v>1859</v>
      </c>
      <c r="O78" s="11" t="s">
        <v>1860</v>
      </c>
      <c r="P78" s="13" t="s">
        <v>1282</v>
      </c>
    </row>
    <row r="79">
      <c r="A79" s="11" t="s">
        <v>1861</v>
      </c>
      <c r="B79" s="9">
        <v>0.65</v>
      </c>
      <c r="C79" s="8"/>
      <c r="D79" s="8" t="s">
        <v>1862</v>
      </c>
      <c r="E79" s="8" t="s">
        <v>1863</v>
      </c>
      <c r="F79" s="8" t="b">
        <v>1</v>
      </c>
      <c r="G79" s="11" t="s">
        <v>1863</v>
      </c>
      <c r="H79" s="12"/>
      <c r="I79" s="11" t="s">
        <v>1344</v>
      </c>
      <c r="J79" s="11" t="s">
        <v>1864</v>
      </c>
      <c r="K79" s="11" t="s">
        <v>1313</v>
      </c>
      <c r="L79" s="11" t="s">
        <v>1865</v>
      </c>
      <c r="M79" s="11" t="s">
        <v>1866</v>
      </c>
      <c r="N79" s="11" t="s">
        <v>1867</v>
      </c>
      <c r="O79" s="11" t="s">
        <v>1868</v>
      </c>
      <c r="P79" s="13" t="s">
        <v>1282</v>
      </c>
    </row>
    <row r="80">
      <c r="A80" s="11" t="s">
        <v>1869</v>
      </c>
      <c r="B80" s="9">
        <v>0.65</v>
      </c>
      <c r="C80" s="8"/>
      <c r="D80" s="8" t="s">
        <v>1870</v>
      </c>
      <c r="E80" s="8" t="s">
        <v>1871</v>
      </c>
      <c r="F80" s="8" t="b">
        <v>1</v>
      </c>
      <c r="G80" s="11" t="s">
        <v>1871</v>
      </c>
      <c r="H80" s="12"/>
      <c r="I80" s="11" t="s">
        <v>1344</v>
      </c>
      <c r="J80" s="11" t="s">
        <v>1276</v>
      </c>
      <c r="K80" s="12"/>
      <c r="L80" s="11" t="s">
        <v>1872</v>
      </c>
      <c r="M80" s="11" t="s">
        <v>1873</v>
      </c>
      <c r="N80" s="11" t="s">
        <v>1874</v>
      </c>
      <c r="O80" s="11" t="s">
        <v>1369</v>
      </c>
      <c r="P80" s="13" t="s">
        <v>1282</v>
      </c>
    </row>
    <row r="81">
      <c r="A81" s="11" t="s">
        <v>1875</v>
      </c>
      <c r="B81" s="9">
        <v>0.65</v>
      </c>
      <c r="C81" s="8" t="s">
        <v>1876</v>
      </c>
      <c r="D81" s="8" t="s">
        <v>1877</v>
      </c>
      <c r="E81" s="8" t="s">
        <v>1878</v>
      </c>
      <c r="F81" s="8" t="b">
        <v>1</v>
      </c>
      <c r="G81" s="11" t="s">
        <v>1878</v>
      </c>
      <c r="H81" s="12"/>
      <c r="I81" s="12"/>
      <c r="J81" s="11" t="s">
        <v>1298</v>
      </c>
      <c r="K81" s="12"/>
      <c r="L81" s="11" t="s">
        <v>1879</v>
      </c>
      <c r="M81" s="11" t="s">
        <v>1880</v>
      </c>
      <c r="N81" s="11" t="s">
        <v>1881</v>
      </c>
      <c r="O81" s="11" t="s">
        <v>1326</v>
      </c>
      <c r="P81" s="13" t="s">
        <v>1282</v>
      </c>
    </row>
    <row r="82">
      <c r="A82" s="11" t="s">
        <v>1882</v>
      </c>
      <c r="B82" s="9">
        <v>0.6</v>
      </c>
      <c r="C82" s="8" t="s">
        <v>1883</v>
      </c>
      <c r="D82" s="8" t="s">
        <v>1884</v>
      </c>
      <c r="E82" s="8" t="s">
        <v>1885</v>
      </c>
      <c r="F82" s="8" t="b">
        <v>1</v>
      </c>
      <c r="G82" s="11" t="s">
        <v>1885</v>
      </c>
      <c r="H82" s="12"/>
      <c r="I82" s="11" t="s">
        <v>1344</v>
      </c>
      <c r="J82" s="11" t="s">
        <v>1345</v>
      </c>
      <c r="K82" s="12"/>
      <c r="L82" s="11" t="s">
        <v>1886</v>
      </c>
      <c r="M82" s="11" t="s">
        <v>1887</v>
      </c>
      <c r="N82" s="11" t="s">
        <v>1888</v>
      </c>
      <c r="O82" s="11" t="s">
        <v>1721</v>
      </c>
      <c r="P82" s="13" t="s">
        <v>1318</v>
      </c>
    </row>
    <row r="83">
      <c r="A83" s="11" t="s">
        <v>1889</v>
      </c>
      <c r="B83" s="9">
        <v>0.6</v>
      </c>
      <c r="C83" s="8" t="s">
        <v>1890</v>
      </c>
      <c r="D83" s="8" t="s">
        <v>1891</v>
      </c>
      <c r="E83" s="8" t="s">
        <v>1892</v>
      </c>
      <c r="F83" s="8" t="b">
        <v>1</v>
      </c>
      <c r="G83" s="11" t="s">
        <v>1892</v>
      </c>
      <c r="H83" s="12"/>
      <c r="I83" s="11" t="s">
        <v>1407</v>
      </c>
      <c r="J83" s="11" t="s">
        <v>1839</v>
      </c>
      <c r="K83" s="12"/>
      <c r="L83" s="11" t="s">
        <v>1893</v>
      </c>
      <c r="M83" s="11" t="s">
        <v>1894</v>
      </c>
      <c r="N83" s="12"/>
      <c r="O83" s="11" t="s">
        <v>1326</v>
      </c>
      <c r="P83" s="13" t="s">
        <v>1318</v>
      </c>
    </row>
    <row r="84">
      <c r="A84" s="11" t="s">
        <v>1895</v>
      </c>
      <c r="B84" s="9">
        <v>0.6</v>
      </c>
      <c r="C84" s="8" t="s">
        <v>1896</v>
      </c>
      <c r="D84" s="8" t="s">
        <v>1897</v>
      </c>
      <c r="E84" s="8" t="s">
        <v>1898</v>
      </c>
      <c r="F84" s="8" t="b">
        <v>1</v>
      </c>
      <c r="G84" s="11" t="s">
        <v>1898</v>
      </c>
      <c r="H84" s="12"/>
      <c r="I84" s="12"/>
      <c r="J84" s="11" t="s">
        <v>1345</v>
      </c>
      <c r="K84" s="12"/>
      <c r="L84" s="11" t="s">
        <v>1899</v>
      </c>
      <c r="M84" s="11" t="s">
        <v>1900</v>
      </c>
      <c r="N84" s="11" t="s">
        <v>1901</v>
      </c>
      <c r="O84" s="11" t="s">
        <v>1326</v>
      </c>
      <c r="P84" s="13" t="s">
        <v>1282</v>
      </c>
    </row>
    <row r="85">
      <c r="A85" s="11" t="s">
        <v>1902</v>
      </c>
      <c r="B85" s="9">
        <v>0.6</v>
      </c>
      <c r="C85" s="8" t="s">
        <v>1903</v>
      </c>
      <c r="D85" s="8" t="s">
        <v>1904</v>
      </c>
      <c r="E85" s="8" t="s">
        <v>1905</v>
      </c>
      <c r="F85" s="8" t="b">
        <v>1</v>
      </c>
      <c r="G85" s="11" t="s">
        <v>1905</v>
      </c>
      <c r="H85" s="12"/>
      <c r="I85" s="11" t="s">
        <v>1344</v>
      </c>
      <c r="J85" s="11" t="s">
        <v>1345</v>
      </c>
      <c r="K85" s="12"/>
      <c r="L85" s="11" t="s">
        <v>1906</v>
      </c>
      <c r="M85" s="11" t="s">
        <v>1907</v>
      </c>
      <c r="N85" s="11" t="s">
        <v>1908</v>
      </c>
      <c r="O85" s="11" t="s">
        <v>1909</v>
      </c>
      <c r="P85" s="13" t="s">
        <v>1318</v>
      </c>
    </row>
    <row r="86">
      <c r="A86" s="11" t="s">
        <v>1910</v>
      </c>
      <c r="B86" s="9">
        <v>0.6</v>
      </c>
      <c r="C86" s="8" t="s">
        <v>1911</v>
      </c>
      <c r="D86" s="8" t="s">
        <v>1912</v>
      </c>
      <c r="E86" s="8" t="s">
        <v>1913</v>
      </c>
      <c r="F86" s="8" t="b">
        <v>1</v>
      </c>
      <c r="G86" s="11" t="s">
        <v>1913</v>
      </c>
      <c r="H86" s="12"/>
      <c r="I86" s="12"/>
      <c r="J86" s="11" t="s">
        <v>1415</v>
      </c>
      <c r="K86" s="12"/>
      <c r="L86" s="11" t="s">
        <v>1914</v>
      </c>
      <c r="M86" s="11" t="s">
        <v>1915</v>
      </c>
      <c r="N86" s="11" t="s">
        <v>1916</v>
      </c>
      <c r="O86" s="11" t="s">
        <v>1302</v>
      </c>
      <c r="P86" s="13" t="s">
        <v>1282</v>
      </c>
    </row>
    <row r="87">
      <c r="A87" s="11" t="s">
        <v>1917</v>
      </c>
      <c r="B87" s="9">
        <v>0.6</v>
      </c>
      <c r="C87" s="8" t="s">
        <v>1918</v>
      </c>
      <c r="D87" s="8" t="s">
        <v>1919</v>
      </c>
      <c r="E87" s="8" t="s">
        <v>1920</v>
      </c>
      <c r="F87" s="8" t="b">
        <v>1</v>
      </c>
      <c r="G87" s="11" t="s">
        <v>1920</v>
      </c>
      <c r="H87" s="12"/>
      <c r="I87" s="11" t="s">
        <v>1344</v>
      </c>
      <c r="J87" s="11" t="s">
        <v>1276</v>
      </c>
      <c r="K87" s="11" t="s">
        <v>1313</v>
      </c>
      <c r="L87" s="11" t="s">
        <v>1921</v>
      </c>
      <c r="M87" s="11" t="s">
        <v>1922</v>
      </c>
      <c r="N87" s="11" t="s">
        <v>1923</v>
      </c>
      <c r="O87" s="11" t="s">
        <v>1326</v>
      </c>
      <c r="P87" s="13" t="s">
        <v>1282</v>
      </c>
    </row>
    <row r="88">
      <c r="A88" s="16" t="s">
        <v>1924</v>
      </c>
      <c r="B88" s="9">
        <v>0.6</v>
      </c>
      <c r="C88" s="8" t="s">
        <v>1925</v>
      </c>
      <c r="D88" s="8" t="s">
        <v>1926</v>
      </c>
      <c r="E88" s="8" t="s">
        <v>1927</v>
      </c>
      <c r="F88" s="8" t="b">
        <v>1</v>
      </c>
      <c r="G88" s="11"/>
      <c r="H88" s="12"/>
      <c r="I88" s="12"/>
      <c r="J88" s="11"/>
      <c r="K88" s="11"/>
      <c r="L88" s="11"/>
      <c r="M88" s="11"/>
      <c r="N88" s="11"/>
      <c r="O88" s="11"/>
      <c r="P88" s="8"/>
    </row>
    <row r="89">
      <c r="A89" s="11" t="s">
        <v>1928</v>
      </c>
      <c r="B89" s="9">
        <v>0.7</v>
      </c>
      <c r="C89" s="8" t="s">
        <v>1929</v>
      </c>
      <c r="D89" s="8" t="s">
        <v>1930</v>
      </c>
      <c r="E89" s="8" t="s">
        <v>1931</v>
      </c>
      <c r="F89" s="8" t="b">
        <v>1</v>
      </c>
      <c r="G89" s="11" t="s">
        <v>1931</v>
      </c>
      <c r="H89" s="12"/>
      <c r="I89" s="11" t="s">
        <v>1407</v>
      </c>
      <c r="J89" s="11" t="s">
        <v>1622</v>
      </c>
      <c r="K89" s="11" t="s">
        <v>1277</v>
      </c>
      <c r="L89" s="11" t="s">
        <v>1932</v>
      </c>
      <c r="M89" s="11" t="s">
        <v>1933</v>
      </c>
      <c r="N89" s="11" t="s">
        <v>1934</v>
      </c>
      <c r="O89" s="11" t="s">
        <v>1533</v>
      </c>
      <c r="P89" s="13" t="s">
        <v>1282</v>
      </c>
    </row>
    <row r="90">
      <c r="A90" s="11" t="s">
        <v>1935</v>
      </c>
      <c r="B90" s="9">
        <v>0.6</v>
      </c>
      <c r="C90" s="8" t="s">
        <v>1936</v>
      </c>
      <c r="D90" s="8" t="s">
        <v>1937</v>
      </c>
      <c r="E90" s="8" t="s">
        <v>1938</v>
      </c>
      <c r="F90" s="8" t="b">
        <v>1</v>
      </c>
      <c r="G90" s="11" t="s">
        <v>1938</v>
      </c>
      <c r="H90" s="12"/>
      <c r="I90" s="11" t="s">
        <v>1344</v>
      </c>
      <c r="J90" s="11" t="s">
        <v>1552</v>
      </c>
      <c r="K90" s="11" t="s">
        <v>1289</v>
      </c>
      <c r="L90" s="11" t="s">
        <v>1939</v>
      </c>
      <c r="M90" s="11" t="s">
        <v>1940</v>
      </c>
      <c r="N90" s="11" t="s">
        <v>1941</v>
      </c>
      <c r="O90" s="11" t="s">
        <v>1474</v>
      </c>
      <c r="P90" s="13" t="s">
        <v>1282</v>
      </c>
    </row>
    <row r="91">
      <c r="A91" s="11" t="s">
        <v>1942</v>
      </c>
      <c r="B91" s="9">
        <v>0.6</v>
      </c>
      <c r="C91" s="8" t="s">
        <v>1943</v>
      </c>
      <c r="D91" s="8" t="s">
        <v>1944</v>
      </c>
      <c r="E91" s="8" t="s">
        <v>1945</v>
      </c>
      <c r="F91" s="8" t="b">
        <v>1</v>
      </c>
      <c r="G91" s="11" t="s">
        <v>1945</v>
      </c>
      <c r="H91" s="12"/>
      <c r="I91" s="12"/>
      <c r="J91" s="11" t="s">
        <v>1276</v>
      </c>
      <c r="K91" s="12"/>
      <c r="L91" s="11" t="s">
        <v>1946</v>
      </c>
      <c r="M91" s="11" t="s">
        <v>1947</v>
      </c>
      <c r="N91" s="11" t="s">
        <v>1948</v>
      </c>
      <c r="O91" s="11" t="s">
        <v>1302</v>
      </c>
      <c r="P91" s="13" t="s">
        <v>1282</v>
      </c>
    </row>
    <row r="92">
      <c r="A92" s="11" t="s">
        <v>1949</v>
      </c>
      <c r="B92" s="9">
        <v>0.6</v>
      </c>
      <c r="C92" s="8" t="s">
        <v>1950</v>
      </c>
      <c r="D92" s="8" t="s">
        <v>1951</v>
      </c>
      <c r="E92" s="8" t="s">
        <v>1952</v>
      </c>
      <c r="F92" s="8" t="b">
        <v>1</v>
      </c>
      <c r="G92" s="11" t="s">
        <v>1952</v>
      </c>
      <c r="H92" s="12"/>
      <c r="I92" s="11" t="s">
        <v>1407</v>
      </c>
      <c r="J92" s="11" t="s">
        <v>1488</v>
      </c>
      <c r="K92" s="12"/>
      <c r="L92" s="11" t="s">
        <v>1953</v>
      </c>
      <c r="M92" s="11" t="s">
        <v>1954</v>
      </c>
      <c r="N92" s="11" t="s">
        <v>1955</v>
      </c>
      <c r="O92" s="11" t="s">
        <v>1326</v>
      </c>
      <c r="P92" s="13" t="s">
        <v>1282</v>
      </c>
    </row>
    <row r="93">
      <c r="A93" s="11" t="s">
        <v>1956</v>
      </c>
      <c r="B93" s="9">
        <v>0.6</v>
      </c>
      <c r="C93" s="8" t="s">
        <v>1957</v>
      </c>
      <c r="D93" s="8" t="s">
        <v>1958</v>
      </c>
      <c r="E93" s="8" t="s">
        <v>1959</v>
      </c>
      <c r="F93" s="8" t="b">
        <v>1</v>
      </c>
      <c r="G93" s="14" t="s">
        <v>1960</v>
      </c>
      <c r="H93" s="12"/>
      <c r="I93" s="11" t="s">
        <v>1407</v>
      </c>
      <c r="J93" s="11" t="s">
        <v>1298</v>
      </c>
      <c r="K93" s="12"/>
      <c r="L93" s="11" t="s">
        <v>1961</v>
      </c>
      <c r="M93" s="11" t="s">
        <v>1962</v>
      </c>
      <c r="N93" s="11" t="s">
        <v>1963</v>
      </c>
      <c r="O93" s="11" t="s">
        <v>1533</v>
      </c>
      <c r="P93" s="13" t="s">
        <v>1318</v>
      </c>
    </row>
    <row r="94">
      <c r="A94" s="11" t="s">
        <v>1964</v>
      </c>
      <c r="B94" s="9">
        <v>0.6</v>
      </c>
      <c r="C94" s="8" t="s">
        <v>1295</v>
      </c>
      <c r="D94" s="8" t="s">
        <v>1965</v>
      </c>
      <c r="E94" s="8" t="s">
        <v>1966</v>
      </c>
      <c r="F94" s="8" t="b">
        <v>1</v>
      </c>
      <c r="G94" s="11" t="s">
        <v>1967</v>
      </c>
      <c r="H94" s="12"/>
      <c r="I94" s="12"/>
      <c r="J94" s="11" t="s">
        <v>1298</v>
      </c>
      <c r="K94" s="12"/>
      <c r="L94" s="11" t="s">
        <v>1968</v>
      </c>
      <c r="M94" s="11" t="s">
        <v>1969</v>
      </c>
      <c r="N94" s="11" t="s">
        <v>1970</v>
      </c>
      <c r="O94" s="11" t="s">
        <v>1595</v>
      </c>
      <c r="P94" s="13" t="s">
        <v>1282</v>
      </c>
    </row>
    <row r="95">
      <c r="A95" s="11" t="s">
        <v>1971</v>
      </c>
      <c r="B95" s="9">
        <v>0.6</v>
      </c>
      <c r="C95" s="8" t="s">
        <v>1972</v>
      </c>
      <c r="D95" s="8" t="s">
        <v>1973</v>
      </c>
      <c r="E95" s="8" t="s">
        <v>1974</v>
      </c>
      <c r="F95" s="8" t="b">
        <v>1</v>
      </c>
      <c r="G95" s="11" t="s">
        <v>1975</v>
      </c>
      <c r="H95" s="12"/>
      <c r="I95" s="12"/>
      <c r="J95" s="11" t="s">
        <v>1276</v>
      </c>
      <c r="K95" s="12"/>
      <c r="L95" s="11" t="s">
        <v>1976</v>
      </c>
      <c r="M95" s="12"/>
      <c r="N95" s="11" t="s">
        <v>1977</v>
      </c>
      <c r="O95" s="11" t="s">
        <v>1293</v>
      </c>
      <c r="P95" s="13" t="s">
        <v>1318</v>
      </c>
    </row>
    <row r="96">
      <c r="A96" s="11" t="s">
        <v>1978</v>
      </c>
      <c r="B96" s="9">
        <v>0.6</v>
      </c>
      <c r="C96" s="8" t="s">
        <v>1979</v>
      </c>
      <c r="D96" s="8" t="s">
        <v>1980</v>
      </c>
      <c r="E96" s="8" t="s">
        <v>1981</v>
      </c>
      <c r="F96" s="8" t="b">
        <v>1</v>
      </c>
      <c r="G96" s="11" t="s">
        <v>1981</v>
      </c>
      <c r="H96" s="12"/>
      <c r="I96" s="11" t="s">
        <v>1344</v>
      </c>
      <c r="J96" s="11" t="s">
        <v>1345</v>
      </c>
      <c r="K96" s="12"/>
      <c r="L96" s="11" t="s">
        <v>1982</v>
      </c>
      <c r="M96" s="11" t="s">
        <v>1983</v>
      </c>
      <c r="N96" s="11" t="s">
        <v>1984</v>
      </c>
      <c r="O96" s="11" t="s">
        <v>1378</v>
      </c>
      <c r="P96" s="13" t="s">
        <v>1282</v>
      </c>
    </row>
    <row r="97">
      <c r="A97" s="11" t="s">
        <v>1985</v>
      </c>
      <c r="B97" s="9">
        <v>0.6</v>
      </c>
      <c r="C97" s="8" t="s">
        <v>1295</v>
      </c>
      <c r="D97" s="8" t="s">
        <v>1986</v>
      </c>
      <c r="E97" s="8" t="s">
        <v>1987</v>
      </c>
      <c r="F97" s="8" t="b">
        <v>1</v>
      </c>
      <c r="G97" s="11" t="s">
        <v>1987</v>
      </c>
      <c r="H97" s="12"/>
      <c r="I97" s="12"/>
      <c r="J97" s="11" t="s">
        <v>1276</v>
      </c>
      <c r="K97" s="12"/>
      <c r="L97" s="11" t="s">
        <v>1988</v>
      </c>
      <c r="M97" s="11" t="s">
        <v>1989</v>
      </c>
      <c r="N97" s="11" t="s">
        <v>1990</v>
      </c>
      <c r="O97" s="11" t="s">
        <v>1573</v>
      </c>
      <c r="P97" s="13" t="s">
        <v>1282</v>
      </c>
    </row>
    <row r="98">
      <c r="A98" s="11" t="s">
        <v>1991</v>
      </c>
      <c r="B98" s="9">
        <v>0.6</v>
      </c>
      <c r="C98" s="8" t="s">
        <v>1992</v>
      </c>
      <c r="D98" s="8" t="s">
        <v>1993</v>
      </c>
      <c r="E98" s="8" t="s">
        <v>1994</v>
      </c>
      <c r="F98" s="8" t="b">
        <v>1</v>
      </c>
      <c r="G98" s="11" t="s">
        <v>1994</v>
      </c>
      <c r="H98" s="12"/>
      <c r="I98" s="11" t="s">
        <v>1407</v>
      </c>
      <c r="J98" s="11" t="s">
        <v>1288</v>
      </c>
      <c r="K98" s="12"/>
      <c r="L98" s="11" t="s">
        <v>1995</v>
      </c>
      <c r="M98" s="11" t="s">
        <v>1996</v>
      </c>
      <c r="N98" s="11" t="s">
        <v>1997</v>
      </c>
      <c r="O98" s="11" t="s">
        <v>1293</v>
      </c>
      <c r="P98" s="13" t="s">
        <v>1318</v>
      </c>
    </row>
    <row r="99">
      <c r="A99" s="11" t="s">
        <v>1998</v>
      </c>
      <c r="B99" s="9">
        <v>0.6</v>
      </c>
      <c r="C99" s="8" t="s">
        <v>1999</v>
      </c>
      <c r="D99" s="8" t="s">
        <v>2000</v>
      </c>
      <c r="E99" s="8" t="s">
        <v>2001</v>
      </c>
      <c r="F99" s="8" t="b">
        <v>1</v>
      </c>
      <c r="G99" s="11" t="s">
        <v>2001</v>
      </c>
      <c r="H99" s="12"/>
      <c r="I99" s="11" t="s">
        <v>1344</v>
      </c>
      <c r="J99" s="11" t="s">
        <v>1488</v>
      </c>
      <c r="K99" s="11" t="s">
        <v>1289</v>
      </c>
      <c r="L99" s="11" t="s">
        <v>2002</v>
      </c>
      <c r="M99" s="11" t="s">
        <v>2003</v>
      </c>
      <c r="N99" s="11" t="s">
        <v>2004</v>
      </c>
      <c r="O99" s="11" t="s">
        <v>1378</v>
      </c>
      <c r="P99" s="13" t="s">
        <v>1282</v>
      </c>
    </row>
    <row r="100">
      <c r="A100" s="11" t="s">
        <v>2005</v>
      </c>
      <c r="B100" s="9">
        <v>0.6</v>
      </c>
      <c r="C100" s="8" t="s">
        <v>2006</v>
      </c>
      <c r="D100" s="8" t="s">
        <v>2007</v>
      </c>
      <c r="E100" s="8" t="s">
        <v>2008</v>
      </c>
      <c r="F100" s="8" t="b">
        <v>1</v>
      </c>
      <c r="G100" s="11" t="s">
        <v>2008</v>
      </c>
      <c r="H100" s="12"/>
      <c r="I100" s="11" t="s">
        <v>1344</v>
      </c>
      <c r="J100" s="11" t="s">
        <v>1496</v>
      </c>
      <c r="K100" s="12"/>
      <c r="L100" s="11" t="s">
        <v>2009</v>
      </c>
      <c r="M100" s="11" t="s">
        <v>2010</v>
      </c>
      <c r="N100" s="11" t="s">
        <v>2011</v>
      </c>
      <c r="O100" s="11" t="s">
        <v>1378</v>
      </c>
      <c r="P100" s="13" t="s">
        <v>1282</v>
      </c>
    </row>
    <row r="101">
      <c r="A101" s="11" t="s">
        <v>2012</v>
      </c>
      <c r="B101" s="9">
        <v>0.6</v>
      </c>
      <c r="C101" s="8" t="s">
        <v>1295</v>
      </c>
      <c r="D101" s="8" t="s">
        <v>2013</v>
      </c>
      <c r="E101" s="8" t="s">
        <v>2014</v>
      </c>
      <c r="F101" s="8" t="b">
        <v>1</v>
      </c>
      <c r="G101" s="14" t="s">
        <v>2015</v>
      </c>
      <c r="H101" s="12"/>
      <c r="I101" s="11" t="s">
        <v>1407</v>
      </c>
      <c r="J101" s="11" t="s">
        <v>1298</v>
      </c>
      <c r="K101" s="12"/>
      <c r="L101" s="11" t="s">
        <v>2016</v>
      </c>
      <c r="M101" s="11" t="s">
        <v>2017</v>
      </c>
      <c r="N101" s="11" t="s">
        <v>2018</v>
      </c>
      <c r="O101" s="11" t="s">
        <v>1533</v>
      </c>
      <c r="P101" s="13" t="s">
        <v>1318</v>
      </c>
    </row>
    <row r="102">
      <c r="A102" s="11" t="s">
        <v>2019</v>
      </c>
      <c r="B102" s="9">
        <v>0.6</v>
      </c>
      <c r="C102" s="8" t="s">
        <v>1295</v>
      </c>
      <c r="D102" s="8" t="s">
        <v>2020</v>
      </c>
      <c r="E102" s="8" t="s">
        <v>2021</v>
      </c>
      <c r="F102" s="8" t="b">
        <v>1</v>
      </c>
      <c r="G102" s="11" t="s">
        <v>2021</v>
      </c>
      <c r="H102" s="12"/>
      <c r="I102" s="12"/>
      <c r="J102" s="11" t="s">
        <v>1298</v>
      </c>
      <c r="K102" s="11" t="s">
        <v>1313</v>
      </c>
      <c r="L102" s="11" t="s">
        <v>2022</v>
      </c>
      <c r="M102" s="11" t="s">
        <v>2023</v>
      </c>
      <c r="N102" s="11" t="s">
        <v>2024</v>
      </c>
      <c r="O102" s="11" t="s">
        <v>2025</v>
      </c>
      <c r="P102" s="13" t="s">
        <v>1318</v>
      </c>
    </row>
    <row r="103">
      <c r="A103" s="11" t="s">
        <v>2026</v>
      </c>
      <c r="B103" s="9">
        <v>0.6</v>
      </c>
      <c r="C103" s="8" t="s">
        <v>2027</v>
      </c>
      <c r="D103" s="8" t="s">
        <v>2028</v>
      </c>
      <c r="E103" s="8" t="s">
        <v>2029</v>
      </c>
      <c r="F103" s="8" t="b">
        <v>1</v>
      </c>
      <c r="G103" s="11" t="s">
        <v>2029</v>
      </c>
      <c r="H103" s="12"/>
      <c r="I103" s="11" t="s">
        <v>1733</v>
      </c>
      <c r="J103" s="11" t="s">
        <v>1552</v>
      </c>
      <c r="K103" s="12"/>
      <c r="L103" s="11" t="s">
        <v>2030</v>
      </c>
      <c r="M103" s="11" t="s">
        <v>2031</v>
      </c>
      <c r="N103" s="11" t="s">
        <v>2032</v>
      </c>
      <c r="O103" s="11" t="s">
        <v>2033</v>
      </c>
      <c r="P103" s="13" t="s">
        <v>1282</v>
      </c>
    </row>
    <row r="104">
      <c r="A104" s="11" t="s">
        <v>2034</v>
      </c>
      <c r="B104" s="9">
        <v>0.6</v>
      </c>
      <c r="C104" s="8" t="s">
        <v>2035</v>
      </c>
      <c r="D104" s="8" t="s">
        <v>2036</v>
      </c>
      <c r="E104" s="8" t="s">
        <v>2037</v>
      </c>
      <c r="F104" s="8" t="b">
        <v>1</v>
      </c>
      <c r="G104" s="11" t="s">
        <v>2037</v>
      </c>
      <c r="H104" s="12"/>
      <c r="I104" s="11" t="s">
        <v>1344</v>
      </c>
      <c r="J104" s="11" t="s">
        <v>1511</v>
      </c>
      <c r="K104" s="11" t="s">
        <v>1313</v>
      </c>
      <c r="L104" s="11" t="s">
        <v>2038</v>
      </c>
      <c r="M104" s="11" t="s">
        <v>2039</v>
      </c>
      <c r="N104" s="11" t="s">
        <v>2040</v>
      </c>
      <c r="O104" s="11" t="s">
        <v>1326</v>
      </c>
      <c r="P104" s="13" t="s">
        <v>1282</v>
      </c>
    </row>
    <row r="105">
      <c r="A105" s="11" t="s">
        <v>2041</v>
      </c>
      <c r="B105" s="9">
        <v>0.6</v>
      </c>
      <c r="C105" s="8" t="s">
        <v>2042</v>
      </c>
      <c r="D105" s="8" t="s">
        <v>2043</v>
      </c>
      <c r="E105" s="8" t="s">
        <v>2044</v>
      </c>
      <c r="F105" s="8" t="b">
        <v>1</v>
      </c>
      <c r="G105" s="11" t="s">
        <v>2045</v>
      </c>
      <c r="H105" s="12"/>
      <c r="I105" s="11" t="s">
        <v>1344</v>
      </c>
      <c r="J105" s="11" t="s">
        <v>1488</v>
      </c>
      <c r="K105" s="12"/>
      <c r="L105" s="11" t="s">
        <v>2046</v>
      </c>
      <c r="M105" s="11" t="s">
        <v>2047</v>
      </c>
      <c r="N105" s="11" t="s">
        <v>2048</v>
      </c>
      <c r="O105" s="11" t="s">
        <v>1326</v>
      </c>
      <c r="P105" s="13" t="s">
        <v>1282</v>
      </c>
    </row>
    <row r="106">
      <c r="A106" s="11" t="s">
        <v>2049</v>
      </c>
      <c r="B106" s="9">
        <v>0.6</v>
      </c>
      <c r="C106" s="8" t="s">
        <v>2050</v>
      </c>
      <c r="D106" s="8" t="s">
        <v>2051</v>
      </c>
      <c r="E106" s="8" t="s">
        <v>2052</v>
      </c>
      <c r="F106" s="8" t="b">
        <v>1</v>
      </c>
      <c r="G106" s="11" t="s">
        <v>2052</v>
      </c>
      <c r="H106" s="12"/>
      <c r="I106" s="11" t="s">
        <v>1344</v>
      </c>
      <c r="J106" s="11" t="s">
        <v>1345</v>
      </c>
      <c r="K106" s="11" t="s">
        <v>1313</v>
      </c>
      <c r="L106" s="11" t="s">
        <v>2053</v>
      </c>
      <c r="M106" s="11" t="s">
        <v>2054</v>
      </c>
      <c r="N106" s="11" t="s">
        <v>2055</v>
      </c>
      <c r="O106" s="11" t="s">
        <v>2056</v>
      </c>
      <c r="P106" s="13" t="s">
        <v>1318</v>
      </c>
    </row>
    <row r="107">
      <c r="A107" s="11" t="s">
        <v>2057</v>
      </c>
      <c r="B107" s="9">
        <v>0.6</v>
      </c>
      <c r="C107" s="8" t="s">
        <v>2058</v>
      </c>
      <c r="D107" s="8" t="s">
        <v>2059</v>
      </c>
      <c r="E107" s="8" t="s">
        <v>2060</v>
      </c>
      <c r="F107" s="8" t="b">
        <v>1</v>
      </c>
      <c r="G107" s="11" t="s">
        <v>2060</v>
      </c>
      <c r="H107" s="12"/>
      <c r="I107" s="12"/>
      <c r="J107" s="11" t="s">
        <v>1276</v>
      </c>
      <c r="K107" s="12"/>
      <c r="L107" s="11" t="s">
        <v>2061</v>
      </c>
      <c r="M107" s="11" t="s">
        <v>2062</v>
      </c>
      <c r="N107" s="11" t="s">
        <v>2063</v>
      </c>
      <c r="O107" s="11" t="s">
        <v>1326</v>
      </c>
      <c r="P107" s="13" t="s">
        <v>1282</v>
      </c>
    </row>
    <row r="108">
      <c r="A108" s="11" t="s">
        <v>2064</v>
      </c>
      <c r="B108" s="9">
        <v>0.6</v>
      </c>
      <c r="C108" s="8" t="s">
        <v>2065</v>
      </c>
      <c r="D108" s="8" t="s">
        <v>2066</v>
      </c>
      <c r="E108" s="8" t="s">
        <v>2067</v>
      </c>
      <c r="F108" s="8" t="b">
        <v>1</v>
      </c>
      <c r="G108" s="11" t="s">
        <v>2067</v>
      </c>
      <c r="H108" s="12"/>
      <c r="I108" s="11" t="s">
        <v>1407</v>
      </c>
      <c r="J108" s="11" t="s">
        <v>1288</v>
      </c>
      <c r="K108" s="12"/>
      <c r="L108" s="11" t="s">
        <v>2068</v>
      </c>
      <c r="M108" s="11" t="s">
        <v>2069</v>
      </c>
      <c r="N108" s="11" t="s">
        <v>2070</v>
      </c>
      <c r="O108" s="11" t="s">
        <v>1533</v>
      </c>
      <c r="P108" s="13" t="s">
        <v>1318</v>
      </c>
    </row>
    <row r="109">
      <c r="A109" s="11" t="s">
        <v>2071</v>
      </c>
      <c r="B109" s="9">
        <v>0.6</v>
      </c>
      <c r="C109" s="8" t="s">
        <v>2072</v>
      </c>
      <c r="D109" s="8" t="s">
        <v>2073</v>
      </c>
      <c r="E109" s="8" t="s">
        <v>2074</v>
      </c>
      <c r="F109" s="8" t="b">
        <v>1</v>
      </c>
      <c r="G109" s="11" t="s">
        <v>2074</v>
      </c>
      <c r="H109" s="12"/>
      <c r="I109" s="12"/>
      <c r="J109" s="11" t="s">
        <v>1298</v>
      </c>
      <c r="K109" s="12"/>
      <c r="L109" s="11" t="s">
        <v>2075</v>
      </c>
      <c r="M109" s="11" t="s">
        <v>2076</v>
      </c>
      <c r="N109" s="11" t="s">
        <v>2077</v>
      </c>
      <c r="O109" s="11" t="s">
        <v>1302</v>
      </c>
      <c r="P109" s="13" t="s">
        <v>1318</v>
      </c>
    </row>
    <row r="110">
      <c r="A110" s="11" t="s">
        <v>2078</v>
      </c>
      <c r="B110" s="9">
        <v>0.6</v>
      </c>
      <c r="C110" s="8" t="s">
        <v>2079</v>
      </c>
      <c r="D110" s="8" t="s">
        <v>2080</v>
      </c>
      <c r="E110" s="8" t="s">
        <v>2081</v>
      </c>
      <c r="F110" s="8" t="b">
        <v>1</v>
      </c>
      <c r="G110" s="11" t="s">
        <v>2081</v>
      </c>
      <c r="H110" s="12"/>
      <c r="I110" s="11" t="s">
        <v>1407</v>
      </c>
      <c r="J110" s="11" t="s">
        <v>2082</v>
      </c>
      <c r="K110" s="12"/>
      <c r="L110" s="11" t="s">
        <v>2083</v>
      </c>
      <c r="M110" s="11" t="s">
        <v>2084</v>
      </c>
      <c r="N110" s="11" t="s">
        <v>2085</v>
      </c>
      <c r="O110" s="11" t="s">
        <v>1302</v>
      </c>
      <c r="P110" s="13" t="s">
        <v>1282</v>
      </c>
    </row>
    <row r="111">
      <c r="A111" s="11" t="s">
        <v>2086</v>
      </c>
      <c r="B111" s="9">
        <v>0.6</v>
      </c>
      <c r="C111" s="8" t="s">
        <v>2087</v>
      </c>
      <c r="D111" s="8" t="s">
        <v>2088</v>
      </c>
      <c r="E111" s="8" t="s">
        <v>2089</v>
      </c>
      <c r="F111" s="8" t="b">
        <v>1</v>
      </c>
      <c r="G111" s="11" t="s">
        <v>2089</v>
      </c>
      <c r="H111" s="12"/>
      <c r="I111" s="11" t="s">
        <v>1407</v>
      </c>
      <c r="J111" s="11" t="s">
        <v>1345</v>
      </c>
      <c r="K111" s="12"/>
      <c r="L111" s="11" t="s">
        <v>2090</v>
      </c>
      <c r="M111" s="11" t="s">
        <v>2091</v>
      </c>
      <c r="N111" s="11" t="s">
        <v>2092</v>
      </c>
      <c r="O111" s="11" t="s">
        <v>1326</v>
      </c>
      <c r="P111" s="13" t="s">
        <v>1282</v>
      </c>
    </row>
    <row r="112">
      <c r="A112" s="11" t="s">
        <v>2093</v>
      </c>
      <c r="B112" s="9">
        <v>0.6</v>
      </c>
      <c r="C112" s="8" t="s">
        <v>1295</v>
      </c>
      <c r="D112" s="8" t="s">
        <v>2094</v>
      </c>
      <c r="E112" s="8" t="s">
        <v>2095</v>
      </c>
      <c r="F112" s="8" t="b">
        <v>1</v>
      </c>
      <c r="G112" s="11" t="s">
        <v>2095</v>
      </c>
      <c r="H112" s="11" t="s">
        <v>2096</v>
      </c>
      <c r="I112" s="11" t="s">
        <v>1407</v>
      </c>
      <c r="J112" s="11" t="s">
        <v>1488</v>
      </c>
      <c r="K112" s="12"/>
      <c r="L112" s="11" t="s">
        <v>2097</v>
      </c>
      <c r="M112" s="11" t="s">
        <v>2098</v>
      </c>
      <c r="N112" s="11" t="s">
        <v>2099</v>
      </c>
      <c r="O112" s="11" t="s">
        <v>1326</v>
      </c>
      <c r="P112" s="13" t="s">
        <v>1282</v>
      </c>
    </row>
    <row r="113">
      <c r="A113" s="11" t="s">
        <v>2100</v>
      </c>
      <c r="B113" s="9">
        <v>0.6</v>
      </c>
      <c r="C113" s="8" t="s">
        <v>1295</v>
      </c>
      <c r="D113" s="8" t="s">
        <v>2101</v>
      </c>
      <c r="E113" s="8" t="s">
        <v>2102</v>
      </c>
      <c r="F113" s="8" t="b">
        <v>1</v>
      </c>
      <c r="G113" s="11" t="s">
        <v>2102</v>
      </c>
      <c r="H113" s="12"/>
      <c r="I113" s="11" t="s">
        <v>1344</v>
      </c>
      <c r="J113" s="11" t="s">
        <v>2103</v>
      </c>
      <c r="K113" s="12"/>
      <c r="L113" s="11" t="s">
        <v>2104</v>
      </c>
      <c r="M113" s="11" t="s">
        <v>2105</v>
      </c>
      <c r="N113" s="11" t="s">
        <v>2106</v>
      </c>
      <c r="O113" s="11" t="s">
        <v>2033</v>
      </c>
      <c r="P113" s="13" t="s">
        <v>1282</v>
      </c>
    </row>
    <row r="114">
      <c r="A114" s="11" t="s">
        <v>2107</v>
      </c>
      <c r="B114" s="9">
        <v>0.6</v>
      </c>
      <c r="C114" s="8" t="s">
        <v>2108</v>
      </c>
      <c r="D114" s="8" t="s">
        <v>2109</v>
      </c>
      <c r="E114" s="8" t="s">
        <v>2110</v>
      </c>
      <c r="F114" s="8" t="b">
        <v>1</v>
      </c>
      <c r="G114" s="11" t="s">
        <v>2110</v>
      </c>
      <c r="H114" s="12"/>
      <c r="I114" s="11" t="s">
        <v>1856</v>
      </c>
      <c r="J114" s="11" t="s">
        <v>1345</v>
      </c>
      <c r="K114" s="12"/>
      <c r="L114" s="11" t="s">
        <v>2111</v>
      </c>
      <c r="M114" s="12"/>
      <c r="N114" s="11" t="s">
        <v>2112</v>
      </c>
      <c r="O114" s="11" t="s">
        <v>1595</v>
      </c>
      <c r="P114" s="13" t="s">
        <v>1318</v>
      </c>
    </row>
    <row r="115">
      <c r="A115" s="11" t="s">
        <v>2113</v>
      </c>
      <c r="B115" s="9">
        <v>0.6</v>
      </c>
      <c r="C115" s="8" t="s">
        <v>2114</v>
      </c>
      <c r="D115" s="8" t="s">
        <v>2115</v>
      </c>
      <c r="E115" s="8" t="s">
        <v>2116</v>
      </c>
      <c r="F115" s="8" t="b">
        <v>1</v>
      </c>
      <c r="G115" s="11" t="s">
        <v>2116</v>
      </c>
      <c r="H115" s="12"/>
      <c r="I115" s="12"/>
      <c r="J115" s="11" t="s">
        <v>2103</v>
      </c>
      <c r="K115" s="11" t="s">
        <v>1277</v>
      </c>
      <c r="L115" s="11" t="s">
        <v>2117</v>
      </c>
      <c r="M115" s="11" t="s">
        <v>2118</v>
      </c>
      <c r="N115" s="11" t="s">
        <v>2119</v>
      </c>
      <c r="O115" s="11" t="s">
        <v>2120</v>
      </c>
      <c r="P115" s="13" t="s">
        <v>1282</v>
      </c>
    </row>
    <row r="116">
      <c r="A116" s="11" t="s">
        <v>2121</v>
      </c>
      <c r="B116" s="9">
        <v>0.6</v>
      </c>
      <c r="C116" s="8" t="s">
        <v>2122</v>
      </c>
      <c r="D116" s="8" t="s">
        <v>2123</v>
      </c>
      <c r="E116" s="8" t="s">
        <v>2124</v>
      </c>
      <c r="F116" s="8" t="b">
        <v>1</v>
      </c>
      <c r="G116" s="11" t="s">
        <v>2124</v>
      </c>
      <c r="H116" s="12"/>
      <c r="I116" s="12"/>
      <c r="J116" s="11" t="s">
        <v>1276</v>
      </c>
      <c r="K116" s="12"/>
      <c r="L116" s="11" t="s">
        <v>2125</v>
      </c>
      <c r="M116" s="11" t="s">
        <v>2126</v>
      </c>
      <c r="N116" s="11" t="s">
        <v>2127</v>
      </c>
      <c r="O116" s="11" t="s">
        <v>1474</v>
      </c>
      <c r="P116" s="13" t="s">
        <v>1282</v>
      </c>
    </row>
    <row r="117">
      <c r="A117" s="11" t="s">
        <v>2128</v>
      </c>
      <c r="B117" s="9">
        <v>0.6</v>
      </c>
      <c r="C117" s="8" t="s">
        <v>1295</v>
      </c>
      <c r="D117" s="8" t="s">
        <v>2129</v>
      </c>
      <c r="E117" s="8" t="s">
        <v>2130</v>
      </c>
      <c r="F117" s="8" t="b">
        <v>1</v>
      </c>
      <c r="G117" s="11" t="s">
        <v>2131</v>
      </c>
      <c r="H117" s="12"/>
      <c r="I117" s="12"/>
      <c r="J117" s="11" t="s">
        <v>1488</v>
      </c>
      <c r="K117" s="12"/>
      <c r="L117" s="11" t="s">
        <v>2132</v>
      </c>
      <c r="M117" s="11" t="s">
        <v>2133</v>
      </c>
      <c r="N117" s="11" t="s">
        <v>2134</v>
      </c>
      <c r="O117" s="11" t="s">
        <v>1326</v>
      </c>
      <c r="P117" s="13" t="s">
        <v>1282</v>
      </c>
    </row>
    <row r="118">
      <c r="A118" s="11" t="s">
        <v>2135</v>
      </c>
      <c r="B118" s="9">
        <v>0.6</v>
      </c>
      <c r="C118" s="8" t="s">
        <v>2136</v>
      </c>
      <c r="D118" s="8" t="s">
        <v>2137</v>
      </c>
      <c r="E118" s="8" t="s">
        <v>2138</v>
      </c>
      <c r="F118" s="8" t="b">
        <v>1</v>
      </c>
      <c r="G118" s="11" t="s">
        <v>2138</v>
      </c>
      <c r="H118" s="12"/>
      <c r="I118" s="12"/>
      <c r="J118" s="11" t="s">
        <v>1383</v>
      </c>
      <c r="K118" s="11" t="s">
        <v>1277</v>
      </c>
      <c r="L118" s="11" t="s">
        <v>2139</v>
      </c>
      <c r="M118" s="11" t="s">
        <v>2140</v>
      </c>
      <c r="N118" s="11" t="s">
        <v>2141</v>
      </c>
      <c r="O118" s="11" t="s">
        <v>2142</v>
      </c>
      <c r="P118" s="13" t="s">
        <v>1282</v>
      </c>
    </row>
    <row r="119">
      <c r="A119" s="11" t="s">
        <v>2143</v>
      </c>
      <c r="B119" s="9">
        <v>0.6</v>
      </c>
      <c r="C119" s="8" t="s">
        <v>1295</v>
      </c>
      <c r="D119" s="8" t="s">
        <v>2144</v>
      </c>
      <c r="E119" s="8" t="s">
        <v>2145</v>
      </c>
      <c r="F119" s="8" t="b">
        <v>1</v>
      </c>
      <c r="G119" s="11" t="s">
        <v>2145</v>
      </c>
      <c r="H119" s="12"/>
      <c r="I119" s="11" t="s">
        <v>1407</v>
      </c>
      <c r="J119" s="11" t="s">
        <v>1276</v>
      </c>
      <c r="K119" s="12"/>
      <c r="L119" s="11" t="s">
        <v>2146</v>
      </c>
      <c r="M119" s="11" t="s">
        <v>2147</v>
      </c>
      <c r="N119" s="11" t="s">
        <v>2148</v>
      </c>
      <c r="O119" s="11" t="s">
        <v>1349</v>
      </c>
      <c r="P119" s="13" t="s">
        <v>1318</v>
      </c>
    </row>
    <row r="120">
      <c r="A120" s="11" t="s">
        <v>2149</v>
      </c>
      <c r="B120" s="9">
        <v>0.6</v>
      </c>
      <c r="C120" s="8" t="s">
        <v>2150</v>
      </c>
      <c r="D120" s="8" t="s">
        <v>2151</v>
      </c>
      <c r="E120" s="8" t="s">
        <v>2152</v>
      </c>
      <c r="F120" s="8" t="b">
        <v>1</v>
      </c>
      <c r="G120" s="11" t="s">
        <v>2152</v>
      </c>
      <c r="H120" s="12"/>
      <c r="I120" s="12"/>
      <c r="J120" s="11" t="s">
        <v>1298</v>
      </c>
      <c r="K120" s="11" t="s">
        <v>1289</v>
      </c>
      <c r="L120" s="11" t="s">
        <v>2153</v>
      </c>
      <c r="M120" s="11" t="s">
        <v>2154</v>
      </c>
      <c r="N120" s="11" t="s">
        <v>2155</v>
      </c>
      <c r="O120" s="11" t="s">
        <v>1533</v>
      </c>
      <c r="P120" s="13" t="s">
        <v>1282</v>
      </c>
    </row>
    <row r="121">
      <c r="A121" s="11" t="s">
        <v>2156</v>
      </c>
      <c r="B121" s="9">
        <v>0.6</v>
      </c>
      <c r="C121" s="8" t="s">
        <v>2157</v>
      </c>
      <c r="D121" s="8" t="s">
        <v>2158</v>
      </c>
      <c r="E121" s="8" t="s">
        <v>2159</v>
      </c>
      <c r="F121" s="8" t="b">
        <v>1</v>
      </c>
      <c r="G121" s="11" t="s">
        <v>2159</v>
      </c>
      <c r="H121" s="12"/>
      <c r="I121" s="11" t="s">
        <v>1344</v>
      </c>
      <c r="J121" s="11" t="s">
        <v>1276</v>
      </c>
      <c r="K121" s="12"/>
      <c r="L121" s="11" t="s">
        <v>2160</v>
      </c>
      <c r="M121" s="11" t="s">
        <v>2161</v>
      </c>
      <c r="N121" s="11" t="s">
        <v>2162</v>
      </c>
      <c r="O121" s="11" t="s">
        <v>1556</v>
      </c>
      <c r="P121" s="13" t="s">
        <v>1282</v>
      </c>
    </row>
    <row r="122">
      <c r="A122" s="11" t="s">
        <v>2163</v>
      </c>
      <c r="B122" s="9">
        <v>0.6</v>
      </c>
      <c r="C122" s="8"/>
      <c r="D122" s="8" t="s">
        <v>2164</v>
      </c>
      <c r="E122" s="8" t="s">
        <v>2165</v>
      </c>
      <c r="F122" s="12" t="b">
        <v>0</v>
      </c>
      <c r="G122" s="11" t="s">
        <v>2165</v>
      </c>
      <c r="H122" s="12"/>
      <c r="I122" s="12"/>
      <c r="J122" s="11" t="s">
        <v>1276</v>
      </c>
      <c r="K122" s="12"/>
      <c r="L122" s="11" t="s">
        <v>2166</v>
      </c>
      <c r="M122" s="11" t="s">
        <v>2167</v>
      </c>
      <c r="N122" s="11" t="s">
        <v>2168</v>
      </c>
      <c r="O122" s="11" t="s">
        <v>1302</v>
      </c>
      <c r="P122" s="13" t="s">
        <v>1282</v>
      </c>
    </row>
    <row r="123">
      <c r="A123" s="11" t="s">
        <v>2169</v>
      </c>
      <c r="B123" s="9">
        <v>0.6</v>
      </c>
      <c r="C123" s="8"/>
      <c r="D123" s="8" t="s">
        <v>2170</v>
      </c>
      <c r="E123" s="8" t="s">
        <v>2171</v>
      </c>
      <c r="F123" s="12" t="b">
        <v>0</v>
      </c>
      <c r="G123" s="11" t="s">
        <v>2171</v>
      </c>
      <c r="H123" s="12"/>
      <c r="I123" s="11" t="s">
        <v>1344</v>
      </c>
      <c r="J123" s="11" t="s">
        <v>1276</v>
      </c>
      <c r="K123" s="12"/>
      <c r="L123" s="11" t="s">
        <v>2172</v>
      </c>
      <c r="M123" s="11" t="s">
        <v>2173</v>
      </c>
      <c r="N123" s="11" t="s">
        <v>2174</v>
      </c>
      <c r="O123" s="11" t="s">
        <v>1378</v>
      </c>
      <c r="P123" s="13" t="s">
        <v>1282</v>
      </c>
    </row>
    <row r="124">
      <c r="A124" s="11" t="s">
        <v>2175</v>
      </c>
      <c r="B124" s="9">
        <v>0.6</v>
      </c>
      <c r="C124" s="8"/>
      <c r="D124" s="8" t="s">
        <v>2176</v>
      </c>
      <c r="E124" s="11" t="s">
        <v>2177</v>
      </c>
      <c r="F124" s="12" t="b">
        <v>0</v>
      </c>
      <c r="G124" s="11" t="s">
        <v>2177</v>
      </c>
      <c r="H124" s="12"/>
      <c r="I124" s="11" t="s">
        <v>1344</v>
      </c>
      <c r="J124" s="11" t="s">
        <v>1276</v>
      </c>
      <c r="K124" s="12"/>
      <c r="L124" s="11" t="s">
        <v>2178</v>
      </c>
      <c r="M124" s="11" t="s">
        <v>2179</v>
      </c>
      <c r="N124" s="11" t="s">
        <v>2180</v>
      </c>
      <c r="O124" s="11" t="s">
        <v>1378</v>
      </c>
      <c r="P124" s="13" t="s">
        <v>1282</v>
      </c>
    </row>
    <row r="125">
      <c r="A125" s="11" t="s">
        <v>2181</v>
      </c>
      <c r="B125" s="9">
        <v>0.6</v>
      </c>
      <c r="C125" s="8"/>
      <c r="D125" s="8" t="s">
        <v>2182</v>
      </c>
      <c r="E125" s="8" t="s">
        <v>2183</v>
      </c>
      <c r="F125" s="12" t="b">
        <v>0</v>
      </c>
      <c r="G125" s="11" t="s">
        <v>2183</v>
      </c>
      <c r="H125" s="12"/>
      <c r="I125" s="11" t="s">
        <v>1407</v>
      </c>
      <c r="J125" s="11" t="s">
        <v>1607</v>
      </c>
      <c r="K125" s="12"/>
      <c r="L125" s="11" t="s">
        <v>2184</v>
      </c>
      <c r="M125" s="11" t="s">
        <v>2185</v>
      </c>
      <c r="N125" s="11" t="s">
        <v>2186</v>
      </c>
      <c r="O125" s="11" t="s">
        <v>1533</v>
      </c>
      <c r="P125" s="13" t="s">
        <v>1282</v>
      </c>
    </row>
    <row r="126">
      <c r="A126" s="11" t="s">
        <v>2187</v>
      </c>
      <c r="B126" s="9">
        <v>0.6</v>
      </c>
      <c r="C126" s="8"/>
      <c r="D126" s="8" t="s">
        <v>2188</v>
      </c>
      <c r="E126" s="8" t="s">
        <v>2189</v>
      </c>
      <c r="F126" s="12" t="b">
        <v>0</v>
      </c>
      <c r="G126" s="11" t="s">
        <v>2189</v>
      </c>
      <c r="H126" s="12"/>
      <c r="I126" s="11" t="s">
        <v>1344</v>
      </c>
      <c r="J126" s="11" t="s">
        <v>1607</v>
      </c>
      <c r="K126" s="12"/>
      <c r="L126" s="11" t="s">
        <v>2190</v>
      </c>
      <c r="M126" s="11" t="s">
        <v>2191</v>
      </c>
      <c r="N126" s="11" t="s">
        <v>2192</v>
      </c>
      <c r="O126" s="11" t="s">
        <v>1707</v>
      </c>
      <c r="P126" s="13" t="s">
        <v>1282</v>
      </c>
    </row>
    <row r="127">
      <c r="A127" s="11" t="s">
        <v>2193</v>
      </c>
      <c r="B127" s="9">
        <v>0.6</v>
      </c>
      <c r="C127" s="8"/>
      <c r="D127" s="8" t="s">
        <v>2194</v>
      </c>
      <c r="E127" s="8" t="s">
        <v>2195</v>
      </c>
      <c r="F127" s="12" t="b">
        <v>0</v>
      </c>
      <c r="G127" s="11" t="s">
        <v>2195</v>
      </c>
      <c r="H127" s="12"/>
      <c r="I127" s="12"/>
      <c r="J127" s="11" t="s">
        <v>2196</v>
      </c>
      <c r="K127" s="12"/>
      <c r="L127" s="11" t="s">
        <v>2197</v>
      </c>
      <c r="M127" s="11" t="s">
        <v>2198</v>
      </c>
      <c r="N127" s="11" t="s">
        <v>2199</v>
      </c>
      <c r="O127" s="11" t="s">
        <v>2200</v>
      </c>
      <c r="P127" s="13" t="s">
        <v>1282</v>
      </c>
    </row>
    <row r="128">
      <c r="A128" s="11" t="s">
        <v>2201</v>
      </c>
      <c r="B128" s="9">
        <v>0.6</v>
      </c>
      <c r="C128" s="8"/>
      <c r="D128" s="8" t="s">
        <v>2202</v>
      </c>
      <c r="E128" s="8" t="s">
        <v>2203</v>
      </c>
      <c r="F128" s="12" t="b">
        <v>0</v>
      </c>
      <c r="G128" s="11" t="s">
        <v>2203</v>
      </c>
      <c r="H128" s="12"/>
      <c r="I128" s="11" t="s">
        <v>1344</v>
      </c>
      <c r="J128" s="11" t="s">
        <v>2204</v>
      </c>
      <c r="K128" s="12"/>
      <c r="L128" s="11" t="s">
        <v>2205</v>
      </c>
      <c r="M128" s="11" t="s">
        <v>2206</v>
      </c>
      <c r="N128" s="11" t="s">
        <v>2207</v>
      </c>
      <c r="O128" s="11" t="s">
        <v>2033</v>
      </c>
      <c r="P128" s="13" t="s">
        <v>1318</v>
      </c>
    </row>
    <row r="129">
      <c r="A129" s="11" t="s">
        <v>2208</v>
      </c>
      <c r="B129" s="9">
        <v>0.6</v>
      </c>
      <c r="C129" s="8"/>
      <c r="D129" s="8" t="s">
        <v>2209</v>
      </c>
      <c r="E129" s="8" t="s">
        <v>2210</v>
      </c>
      <c r="F129" s="12" t="b">
        <v>0</v>
      </c>
      <c r="G129" s="11" t="s">
        <v>2210</v>
      </c>
      <c r="H129" s="12"/>
      <c r="I129" s="11" t="s">
        <v>1733</v>
      </c>
      <c r="J129" s="12"/>
      <c r="K129" s="12"/>
      <c r="L129" s="11" t="s">
        <v>2211</v>
      </c>
      <c r="M129" s="11" t="s">
        <v>2212</v>
      </c>
      <c r="N129" s="11" t="s">
        <v>2213</v>
      </c>
      <c r="O129" s="11" t="s">
        <v>1533</v>
      </c>
      <c r="P129" s="13" t="s">
        <v>1282</v>
      </c>
    </row>
    <row r="130">
      <c r="A130" s="11" t="s">
        <v>2214</v>
      </c>
      <c r="B130" s="9">
        <v>0.6</v>
      </c>
      <c r="C130" s="8"/>
      <c r="D130" s="8" t="s">
        <v>2215</v>
      </c>
      <c r="E130" s="8" t="s">
        <v>2216</v>
      </c>
      <c r="F130" s="12" t="b">
        <v>0</v>
      </c>
      <c r="G130" s="11" t="s">
        <v>2216</v>
      </c>
      <c r="H130" s="12"/>
      <c r="I130" s="12"/>
      <c r="J130" s="11" t="s">
        <v>1415</v>
      </c>
      <c r="K130" s="12"/>
      <c r="L130" s="11" t="s">
        <v>2217</v>
      </c>
      <c r="M130" s="11" t="s">
        <v>2218</v>
      </c>
      <c r="N130" s="11" t="s">
        <v>2219</v>
      </c>
      <c r="O130" s="11" t="s">
        <v>2220</v>
      </c>
      <c r="P130" s="13" t="s">
        <v>1282</v>
      </c>
    </row>
    <row r="131">
      <c r="A131" s="11" t="s">
        <v>2221</v>
      </c>
      <c r="B131" s="9">
        <v>0.6</v>
      </c>
      <c r="C131" s="8"/>
      <c r="D131" s="8" t="s">
        <v>2222</v>
      </c>
      <c r="E131" s="8" t="s">
        <v>2223</v>
      </c>
      <c r="F131" s="12" t="b">
        <v>0</v>
      </c>
      <c r="G131" s="11" t="s">
        <v>2223</v>
      </c>
      <c r="H131" s="12"/>
      <c r="I131" s="11" t="s">
        <v>1344</v>
      </c>
      <c r="J131" s="11" t="s">
        <v>1276</v>
      </c>
      <c r="K131" s="12"/>
      <c r="L131" s="11" t="s">
        <v>2224</v>
      </c>
      <c r="M131" s="11" t="s">
        <v>2225</v>
      </c>
      <c r="N131" s="11" t="s">
        <v>2226</v>
      </c>
      <c r="O131" s="11" t="s">
        <v>1820</v>
      </c>
      <c r="P131" s="13" t="s">
        <v>1282</v>
      </c>
    </row>
    <row r="132">
      <c r="A132" s="11" t="s">
        <v>2227</v>
      </c>
      <c r="B132" s="9">
        <v>0.6</v>
      </c>
      <c r="C132" s="11"/>
      <c r="D132" s="8" t="s">
        <v>2228</v>
      </c>
      <c r="E132" s="8" t="s">
        <v>2229</v>
      </c>
      <c r="F132" s="12" t="b">
        <v>0</v>
      </c>
      <c r="G132" s="11" t="s">
        <v>2229</v>
      </c>
      <c r="H132" s="12"/>
      <c r="I132" s="12"/>
      <c r="J132" s="11" t="s">
        <v>1276</v>
      </c>
      <c r="K132" s="11" t="s">
        <v>1313</v>
      </c>
      <c r="L132" s="11" t="s">
        <v>2230</v>
      </c>
      <c r="M132" s="11" t="s">
        <v>2231</v>
      </c>
      <c r="N132" s="11" t="s">
        <v>2232</v>
      </c>
      <c r="O132" s="11" t="s">
        <v>1326</v>
      </c>
      <c r="P132" s="13" t="s">
        <v>1282</v>
      </c>
    </row>
    <row r="133">
      <c r="A133" s="11" t="s">
        <v>2233</v>
      </c>
      <c r="B133" s="9">
        <v>0.6</v>
      </c>
      <c r="C133" s="8"/>
      <c r="D133" s="8" t="s">
        <v>2234</v>
      </c>
      <c r="E133" s="8" t="s">
        <v>2235</v>
      </c>
      <c r="F133" s="8" t="b">
        <v>0</v>
      </c>
      <c r="G133" s="11" t="s">
        <v>2236</v>
      </c>
      <c r="H133" s="11" t="s">
        <v>2237</v>
      </c>
      <c r="I133" s="11" t="s">
        <v>1407</v>
      </c>
      <c r="J133" s="11" t="s">
        <v>1488</v>
      </c>
      <c r="K133" s="12"/>
      <c r="L133" s="11" t="s">
        <v>2238</v>
      </c>
      <c r="M133" s="11" t="s">
        <v>2239</v>
      </c>
      <c r="N133" s="11" t="s">
        <v>2240</v>
      </c>
      <c r="O133" s="11" t="s">
        <v>1533</v>
      </c>
      <c r="P133" s="13" t="s">
        <v>1318</v>
      </c>
    </row>
    <row r="134">
      <c r="A134" s="11" t="s">
        <v>2241</v>
      </c>
      <c r="B134" s="9">
        <v>0.6</v>
      </c>
      <c r="C134" s="8"/>
      <c r="D134" s="8" t="s">
        <v>2242</v>
      </c>
      <c r="E134" s="8" t="s">
        <v>2243</v>
      </c>
      <c r="F134" s="8" t="b">
        <v>0</v>
      </c>
      <c r="G134" s="11" t="s">
        <v>2244</v>
      </c>
      <c r="H134" s="12"/>
      <c r="I134" s="11" t="s">
        <v>1407</v>
      </c>
      <c r="J134" s="11" t="s">
        <v>1288</v>
      </c>
      <c r="K134" s="12"/>
      <c r="L134" s="11" t="s">
        <v>2245</v>
      </c>
      <c r="M134" s="11" t="s">
        <v>2246</v>
      </c>
      <c r="N134" s="11" t="s">
        <v>2247</v>
      </c>
      <c r="O134" s="11" t="s">
        <v>1326</v>
      </c>
      <c r="P134" s="13" t="s">
        <v>1282</v>
      </c>
    </row>
    <row r="135">
      <c r="A135" s="11" t="s">
        <v>2248</v>
      </c>
      <c r="B135" s="9">
        <v>0.6</v>
      </c>
      <c r="C135" s="8"/>
      <c r="D135" s="8" t="s">
        <v>2249</v>
      </c>
      <c r="E135" s="8" t="s">
        <v>2250</v>
      </c>
      <c r="F135" s="12" t="b">
        <v>0</v>
      </c>
      <c r="G135" s="11" t="s">
        <v>2250</v>
      </c>
      <c r="H135" s="11" t="s">
        <v>2251</v>
      </c>
      <c r="I135" s="11" t="s">
        <v>2252</v>
      </c>
      <c r="J135" s="11" t="s">
        <v>1622</v>
      </c>
      <c r="K135" s="11" t="s">
        <v>1289</v>
      </c>
      <c r="L135" s="11" t="s">
        <v>2253</v>
      </c>
      <c r="M135" s="11" t="s">
        <v>2254</v>
      </c>
      <c r="N135" s="11" t="s">
        <v>2255</v>
      </c>
      <c r="O135" s="11" t="s">
        <v>1533</v>
      </c>
      <c r="P135" s="13" t="s">
        <v>1318</v>
      </c>
    </row>
    <row r="136">
      <c r="A136" s="11" t="s">
        <v>2256</v>
      </c>
      <c r="B136" s="9">
        <v>0.6</v>
      </c>
      <c r="C136" s="8"/>
      <c r="D136" s="8" t="s">
        <v>2257</v>
      </c>
      <c r="E136" s="8" t="s">
        <v>2258</v>
      </c>
      <c r="F136" s="12" t="b">
        <v>0</v>
      </c>
      <c r="G136" s="11" t="s">
        <v>2258</v>
      </c>
      <c r="H136" s="12"/>
      <c r="I136" s="11" t="s">
        <v>1344</v>
      </c>
      <c r="J136" s="11" t="s">
        <v>1345</v>
      </c>
      <c r="K136" s="12"/>
      <c r="L136" s="11" t="s">
        <v>2259</v>
      </c>
      <c r="M136" s="11" t="s">
        <v>2260</v>
      </c>
      <c r="N136" s="11" t="s">
        <v>2261</v>
      </c>
      <c r="O136" s="11" t="s">
        <v>1820</v>
      </c>
      <c r="P136" s="13" t="s">
        <v>1318</v>
      </c>
    </row>
    <row r="137">
      <c r="A137" s="11" t="s">
        <v>2262</v>
      </c>
      <c r="B137" s="9">
        <v>0.6</v>
      </c>
      <c r="C137" s="8"/>
      <c r="D137" s="8" t="s">
        <v>2263</v>
      </c>
      <c r="E137" s="8" t="s">
        <v>2264</v>
      </c>
      <c r="F137" s="12" t="b">
        <v>0</v>
      </c>
      <c r="G137" s="14" t="s">
        <v>2262</v>
      </c>
      <c r="H137" s="12"/>
      <c r="I137" s="11" t="s">
        <v>1344</v>
      </c>
      <c r="J137" s="11" t="s">
        <v>1298</v>
      </c>
      <c r="K137" s="11" t="s">
        <v>1313</v>
      </c>
      <c r="L137" s="11" t="s">
        <v>2265</v>
      </c>
      <c r="M137" s="11" t="s">
        <v>2266</v>
      </c>
      <c r="N137" s="11" t="s">
        <v>2267</v>
      </c>
      <c r="O137" s="11" t="s">
        <v>2268</v>
      </c>
      <c r="P137" s="13" t="s">
        <v>1318</v>
      </c>
    </row>
    <row r="138">
      <c r="A138" s="11" t="s">
        <v>2269</v>
      </c>
      <c r="B138" s="9">
        <v>0.6</v>
      </c>
      <c r="C138" s="8"/>
      <c r="D138" s="8" t="s">
        <v>2270</v>
      </c>
      <c r="E138" s="8" t="s">
        <v>2271</v>
      </c>
      <c r="F138" s="12" t="b">
        <v>0</v>
      </c>
      <c r="G138" s="11" t="s">
        <v>2272</v>
      </c>
      <c r="H138" s="12"/>
      <c r="I138" s="12"/>
      <c r="J138" s="11" t="s">
        <v>1345</v>
      </c>
      <c r="K138" s="11" t="s">
        <v>1277</v>
      </c>
      <c r="L138" s="11" t="s">
        <v>2273</v>
      </c>
      <c r="M138" s="11" t="s">
        <v>2274</v>
      </c>
      <c r="N138" s="11" t="s">
        <v>2275</v>
      </c>
      <c r="O138" s="11" t="s">
        <v>1326</v>
      </c>
      <c r="P138" s="13" t="s">
        <v>1318</v>
      </c>
    </row>
    <row r="139">
      <c r="A139" s="11" t="s">
        <v>2276</v>
      </c>
      <c r="B139" s="9">
        <v>0.6</v>
      </c>
      <c r="C139" s="8"/>
      <c r="D139" s="8" t="s">
        <v>2277</v>
      </c>
      <c r="E139" s="8" t="s">
        <v>2278</v>
      </c>
      <c r="F139" s="12" t="b">
        <v>0</v>
      </c>
      <c r="G139" s="11" t="s">
        <v>2279</v>
      </c>
      <c r="H139" s="11" t="s">
        <v>2278</v>
      </c>
      <c r="I139" s="11" t="s">
        <v>1407</v>
      </c>
      <c r="J139" s="11" t="s">
        <v>1288</v>
      </c>
      <c r="K139" s="12"/>
      <c r="L139" s="11" t="s">
        <v>2280</v>
      </c>
      <c r="M139" s="11" t="s">
        <v>2281</v>
      </c>
      <c r="N139" s="11" t="s">
        <v>2282</v>
      </c>
      <c r="O139" s="11" t="s">
        <v>1293</v>
      </c>
      <c r="P139" s="13" t="s">
        <v>1282</v>
      </c>
    </row>
    <row r="140">
      <c r="A140" s="11" t="s">
        <v>2283</v>
      </c>
      <c r="B140" s="9">
        <v>0.6</v>
      </c>
      <c r="C140" s="8"/>
      <c r="D140" s="8" t="s">
        <v>2284</v>
      </c>
      <c r="E140" s="8" t="s">
        <v>2285</v>
      </c>
      <c r="F140" s="12" t="b">
        <v>0</v>
      </c>
      <c r="G140" s="11" t="s">
        <v>2285</v>
      </c>
      <c r="H140" s="12"/>
      <c r="I140" s="12"/>
      <c r="J140" s="12"/>
      <c r="K140" s="12"/>
      <c r="L140" s="11" t="s">
        <v>2286</v>
      </c>
      <c r="M140" s="11" t="s">
        <v>2287</v>
      </c>
      <c r="N140" s="11" t="s">
        <v>2288</v>
      </c>
      <c r="O140" s="11" t="s">
        <v>1326</v>
      </c>
      <c r="P140" s="13" t="s">
        <v>1282</v>
      </c>
    </row>
    <row r="141">
      <c r="A141" s="11" t="s">
        <v>2289</v>
      </c>
      <c r="B141" s="9">
        <v>0.6</v>
      </c>
      <c r="C141" s="8"/>
      <c r="D141" s="8" t="s">
        <v>2290</v>
      </c>
      <c r="E141" s="8" t="s">
        <v>2291</v>
      </c>
      <c r="F141" s="12" t="b">
        <v>0</v>
      </c>
      <c r="G141" s="11" t="s">
        <v>2292</v>
      </c>
      <c r="H141" s="12"/>
      <c r="I141" s="12"/>
      <c r="J141" s="11" t="s">
        <v>1298</v>
      </c>
      <c r="K141" s="11" t="s">
        <v>1313</v>
      </c>
      <c r="L141" s="11" t="s">
        <v>2293</v>
      </c>
      <c r="M141" s="11" t="s">
        <v>2294</v>
      </c>
      <c r="N141" s="11" t="s">
        <v>2295</v>
      </c>
      <c r="O141" s="11" t="s">
        <v>1293</v>
      </c>
      <c r="P141" s="13" t="s">
        <v>1318</v>
      </c>
    </row>
    <row r="142">
      <c r="A142" s="11" t="s">
        <v>2296</v>
      </c>
      <c r="B142" s="9">
        <v>0.6</v>
      </c>
      <c r="C142" s="8"/>
      <c r="D142" s="8" t="s">
        <v>2297</v>
      </c>
      <c r="E142" s="8" t="s">
        <v>2298</v>
      </c>
      <c r="F142" s="8" t="b">
        <v>0</v>
      </c>
      <c r="G142" s="11" t="s">
        <v>2298</v>
      </c>
      <c r="H142" s="12"/>
      <c r="I142" s="11" t="s">
        <v>1344</v>
      </c>
      <c r="J142" s="11" t="s">
        <v>1345</v>
      </c>
      <c r="K142" s="12"/>
      <c r="L142" s="11" t="s">
        <v>2299</v>
      </c>
      <c r="M142" s="11" t="s">
        <v>2300</v>
      </c>
      <c r="N142" s="11" t="s">
        <v>2301</v>
      </c>
      <c r="O142" s="11" t="s">
        <v>2302</v>
      </c>
      <c r="P142" s="13" t="s">
        <v>1318</v>
      </c>
    </row>
    <row r="143">
      <c r="A143" s="11" t="s">
        <v>2303</v>
      </c>
      <c r="B143" s="9">
        <v>0.6</v>
      </c>
      <c r="C143" s="8"/>
      <c r="D143" s="8" t="s">
        <v>2304</v>
      </c>
      <c r="E143" s="8" t="s">
        <v>2305</v>
      </c>
      <c r="F143" s="8" t="b">
        <v>0</v>
      </c>
      <c r="G143" s="11" t="s">
        <v>2305</v>
      </c>
      <c r="H143" s="12"/>
      <c r="I143" s="11" t="s">
        <v>2252</v>
      </c>
      <c r="J143" s="11" t="s">
        <v>1561</v>
      </c>
      <c r="K143" s="12"/>
      <c r="L143" s="11" t="s">
        <v>2306</v>
      </c>
      <c r="M143" s="11" t="s">
        <v>2307</v>
      </c>
      <c r="N143" s="11" t="s">
        <v>2308</v>
      </c>
      <c r="O143" s="11" t="s">
        <v>2033</v>
      </c>
      <c r="P143" s="13" t="s">
        <v>1282</v>
      </c>
    </row>
    <row r="144">
      <c r="A144" s="11" t="s">
        <v>2309</v>
      </c>
      <c r="B144" s="9">
        <v>0.6</v>
      </c>
      <c r="C144" s="8"/>
      <c r="D144" s="8" t="s">
        <v>2310</v>
      </c>
      <c r="E144" s="8" t="s">
        <v>2311</v>
      </c>
      <c r="F144" s="12" t="b">
        <v>0</v>
      </c>
      <c r="G144" s="11" t="s">
        <v>2312</v>
      </c>
      <c r="H144" s="12"/>
      <c r="I144" s="11" t="s">
        <v>1407</v>
      </c>
      <c r="J144" s="11" t="s">
        <v>1276</v>
      </c>
      <c r="K144" s="12"/>
      <c r="L144" s="11" t="s">
        <v>2313</v>
      </c>
      <c r="M144" s="11" t="s">
        <v>2314</v>
      </c>
      <c r="N144" s="11" t="s">
        <v>2315</v>
      </c>
      <c r="O144" s="11" t="s">
        <v>1302</v>
      </c>
      <c r="P144" s="13" t="s">
        <v>1318</v>
      </c>
    </row>
    <row r="145">
      <c r="A145" s="11" t="s">
        <v>2316</v>
      </c>
      <c r="B145" s="9">
        <v>0.6</v>
      </c>
      <c r="C145" s="8"/>
      <c r="D145" s="8" t="s">
        <v>2317</v>
      </c>
      <c r="E145" s="8" t="s">
        <v>2318</v>
      </c>
      <c r="F145" s="12" t="b">
        <v>0</v>
      </c>
      <c r="G145" s="11" t="s">
        <v>2318</v>
      </c>
      <c r="H145" s="12"/>
      <c r="I145" s="11" t="s">
        <v>1344</v>
      </c>
      <c r="J145" s="11" t="s">
        <v>2319</v>
      </c>
      <c r="K145" s="12"/>
      <c r="L145" s="11" t="s">
        <v>2320</v>
      </c>
      <c r="M145" s="11" t="s">
        <v>2321</v>
      </c>
      <c r="N145" s="11" t="s">
        <v>2322</v>
      </c>
      <c r="O145" s="11" t="s">
        <v>1515</v>
      </c>
      <c r="P145" s="13" t="s">
        <v>1282</v>
      </c>
    </row>
    <row r="146">
      <c r="A146" s="11" t="s">
        <v>2323</v>
      </c>
      <c r="B146" s="9">
        <v>0.6</v>
      </c>
      <c r="C146" s="8"/>
      <c r="D146" s="8" t="s">
        <v>2324</v>
      </c>
      <c r="E146" s="8" t="s">
        <v>2325</v>
      </c>
      <c r="F146" s="8" t="b">
        <v>0</v>
      </c>
      <c r="G146" s="11" t="s">
        <v>2325</v>
      </c>
      <c r="H146" s="12"/>
      <c r="I146" s="11" t="s">
        <v>1407</v>
      </c>
      <c r="J146" s="11" t="s">
        <v>1298</v>
      </c>
      <c r="K146" s="12"/>
      <c r="L146" s="11" t="s">
        <v>2326</v>
      </c>
      <c r="M146" s="11" t="s">
        <v>2327</v>
      </c>
      <c r="N146" s="11" t="s">
        <v>2328</v>
      </c>
      <c r="O146" s="11" t="s">
        <v>1533</v>
      </c>
      <c r="P146" s="13" t="s">
        <v>1318</v>
      </c>
    </row>
    <row r="147">
      <c r="A147" s="11" t="s">
        <v>2329</v>
      </c>
      <c r="B147" s="9">
        <v>0.6</v>
      </c>
      <c r="C147" s="8"/>
      <c r="D147" s="8" t="s">
        <v>2330</v>
      </c>
      <c r="E147" s="8" t="s">
        <v>2331</v>
      </c>
      <c r="F147" s="8" t="b">
        <v>0</v>
      </c>
      <c r="G147" s="11" t="s">
        <v>2331</v>
      </c>
      <c r="H147" s="12"/>
      <c r="I147" s="12"/>
      <c r="J147" s="11" t="s">
        <v>1276</v>
      </c>
      <c r="K147" s="12"/>
      <c r="L147" s="11" t="s">
        <v>2332</v>
      </c>
      <c r="M147" s="11" t="s">
        <v>2333</v>
      </c>
      <c r="N147" s="11" t="s">
        <v>2334</v>
      </c>
      <c r="O147" s="11" t="s">
        <v>1573</v>
      </c>
      <c r="P147" s="13" t="s">
        <v>1282</v>
      </c>
    </row>
    <row r="148">
      <c r="A148" s="11" t="s">
        <v>2335</v>
      </c>
      <c r="B148" s="9">
        <v>0.6</v>
      </c>
      <c r="C148" s="8"/>
      <c r="D148" s="8" t="s">
        <v>2336</v>
      </c>
      <c r="E148" s="8" t="s">
        <v>2337</v>
      </c>
      <c r="F148" s="8" t="b">
        <v>0</v>
      </c>
      <c r="G148" s="11" t="s">
        <v>2337</v>
      </c>
      <c r="H148" s="12"/>
      <c r="I148" s="11" t="s">
        <v>1407</v>
      </c>
      <c r="J148" s="11" t="s">
        <v>1345</v>
      </c>
      <c r="K148" s="12"/>
      <c r="L148" s="11" t="s">
        <v>2338</v>
      </c>
      <c r="M148" s="11" t="s">
        <v>2339</v>
      </c>
      <c r="N148" s="11" t="s">
        <v>2340</v>
      </c>
      <c r="O148" s="11" t="s">
        <v>1378</v>
      </c>
      <c r="P148" s="13" t="s">
        <v>1318</v>
      </c>
    </row>
    <row r="149">
      <c r="A149" s="11" t="s">
        <v>2341</v>
      </c>
      <c r="B149" s="9">
        <v>0.6</v>
      </c>
      <c r="C149" s="8"/>
      <c r="D149" s="8" t="s">
        <v>2342</v>
      </c>
      <c r="E149" s="8" t="s">
        <v>2343</v>
      </c>
      <c r="F149" s="8" t="b">
        <v>0</v>
      </c>
      <c r="G149" s="11" t="s">
        <v>2343</v>
      </c>
      <c r="H149" s="12"/>
      <c r="I149" s="11" t="s">
        <v>2344</v>
      </c>
      <c r="J149" s="11" t="s">
        <v>1345</v>
      </c>
      <c r="K149" s="12"/>
      <c r="L149" s="11" t="s">
        <v>2345</v>
      </c>
      <c r="M149" s="11" t="s">
        <v>2346</v>
      </c>
      <c r="N149" s="11" t="s">
        <v>2347</v>
      </c>
      <c r="O149" s="11" t="s">
        <v>1378</v>
      </c>
      <c r="P149" s="13" t="s">
        <v>1318</v>
      </c>
    </row>
    <row r="150">
      <c r="A150" s="11" t="s">
        <v>2348</v>
      </c>
      <c r="B150" s="9">
        <v>0.6</v>
      </c>
      <c r="C150" s="8"/>
      <c r="D150" s="8" t="s">
        <v>2349</v>
      </c>
      <c r="E150" s="8" t="s">
        <v>2350</v>
      </c>
      <c r="F150" s="8" t="b">
        <v>0</v>
      </c>
      <c r="G150" s="11" t="s">
        <v>2350</v>
      </c>
      <c r="H150" s="12"/>
      <c r="I150" s="12"/>
      <c r="J150" s="11" t="s">
        <v>1298</v>
      </c>
      <c r="K150" s="12"/>
      <c r="L150" s="11" t="s">
        <v>2351</v>
      </c>
      <c r="M150" s="11" t="s">
        <v>2352</v>
      </c>
      <c r="N150" s="11" t="s">
        <v>2353</v>
      </c>
      <c r="O150" s="11" t="s">
        <v>1573</v>
      </c>
      <c r="P150" s="13" t="s">
        <v>1318</v>
      </c>
    </row>
    <row r="151">
      <c r="A151" s="11" t="s">
        <v>2354</v>
      </c>
      <c r="B151" s="9">
        <v>0.6</v>
      </c>
      <c r="C151" s="8"/>
      <c r="D151" s="8" t="s">
        <v>2355</v>
      </c>
      <c r="E151" s="8" t="s">
        <v>2356</v>
      </c>
      <c r="F151" s="8" t="b">
        <v>0</v>
      </c>
      <c r="G151" s="11" t="s">
        <v>2356</v>
      </c>
      <c r="H151" s="11" t="s">
        <v>2357</v>
      </c>
      <c r="I151" s="11" t="s">
        <v>1407</v>
      </c>
      <c r="J151" s="11" t="s">
        <v>1345</v>
      </c>
      <c r="K151" s="11" t="s">
        <v>1313</v>
      </c>
      <c r="L151" s="11" t="s">
        <v>2358</v>
      </c>
      <c r="M151" s="11" t="s">
        <v>2359</v>
      </c>
      <c r="N151" s="11" t="s">
        <v>2360</v>
      </c>
      <c r="O151" s="11" t="s">
        <v>2033</v>
      </c>
      <c r="P151" s="13" t="s">
        <v>1318</v>
      </c>
    </row>
    <row r="152">
      <c r="A152" s="11" t="s">
        <v>2361</v>
      </c>
      <c r="B152" s="9">
        <v>0.6</v>
      </c>
      <c r="C152" s="8"/>
      <c r="D152" s="8" t="s">
        <v>2362</v>
      </c>
      <c r="E152" s="8" t="s">
        <v>2363</v>
      </c>
      <c r="F152" s="12" t="b">
        <v>0</v>
      </c>
      <c r="G152" s="11" t="s">
        <v>2363</v>
      </c>
      <c r="H152" s="12"/>
      <c r="I152" s="11" t="s">
        <v>1407</v>
      </c>
      <c r="J152" s="12"/>
      <c r="K152" s="12"/>
      <c r="L152" s="11" t="s">
        <v>2364</v>
      </c>
      <c r="M152" s="11" t="s">
        <v>2365</v>
      </c>
      <c r="N152" s="11" t="s">
        <v>2366</v>
      </c>
      <c r="O152" s="11" t="s">
        <v>1326</v>
      </c>
      <c r="P152" s="13" t="s">
        <v>1318</v>
      </c>
    </row>
    <row r="153">
      <c r="A153" s="11" t="s">
        <v>2367</v>
      </c>
      <c r="B153" s="9">
        <v>0.6</v>
      </c>
      <c r="C153" s="8"/>
      <c r="D153" s="8" t="s">
        <v>2368</v>
      </c>
      <c r="E153" s="8" t="s">
        <v>2369</v>
      </c>
      <c r="F153" s="12" t="b">
        <v>0</v>
      </c>
      <c r="G153" s="11" t="s">
        <v>2369</v>
      </c>
      <c r="H153" s="12"/>
      <c r="I153" s="11" t="s">
        <v>1344</v>
      </c>
      <c r="J153" s="11" t="s">
        <v>1415</v>
      </c>
      <c r="K153" s="12"/>
      <c r="L153" s="11" t="s">
        <v>2370</v>
      </c>
      <c r="M153" s="11" t="s">
        <v>2371</v>
      </c>
      <c r="N153" s="11" t="s">
        <v>2372</v>
      </c>
      <c r="O153" s="11" t="s">
        <v>2373</v>
      </c>
      <c r="P153" s="13" t="s">
        <v>1318</v>
      </c>
    </row>
    <row r="154">
      <c r="A154" s="11" t="s">
        <v>2374</v>
      </c>
      <c r="B154" s="9">
        <v>0.6</v>
      </c>
      <c r="C154" s="8"/>
      <c r="D154" s="8" t="s">
        <v>2375</v>
      </c>
      <c r="E154" s="8" t="s">
        <v>2376</v>
      </c>
      <c r="F154" s="12" t="b">
        <v>0</v>
      </c>
      <c r="G154" s="11" t="s">
        <v>2376</v>
      </c>
      <c r="H154" s="12"/>
      <c r="I154" s="12"/>
      <c r="J154" s="11" t="s">
        <v>2377</v>
      </c>
      <c r="K154" s="11" t="s">
        <v>1289</v>
      </c>
      <c r="L154" s="11" t="s">
        <v>2378</v>
      </c>
      <c r="M154" s="11" t="s">
        <v>2379</v>
      </c>
      <c r="N154" s="11" t="s">
        <v>2380</v>
      </c>
      <c r="O154" s="11" t="s">
        <v>1281</v>
      </c>
      <c r="P154" s="13" t="s">
        <v>1318</v>
      </c>
    </row>
    <row r="155">
      <c r="A155" s="11" t="s">
        <v>2381</v>
      </c>
      <c r="B155" s="9">
        <v>0.6</v>
      </c>
      <c r="C155" s="8"/>
      <c r="D155" s="8" t="s">
        <v>2382</v>
      </c>
      <c r="E155" s="8" t="s">
        <v>2383</v>
      </c>
      <c r="F155" s="12" t="b">
        <v>0</v>
      </c>
      <c r="G155" s="11" t="s">
        <v>2383</v>
      </c>
      <c r="H155" s="12"/>
      <c r="I155" s="12"/>
      <c r="J155" s="11" t="s">
        <v>1298</v>
      </c>
      <c r="K155" s="12"/>
      <c r="L155" s="11" t="s">
        <v>2384</v>
      </c>
      <c r="M155" s="11" t="s">
        <v>2385</v>
      </c>
      <c r="N155" s="11" t="s">
        <v>2386</v>
      </c>
      <c r="O155" s="11" t="s">
        <v>1326</v>
      </c>
      <c r="P155" s="13" t="s">
        <v>1318</v>
      </c>
    </row>
    <row r="156">
      <c r="A156" s="11" t="s">
        <v>2387</v>
      </c>
      <c r="B156" s="9">
        <v>0.6</v>
      </c>
      <c r="C156" s="8"/>
      <c r="D156" s="8" t="s">
        <v>2388</v>
      </c>
      <c r="E156" s="8" t="s">
        <v>2389</v>
      </c>
      <c r="F156" s="12" t="b">
        <v>0</v>
      </c>
      <c r="G156" s="11" t="s">
        <v>2389</v>
      </c>
      <c r="H156" s="12"/>
      <c r="I156" s="11" t="s">
        <v>1344</v>
      </c>
      <c r="J156" s="11" t="s">
        <v>2082</v>
      </c>
      <c r="K156" s="11" t="s">
        <v>1313</v>
      </c>
      <c r="L156" s="11" t="s">
        <v>2390</v>
      </c>
      <c r="M156" s="11" t="s">
        <v>2391</v>
      </c>
      <c r="N156" s="11" t="s">
        <v>2392</v>
      </c>
      <c r="O156" s="11" t="s">
        <v>1378</v>
      </c>
      <c r="P156" s="13" t="s">
        <v>1318</v>
      </c>
    </row>
    <row r="157">
      <c r="A157" s="11" t="s">
        <v>2393</v>
      </c>
      <c r="B157" s="9">
        <v>0.6</v>
      </c>
      <c r="C157" s="8"/>
      <c r="D157" s="8" t="s">
        <v>2394</v>
      </c>
      <c r="E157" s="8" t="s">
        <v>2395</v>
      </c>
      <c r="F157" s="12" t="b">
        <v>0</v>
      </c>
      <c r="G157" s="11" t="s">
        <v>2395</v>
      </c>
      <c r="H157" s="12"/>
      <c r="I157" s="12"/>
      <c r="J157" s="12"/>
      <c r="K157" s="12"/>
      <c r="L157" s="11" t="s">
        <v>2396</v>
      </c>
      <c r="M157" s="11" t="s">
        <v>2397</v>
      </c>
      <c r="N157" s="11" t="s">
        <v>2398</v>
      </c>
      <c r="O157" s="11" t="s">
        <v>1293</v>
      </c>
      <c r="P157" s="13" t="s">
        <v>1282</v>
      </c>
    </row>
    <row r="158">
      <c r="A158" s="11" t="s">
        <v>2399</v>
      </c>
      <c r="B158" s="9">
        <v>0.6</v>
      </c>
      <c r="C158" s="8"/>
      <c r="D158" s="8" t="s">
        <v>2400</v>
      </c>
      <c r="E158" s="8" t="s">
        <v>2401</v>
      </c>
      <c r="F158" s="12" t="b">
        <v>0</v>
      </c>
      <c r="G158" s="11" t="s">
        <v>2401</v>
      </c>
      <c r="H158" s="12"/>
      <c r="I158" s="11" t="s">
        <v>1407</v>
      </c>
      <c r="J158" s="11" t="s">
        <v>2402</v>
      </c>
      <c r="K158" s="12"/>
      <c r="L158" s="11" t="s">
        <v>2403</v>
      </c>
      <c r="M158" s="11" t="s">
        <v>2404</v>
      </c>
      <c r="N158" s="11" t="s">
        <v>2405</v>
      </c>
      <c r="O158" s="11" t="s">
        <v>1281</v>
      </c>
      <c r="P158" s="13" t="s">
        <v>1282</v>
      </c>
    </row>
    <row r="159">
      <c r="A159" s="11" t="s">
        <v>2406</v>
      </c>
      <c r="B159" s="9">
        <v>0.6</v>
      </c>
      <c r="C159" s="8"/>
      <c r="D159" s="8" t="s">
        <v>2407</v>
      </c>
      <c r="E159" s="8" t="s">
        <v>2408</v>
      </c>
      <c r="F159" s="12" t="b">
        <v>0</v>
      </c>
      <c r="G159" s="11" t="s">
        <v>2409</v>
      </c>
      <c r="H159" s="11" t="s">
        <v>2408</v>
      </c>
      <c r="I159" s="11" t="s">
        <v>1344</v>
      </c>
      <c r="J159" s="11" t="s">
        <v>1345</v>
      </c>
      <c r="K159" s="12"/>
      <c r="L159" s="11" t="s">
        <v>2410</v>
      </c>
      <c r="M159" s="11" t="s">
        <v>2411</v>
      </c>
      <c r="N159" s="11" t="s">
        <v>2412</v>
      </c>
      <c r="O159" s="11" t="s">
        <v>2413</v>
      </c>
      <c r="P159" s="13" t="s">
        <v>1318</v>
      </c>
    </row>
    <row r="160">
      <c r="A160" s="11" t="s">
        <v>2414</v>
      </c>
      <c r="B160" s="9">
        <v>0.6</v>
      </c>
      <c r="C160" s="8"/>
      <c r="D160" s="8" t="s">
        <v>2415</v>
      </c>
      <c r="E160" s="8" t="s">
        <v>2416</v>
      </c>
      <c r="F160" s="12" t="b">
        <v>0</v>
      </c>
      <c r="G160" s="11" t="s">
        <v>2417</v>
      </c>
      <c r="H160" s="12"/>
      <c r="I160" s="11" t="s">
        <v>1407</v>
      </c>
      <c r="J160" s="11" t="s">
        <v>1298</v>
      </c>
      <c r="K160" s="11" t="s">
        <v>1277</v>
      </c>
      <c r="L160" s="11" t="s">
        <v>2418</v>
      </c>
      <c r="M160" s="11" t="s">
        <v>2419</v>
      </c>
      <c r="N160" s="11" t="s">
        <v>2420</v>
      </c>
      <c r="O160" s="11" t="s">
        <v>1326</v>
      </c>
      <c r="P160" s="13" t="s">
        <v>1318</v>
      </c>
    </row>
    <row r="161">
      <c r="A161" s="11" t="s">
        <v>2421</v>
      </c>
      <c r="B161" s="9">
        <v>0.6</v>
      </c>
      <c r="C161" s="8"/>
      <c r="D161" s="8" t="s">
        <v>2422</v>
      </c>
      <c r="E161" s="8" t="s">
        <v>2423</v>
      </c>
      <c r="F161" s="12" t="b">
        <v>0</v>
      </c>
      <c r="G161" s="11" t="s">
        <v>2424</v>
      </c>
      <c r="H161" s="12"/>
      <c r="I161" s="11" t="s">
        <v>1344</v>
      </c>
      <c r="J161" s="11" t="s">
        <v>2425</v>
      </c>
      <c r="K161" s="12"/>
      <c r="L161" s="11" t="s">
        <v>2426</v>
      </c>
      <c r="M161" s="11" t="s">
        <v>2427</v>
      </c>
      <c r="N161" s="11" t="s">
        <v>2428</v>
      </c>
      <c r="O161" s="11" t="s">
        <v>1515</v>
      </c>
      <c r="P161" s="13" t="s">
        <v>1318</v>
      </c>
    </row>
    <row r="162">
      <c r="A162" s="11" t="s">
        <v>2429</v>
      </c>
      <c r="B162" s="9">
        <v>0.5</v>
      </c>
      <c r="C162" s="8"/>
      <c r="D162" s="8" t="s">
        <v>2430</v>
      </c>
      <c r="E162" s="8" t="s">
        <v>2431</v>
      </c>
      <c r="F162" s="12" t="b">
        <v>0</v>
      </c>
      <c r="G162" s="11" t="s">
        <v>2431</v>
      </c>
      <c r="H162" s="12"/>
      <c r="I162" s="11" t="s">
        <v>1344</v>
      </c>
      <c r="J162" s="11" t="s">
        <v>1552</v>
      </c>
      <c r="K162" s="12"/>
      <c r="L162" s="11" t="s">
        <v>2432</v>
      </c>
      <c r="M162" s="11" t="s">
        <v>2433</v>
      </c>
      <c r="N162" s="11" t="s">
        <v>2434</v>
      </c>
      <c r="O162" s="11" t="s">
        <v>2435</v>
      </c>
      <c r="P162" s="13" t="s">
        <v>1318</v>
      </c>
    </row>
    <row r="163">
      <c r="A163" s="11" t="s">
        <v>2436</v>
      </c>
      <c r="B163" s="9">
        <v>0.5</v>
      </c>
      <c r="C163" s="8"/>
      <c r="D163" s="8" t="s">
        <v>2437</v>
      </c>
      <c r="E163" s="8" t="s">
        <v>2438</v>
      </c>
      <c r="F163" s="12" t="b">
        <v>0</v>
      </c>
      <c r="G163" s="11" t="s">
        <v>2438</v>
      </c>
      <c r="H163" s="12"/>
      <c r="I163" s="12"/>
      <c r="J163" s="11" t="s">
        <v>1288</v>
      </c>
      <c r="K163" s="12"/>
      <c r="L163" s="11" t="s">
        <v>2439</v>
      </c>
      <c r="M163" s="12"/>
      <c r="N163" s="11" t="s">
        <v>2440</v>
      </c>
      <c r="O163" s="11" t="s">
        <v>1293</v>
      </c>
      <c r="P163" s="13" t="s">
        <v>1282</v>
      </c>
    </row>
    <row r="164">
      <c r="A164" s="11" t="s">
        <v>2441</v>
      </c>
      <c r="B164" s="9">
        <v>0.5</v>
      </c>
      <c r="C164" s="8"/>
      <c r="D164" s="8"/>
      <c r="E164" s="8"/>
      <c r="F164" s="8" t="b">
        <v>0</v>
      </c>
      <c r="G164" s="11" t="s">
        <v>2442</v>
      </c>
      <c r="H164" s="12"/>
      <c r="I164" s="12"/>
      <c r="J164" s="11" t="s">
        <v>1298</v>
      </c>
      <c r="K164" s="12"/>
      <c r="L164" s="11" t="s">
        <v>2443</v>
      </c>
      <c r="M164" s="11" t="s">
        <v>2444</v>
      </c>
      <c r="N164" s="11" t="s">
        <v>2445</v>
      </c>
      <c r="O164" s="11" t="s">
        <v>1302</v>
      </c>
      <c r="P164" s="13" t="s">
        <v>1318</v>
      </c>
    </row>
    <row r="165">
      <c r="A165" s="11" t="s">
        <v>2446</v>
      </c>
      <c r="B165" s="9">
        <v>0.5</v>
      </c>
      <c r="C165" s="8"/>
      <c r="D165" s="8"/>
      <c r="E165" s="8"/>
      <c r="F165" s="12" t="b">
        <v>0</v>
      </c>
      <c r="G165" s="11" t="s">
        <v>2447</v>
      </c>
      <c r="H165" s="11" t="s">
        <v>2448</v>
      </c>
      <c r="I165" s="11" t="s">
        <v>1407</v>
      </c>
      <c r="J165" s="11" t="s">
        <v>1345</v>
      </c>
      <c r="K165" s="12"/>
      <c r="L165" s="11" t="s">
        <v>2449</v>
      </c>
      <c r="M165" s="11" t="s">
        <v>2450</v>
      </c>
      <c r="N165" s="11" t="s">
        <v>2451</v>
      </c>
      <c r="O165" s="11" t="s">
        <v>1326</v>
      </c>
      <c r="P165" s="13" t="s">
        <v>1318</v>
      </c>
    </row>
    <row r="166">
      <c r="A166" s="11" t="s">
        <v>2452</v>
      </c>
      <c r="B166" s="9">
        <v>0.4</v>
      </c>
      <c r="C166" s="8"/>
      <c r="D166" s="8" t="s">
        <v>2453</v>
      </c>
      <c r="E166" s="8" t="s">
        <v>2454</v>
      </c>
      <c r="F166" s="12" t="b">
        <v>0</v>
      </c>
      <c r="G166" s="11" t="s">
        <v>2454</v>
      </c>
      <c r="H166" s="12"/>
      <c r="I166" s="11" t="s">
        <v>1407</v>
      </c>
      <c r="J166" s="11" t="s">
        <v>1276</v>
      </c>
      <c r="K166" s="11" t="s">
        <v>2455</v>
      </c>
      <c r="L166" s="11" t="s">
        <v>2456</v>
      </c>
      <c r="M166" s="11" t="s">
        <v>2457</v>
      </c>
      <c r="N166" s="11" t="s">
        <v>2458</v>
      </c>
      <c r="O166" s="11" t="s">
        <v>1326</v>
      </c>
      <c r="P166" s="13" t="s">
        <v>1282</v>
      </c>
    </row>
    <row r="167">
      <c r="A167" s="11" t="s">
        <v>2459</v>
      </c>
      <c r="B167" s="9">
        <v>0.4</v>
      </c>
      <c r="C167" s="8"/>
      <c r="D167" s="8" t="s">
        <v>2460</v>
      </c>
      <c r="E167" s="8" t="s">
        <v>2461</v>
      </c>
      <c r="F167" s="12" t="b">
        <v>0</v>
      </c>
      <c r="G167" s="11" t="s">
        <v>2461</v>
      </c>
      <c r="H167" s="12"/>
      <c r="I167" s="11" t="s">
        <v>1407</v>
      </c>
      <c r="J167" s="11" t="s">
        <v>2377</v>
      </c>
      <c r="K167" s="11" t="s">
        <v>1313</v>
      </c>
      <c r="L167" s="11" t="s">
        <v>2462</v>
      </c>
      <c r="M167" s="11" t="s">
        <v>2463</v>
      </c>
      <c r="N167" s="11" t="s">
        <v>2464</v>
      </c>
      <c r="O167" s="11" t="s">
        <v>1326</v>
      </c>
      <c r="P167" s="13" t="s">
        <v>1318</v>
      </c>
    </row>
    <row r="168">
      <c r="A168" s="11" t="s">
        <v>2465</v>
      </c>
      <c r="B168" s="9">
        <v>0.4</v>
      </c>
      <c r="C168" s="8"/>
      <c r="D168" s="8" t="s">
        <v>2466</v>
      </c>
      <c r="E168" s="8" t="s">
        <v>2467</v>
      </c>
      <c r="F168" s="12" t="b">
        <v>0</v>
      </c>
      <c r="G168" s="11" t="s">
        <v>2467</v>
      </c>
      <c r="H168" s="11" t="s">
        <v>2468</v>
      </c>
      <c r="I168" s="11" t="s">
        <v>1407</v>
      </c>
      <c r="J168" s="11" t="s">
        <v>2103</v>
      </c>
      <c r="K168" s="12"/>
      <c r="L168" s="11" t="s">
        <v>2469</v>
      </c>
      <c r="M168" s="11" t="s">
        <v>2470</v>
      </c>
      <c r="N168" s="11" t="s">
        <v>2471</v>
      </c>
      <c r="O168" s="11" t="s">
        <v>2033</v>
      </c>
      <c r="P168" s="13" t="s">
        <v>1318</v>
      </c>
    </row>
    <row r="169">
      <c r="A169" s="11" t="s">
        <v>2472</v>
      </c>
      <c r="B169" s="9">
        <v>0.4</v>
      </c>
      <c r="C169" s="17"/>
      <c r="D169" s="8" t="s">
        <v>2473</v>
      </c>
      <c r="E169" s="8" t="s">
        <v>2474</v>
      </c>
      <c r="F169" s="8" t="b">
        <v>0</v>
      </c>
      <c r="G169" s="11" t="s">
        <v>2474</v>
      </c>
      <c r="H169" s="12"/>
      <c r="I169" s="11" t="s">
        <v>1344</v>
      </c>
      <c r="J169" s="11" t="s">
        <v>2196</v>
      </c>
      <c r="K169" s="11" t="s">
        <v>1289</v>
      </c>
      <c r="L169" s="11" t="s">
        <v>2475</v>
      </c>
      <c r="M169" s="11" t="s">
        <v>2476</v>
      </c>
      <c r="N169" s="11" t="s">
        <v>2477</v>
      </c>
      <c r="O169" s="11" t="s">
        <v>1378</v>
      </c>
      <c r="P169" s="13" t="s">
        <v>1318</v>
      </c>
    </row>
    <row r="170">
      <c r="A170" s="11" t="s">
        <v>2478</v>
      </c>
      <c r="B170" s="9">
        <v>0.4</v>
      </c>
      <c r="C170" s="8"/>
      <c r="D170" s="8"/>
      <c r="E170" s="8"/>
      <c r="F170" s="12" t="b">
        <v>0</v>
      </c>
      <c r="G170" s="11" t="s">
        <v>2479</v>
      </c>
      <c r="H170" s="12"/>
      <c r="I170" s="12"/>
      <c r="J170" s="11" t="s">
        <v>1415</v>
      </c>
      <c r="K170" s="12"/>
      <c r="L170" s="11" t="s">
        <v>2480</v>
      </c>
      <c r="M170" s="11" t="s">
        <v>2481</v>
      </c>
      <c r="N170" s="11" t="s">
        <v>2482</v>
      </c>
      <c r="O170" s="11" t="s">
        <v>2483</v>
      </c>
      <c r="P170" s="13" t="s">
        <v>1318</v>
      </c>
    </row>
    <row r="171">
      <c r="A171" s="11" t="s">
        <v>2484</v>
      </c>
      <c r="B171" s="9">
        <v>0.4</v>
      </c>
      <c r="C171" s="8"/>
      <c r="D171" s="8"/>
      <c r="E171" s="8"/>
      <c r="F171" s="12" t="b">
        <v>0</v>
      </c>
      <c r="G171" s="11" t="s">
        <v>2485</v>
      </c>
      <c r="H171" s="12"/>
      <c r="I171" s="11" t="s">
        <v>1344</v>
      </c>
      <c r="J171" s="12"/>
      <c r="K171" s="12"/>
      <c r="L171" s="11" t="s">
        <v>2486</v>
      </c>
      <c r="M171" s="11" t="s">
        <v>2487</v>
      </c>
      <c r="N171" s="11" t="s">
        <v>2488</v>
      </c>
      <c r="O171" s="11" t="s">
        <v>1820</v>
      </c>
      <c r="P171" s="13" t="s">
        <v>1318</v>
      </c>
    </row>
    <row r="172">
      <c r="A172" s="11" t="s">
        <v>2489</v>
      </c>
      <c r="B172" s="9">
        <v>0.4</v>
      </c>
      <c r="C172" s="8"/>
      <c r="D172" s="8"/>
      <c r="E172" s="8"/>
      <c r="F172" s="12" t="b">
        <v>0</v>
      </c>
      <c r="G172" s="11" t="s">
        <v>2490</v>
      </c>
      <c r="H172" s="12"/>
      <c r="I172" s="11" t="s">
        <v>1407</v>
      </c>
      <c r="J172" s="11" t="s">
        <v>1345</v>
      </c>
      <c r="K172" s="12"/>
      <c r="L172" s="11" t="s">
        <v>2491</v>
      </c>
      <c r="M172" s="11" t="s">
        <v>2492</v>
      </c>
      <c r="N172" s="11" t="s">
        <v>2493</v>
      </c>
      <c r="O172" s="11" t="s">
        <v>1378</v>
      </c>
      <c r="P172" s="13" t="s">
        <v>1282</v>
      </c>
    </row>
    <row r="173">
      <c r="A173" s="11" t="s">
        <v>2494</v>
      </c>
      <c r="B173" s="9">
        <v>0.4</v>
      </c>
      <c r="C173" s="8"/>
      <c r="D173" s="8"/>
      <c r="E173" s="8"/>
      <c r="F173" s="12" t="b">
        <v>0</v>
      </c>
      <c r="G173" s="11" t="s">
        <v>2495</v>
      </c>
      <c r="H173" s="12"/>
      <c r="I173" s="11" t="s">
        <v>1344</v>
      </c>
      <c r="J173" s="11" t="s">
        <v>1276</v>
      </c>
      <c r="K173" s="12"/>
      <c r="L173" s="11" t="s">
        <v>2496</v>
      </c>
      <c r="M173" s="11" t="s">
        <v>2497</v>
      </c>
      <c r="N173" s="11" t="s">
        <v>2498</v>
      </c>
      <c r="O173" s="11" t="s">
        <v>2499</v>
      </c>
      <c r="P173" s="13" t="s">
        <v>1318</v>
      </c>
    </row>
    <row r="174">
      <c r="A174" s="11" t="s">
        <v>2500</v>
      </c>
      <c r="B174" s="9">
        <v>0.4</v>
      </c>
      <c r="C174" s="8"/>
      <c r="D174" s="8"/>
      <c r="E174" s="8"/>
      <c r="F174" s="12" t="b">
        <v>0</v>
      </c>
      <c r="G174" s="11" t="s">
        <v>2501</v>
      </c>
      <c r="H174" s="12"/>
      <c r="I174" s="11" t="s">
        <v>1344</v>
      </c>
      <c r="J174" s="11" t="s">
        <v>1276</v>
      </c>
      <c r="K174" s="12"/>
      <c r="L174" s="11" t="s">
        <v>2502</v>
      </c>
      <c r="M174" s="11" t="s">
        <v>2503</v>
      </c>
      <c r="N174" s="11" t="s">
        <v>2504</v>
      </c>
      <c r="O174" s="11" t="s">
        <v>2505</v>
      </c>
      <c r="P174" s="13" t="s">
        <v>1318</v>
      </c>
    </row>
    <row r="175">
      <c r="A175" s="11" t="s">
        <v>2506</v>
      </c>
      <c r="B175" s="9">
        <v>0.4</v>
      </c>
      <c r="C175" s="8"/>
      <c r="D175" s="8"/>
      <c r="E175" s="8"/>
      <c r="F175" s="12" t="b">
        <v>0</v>
      </c>
      <c r="G175" s="11" t="s">
        <v>2507</v>
      </c>
      <c r="H175" s="12"/>
      <c r="I175" s="11" t="s">
        <v>1407</v>
      </c>
      <c r="J175" s="11" t="s">
        <v>1276</v>
      </c>
      <c r="K175" s="11" t="s">
        <v>1289</v>
      </c>
      <c r="L175" s="11" t="s">
        <v>2508</v>
      </c>
      <c r="M175" s="11" t="s">
        <v>2509</v>
      </c>
      <c r="N175" s="11" t="s">
        <v>2510</v>
      </c>
      <c r="O175" s="11" t="s">
        <v>1515</v>
      </c>
      <c r="P175" s="13" t="s">
        <v>1318</v>
      </c>
    </row>
    <row r="176">
      <c r="A176" s="11" t="s">
        <v>2511</v>
      </c>
      <c r="B176" s="9">
        <v>0.4</v>
      </c>
      <c r="C176" s="8"/>
      <c r="D176" s="8"/>
      <c r="E176" s="8"/>
      <c r="F176" s="12" t="b">
        <v>0</v>
      </c>
      <c r="G176" s="11" t="s">
        <v>2512</v>
      </c>
      <c r="H176" s="12"/>
      <c r="I176" s="12"/>
      <c r="J176" s="11" t="s">
        <v>1488</v>
      </c>
      <c r="K176" s="12"/>
      <c r="L176" s="11" t="s">
        <v>2513</v>
      </c>
      <c r="M176" s="11" t="s">
        <v>2514</v>
      </c>
      <c r="N176" s="11" t="s">
        <v>2515</v>
      </c>
      <c r="O176" s="11" t="s">
        <v>1293</v>
      </c>
      <c r="P176" s="13" t="s">
        <v>1318</v>
      </c>
    </row>
    <row r="177">
      <c r="A177" s="11" t="s">
        <v>2516</v>
      </c>
      <c r="B177" s="9">
        <v>0.4</v>
      </c>
      <c r="C177" s="8"/>
      <c r="D177" s="8"/>
      <c r="E177" s="8"/>
      <c r="F177" s="12" t="b">
        <v>0</v>
      </c>
      <c r="G177" s="11" t="s">
        <v>2517</v>
      </c>
      <c r="H177" s="12"/>
      <c r="I177" s="12"/>
      <c r="J177" s="11" t="s">
        <v>1607</v>
      </c>
      <c r="K177" s="12"/>
      <c r="L177" s="11" t="s">
        <v>2518</v>
      </c>
      <c r="M177" s="11" t="s">
        <v>2519</v>
      </c>
      <c r="N177" s="11" t="s">
        <v>2520</v>
      </c>
      <c r="O177" s="11" t="s">
        <v>1533</v>
      </c>
      <c r="P177" s="13" t="s">
        <v>1282</v>
      </c>
    </row>
    <row r="178">
      <c r="A178" s="11" t="s">
        <v>2521</v>
      </c>
      <c r="B178" s="9">
        <v>0.3</v>
      </c>
      <c r="C178" s="8" t="s">
        <v>2522</v>
      </c>
      <c r="D178" s="8" t="s">
        <v>2523</v>
      </c>
      <c r="E178" s="8" t="s">
        <v>2524</v>
      </c>
      <c r="F178" s="12" t="b">
        <v>0</v>
      </c>
      <c r="G178" s="11" t="s">
        <v>2525</v>
      </c>
      <c r="H178" s="11" t="s">
        <v>2526</v>
      </c>
      <c r="I178" s="11" t="s">
        <v>1407</v>
      </c>
      <c r="J178" s="11" t="s">
        <v>1488</v>
      </c>
      <c r="K178" s="12"/>
      <c r="L178" s="11" t="s">
        <v>2527</v>
      </c>
      <c r="M178" s="11" t="s">
        <v>2528</v>
      </c>
      <c r="N178" s="11" t="s">
        <v>2529</v>
      </c>
      <c r="O178" s="11" t="s">
        <v>1326</v>
      </c>
      <c r="P178" s="13" t="s">
        <v>1282</v>
      </c>
    </row>
    <row r="179">
      <c r="A179" s="11" t="s">
        <v>2530</v>
      </c>
      <c r="B179" s="9">
        <v>0.3</v>
      </c>
      <c r="C179" s="8"/>
      <c r="D179" s="8" t="s">
        <v>2531</v>
      </c>
      <c r="E179" s="8" t="s">
        <v>2532</v>
      </c>
      <c r="F179" s="8" t="b">
        <v>0</v>
      </c>
      <c r="G179" s="11" t="s">
        <v>2532</v>
      </c>
      <c r="H179" s="12"/>
      <c r="I179" s="11" t="s">
        <v>1407</v>
      </c>
      <c r="J179" s="11" t="s">
        <v>1276</v>
      </c>
      <c r="K179" s="12"/>
      <c r="L179" s="11" t="s">
        <v>2533</v>
      </c>
      <c r="M179" s="11" t="s">
        <v>2534</v>
      </c>
      <c r="N179" s="11" t="s">
        <v>2535</v>
      </c>
      <c r="O179" s="11" t="s">
        <v>1326</v>
      </c>
      <c r="P179" s="13" t="s">
        <v>1318</v>
      </c>
    </row>
    <row r="180">
      <c r="A180" s="11" t="s">
        <v>2536</v>
      </c>
      <c r="B180" s="9">
        <v>0.3</v>
      </c>
      <c r="C180" s="8"/>
      <c r="D180" s="8" t="s">
        <v>2537</v>
      </c>
      <c r="E180" s="8" t="s">
        <v>2538</v>
      </c>
      <c r="F180" s="12" t="b">
        <v>0</v>
      </c>
      <c r="G180" s="11" t="s">
        <v>2538</v>
      </c>
      <c r="H180" s="12"/>
      <c r="I180" s="11" t="s">
        <v>1344</v>
      </c>
      <c r="J180" s="11" t="s">
        <v>1345</v>
      </c>
      <c r="K180" s="12"/>
      <c r="L180" s="11" t="s">
        <v>2539</v>
      </c>
      <c r="M180" s="11" t="s">
        <v>2540</v>
      </c>
      <c r="N180" s="11" t="s">
        <v>2541</v>
      </c>
      <c r="O180" s="11" t="s">
        <v>1378</v>
      </c>
      <c r="P180" s="13" t="s">
        <v>1282</v>
      </c>
    </row>
    <row r="181">
      <c r="A181" s="11" t="s">
        <v>2542</v>
      </c>
      <c r="B181" s="9">
        <v>0.3</v>
      </c>
      <c r="C181" s="8"/>
      <c r="D181" s="8" t="s">
        <v>2543</v>
      </c>
      <c r="E181" s="8" t="s">
        <v>2544</v>
      </c>
      <c r="F181" s="12" t="b">
        <v>0</v>
      </c>
      <c r="G181" s="11" t="s">
        <v>2544</v>
      </c>
      <c r="H181" s="12"/>
      <c r="I181" s="11" t="s">
        <v>1344</v>
      </c>
      <c r="J181" s="11" t="s">
        <v>1276</v>
      </c>
      <c r="K181" s="12"/>
      <c r="L181" s="11" t="s">
        <v>2545</v>
      </c>
      <c r="M181" s="11" t="s">
        <v>2546</v>
      </c>
      <c r="N181" s="11" t="s">
        <v>2547</v>
      </c>
      <c r="O181" s="11" t="s">
        <v>2033</v>
      </c>
      <c r="P181" s="13" t="s">
        <v>1282</v>
      </c>
    </row>
    <row r="182">
      <c r="A182" s="11" t="s">
        <v>2548</v>
      </c>
      <c r="B182" s="9">
        <v>0.3</v>
      </c>
      <c r="C182" s="8"/>
      <c r="D182" s="8" t="s">
        <v>2549</v>
      </c>
      <c r="E182" s="8" t="s">
        <v>2550</v>
      </c>
      <c r="F182" s="12" t="b">
        <v>0</v>
      </c>
      <c r="G182" s="11" t="s">
        <v>2550</v>
      </c>
      <c r="H182" s="12"/>
      <c r="I182" s="11" t="s">
        <v>1407</v>
      </c>
      <c r="J182" s="11" t="s">
        <v>1276</v>
      </c>
      <c r="K182" s="12"/>
      <c r="L182" s="11" t="s">
        <v>2551</v>
      </c>
      <c r="M182" s="11" t="s">
        <v>2552</v>
      </c>
      <c r="N182" s="11" t="s">
        <v>2553</v>
      </c>
      <c r="O182" s="11" t="s">
        <v>1302</v>
      </c>
      <c r="P182" s="13" t="s">
        <v>1282</v>
      </c>
    </row>
    <row r="183">
      <c r="A183" s="11" t="s">
        <v>2554</v>
      </c>
      <c r="B183" s="9">
        <v>0.3</v>
      </c>
      <c r="C183" s="17"/>
      <c r="D183" s="8" t="s">
        <v>2555</v>
      </c>
      <c r="E183" s="8" t="s">
        <v>2556</v>
      </c>
      <c r="F183" s="8" t="b">
        <v>0</v>
      </c>
      <c r="G183" s="11" t="s">
        <v>2556</v>
      </c>
      <c r="H183" s="11" t="s">
        <v>2557</v>
      </c>
      <c r="I183" s="11" t="s">
        <v>1344</v>
      </c>
      <c r="J183" s="11" t="s">
        <v>1345</v>
      </c>
      <c r="K183" s="11" t="s">
        <v>1289</v>
      </c>
      <c r="L183" s="11" t="s">
        <v>2558</v>
      </c>
      <c r="M183" s="11" t="s">
        <v>2559</v>
      </c>
      <c r="N183" s="11" t="s">
        <v>2560</v>
      </c>
      <c r="O183" s="11" t="s">
        <v>1378</v>
      </c>
      <c r="P183" s="13" t="s">
        <v>1318</v>
      </c>
    </row>
    <row r="184">
      <c r="A184" s="11" t="s">
        <v>2561</v>
      </c>
      <c r="B184" s="9">
        <v>0.3</v>
      </c>
      <c r="C184" s="8"/>
      <c r="D184" s="8" t="s">
        <v>2562</v>
      </c>
      <c r="E184" s="8" t="s">
        <v>2563</v>
      </c>
      <c r="F184" s="8" t="b">
        <v>0</v>
      </c>
      <c r="G184" s="11" t="s">
        <v>2563</v>
      </c>
      <c r="H184" s="11" t="s">
        <v>2564</v>
      </c>
      <c r="I184" s="11" t="s">
        <v>2252</v>
      </c>
      <c r="J184" s="11" t="s">
        <v>1345</v>
      </c>
      <c r="K184" s="12"/>
      <c r="L184" s="11" t="s">
        <v>2565</v>
      </c>
      <c r="M184" s="11" t="s">
        <v>2566</v>
      </c>
      <c r="N184" s="11" t="s">
        <v>2567</v>
      </c>
      <c r="O184" s="11" t="s">
        <v>1281</v>
      </c>
      <c r="P184" s="13" t="s">
        <v>1318</v>
      </c>
    </row>
    <row r="185">
      <c r="A185" s="11" t="s">
        <v>2568</v>
      </c>
      <c r="B185" s="9">
        <v>0.3</v>
      </c>
      <c r="C185" s="8"/>
      <c r="D185" s="8" t="s">
        <v>2569</v>
      </c>
      <c r="E185" s="8" t="s">
        <v>2570</v>
      </c>
      <c r="F185" s="8" t="b">
        <v>0</v>
      </c>
      <c r="G185" s="11" t="s">
        <v>2570</v>
      </c>
      <c r="H185" s="12"/>
      <c r="I185" s="12"/>
      <c r="J185" s="11" t="s">
        <v>1298</v>
      </c>
      <c r="K185" s="12"/>
      <c r="L185" s="11" t="s">
        <v>2571</v>
      </c>
      <c r="M185" s="11" t="s">
        <v>2572</v>
      </c>
      <c r="N185" s="11" t="s">
        <v>2573</v>
      </c>
      <c r="O185" s="11" t="s">
        <v>1293</v>
      </c>
      <c r="P185" s="13" t="s">
        <v>1318</v>
      </c>
    </row>
    <row r="186">
      <c r="A186" s="11" t="s">
        <v>2574</v>
      </c>
      <c r="B186" s="9">
        <v>0.3</v>
      </c>
      <c r="C186" s="8"/>
      <c r="D186" s="8" t="s">
        <v>2575</v>
      </c>
      <c r="E186" s="8" t="s">
        <v>2576</v>
      </c>
      <c r="F186" s="12" t="b">
        <v>0</v>
      </c>
      <c r="G186" s="11" t="s">
        <v>2577</v>
      </c>
      <c r="H186" s="11" t="s">
        <v>2578</v>
      </c>
      <c r="I186" s="11" t="s">
        <v>1344</v>
      </c>
      <c r="J186" s="11" t="s">
        <v>1345</v>
      </c>
      <c r="K186" s="12"/>
      <c r="L186" s="11" t="s">
        <v>2579</v>
      </c>
      <c r="M186" s="11" t="s">
        <v>2580</v>
      </c>
      <c r="N186" s="11" t="s">
        <v>2581</v>
      </c>
      <c r="O186" s="11" t="s">
        <v>2582</v>
      </c>
      <c r="P186" s="13" t="s">
        <v>1318</v>
      </c>
    </row>
    <row r="187">
      <c r="A187" s="11" t="s">
        <v>2583</v>
      </c>
      <c r="B187" s="9">
        <v>0.3</v>
      </c>
      <c r="C187" s="8"/>
      <c r="D187" s="8"/>
      <c r="E187" s="8"/>
      <c r="F187" s="8" t="b">
        <v>0</v>
      </c>
      <c r="G187" s="11" t="s">
        <v>2584</v>
      </c>
      <c r="H187" s="12"/>
      <c r="I187" s="11" t="s">
        <v>1344</v>
      </c>
      <c r="J187" s="11" t="s">
        <v>2425</v>
      </c>
      <c r="K187" s="12"/>
      <c r="L187" s="11" t="s">
        <v>2585</v>
      </c>
      <c r="M187" s="11" t="s">
        <v>2586</v>
      </c>
      <c r="N187" s="11" t="s">
        <v>2587</v>
      </c>
      <c r="O187" s="11" t="s">
        <v>2588</v>
      </c>
      <c r="P187" s="13" t="s">
        <v>1318</v>
      </c>
    </row>
    <row r="188">
      <c r="A188" s="11" t="s">
        <v>2589</v>
      </c>
      <c r="B188" s="9">
        <v>0.3</v>
      </c>
      <c r="C188" s="8"/>
      <c r="D188" s="8"/>
      <c r="E188" s="8"/>
      <c r="F188" s="8" t="b">
        <v>0</v>
      </c>
      <c r="G188" s="11" t="s">
        <v>2590</v>
      </c>
      <c r="H188" s="12"/>
      <c r="I188" s="11" t="s">
        <v>1344</v>
      </c>
      <c r="J188" s="11" t="s">
        <v>1345</v>
      </c>
      <c r="K188" s="11" t="s">
        <v>1313</v>
      </c>
      <c r="L188" s="11" t="s">
        <v>2591</v>
      </c>
      <c r="M188" s="11" t="s">
        <v>2592</v>
      </c>
      <c r="N188" s="11" t="s">
        <v>2593</v>
      </c>
      <c r="O188" s="11" t="s">
        <v>2033</v>
      </c>
      <c r="P188" s="13" t="s">
        <v>1318</v>
      </c>
    </row>
    <row r="189">
      <c r="A189" s="11" t="s">
        <v>2594</v>
      </c>
      <c r="B189" s="9">
        <v>0.3</v>
      </c>
      <c r="C189" s="8"/>
      <c r="D189" s="8"/>
      <c r="E189" s="8"/>
      <c r="F189" s="12" t="b">
        <v>0</v>
      </c>
      <c r="G189" s="11" t="s">
        <v>2595</v>
      </c>
      <c r="H189" s="12"/>
      <c r="I189" s="12"/>
      <c r="J189" s="11" t="s">
        <v>2196</v>
      </c>
      <c r="K189" s="12"/>
      <c r="L189" s="11" t="s">
        <v>2596</v>
      </c>
      <c r="M189" s="11" t="s">
        <v>2597</v>
      </c>
      <c r="N189" s="11" t="s">
        <v>2598</v>
      </c>
      <c r="O189" s="11" t="s">
        <v>2505</v>
      </c>
      <c r="P189" s="13" t="s">
        <v>1282</v>
      </c>
    </row>
    <row r="190">
      <c r="A190" s="11" t="s">
        <v>2599</v>
      </c>
      <c r="B190" s="9">
        <v>0.3</v>
      </c>
      <c r="C190" s="8"/>
      <c r="D190" s="8"/>
      <c r="E190" s="8"/>
      <c r="F190" s="12" t="b">
        <v>0</v>
      </c>
      <c r="G190" s="11" t="s">
        <v>2600</v>
      </c>
      <c r="H190" s="11" t="s">
        <v>2601</v>
      </c>
      <c r="I190" s="11" t="s">
        <v>1344</v>
      </c>
      <c r="J190" s="11" t="s">
        <v>1345</v>
      </c>
      <c r="K190" s="12"/>
      <c r="L190" s="11" t="s">
        <v>2602</v>
      </c>
      <c r="M190" s="11" t="s">
        <v>2603</v>
      </c>
      <c r="N190" s="11" t="s">
        <v>2604</v>
      </c>
      <c r="O190" s="11" t="s">
        <v>2033</v>
      </c>
      <c r="P190" s="13" t="s">
        <v>1318</v>
      </c>
    </row>
    <row r="191">
      <c r="A191" s="11" t="s">
        <v>2605</v>
      </c>
      <c r="B191" s="9">
        <v>0.3</v>
      </c>
      <c r="C191" s="8"/>
      <c r="D191" s="8"/>
      <c r="E191" s="8"/>
      <c r="F191" s="12" t="b">
        <v>0</v>
      </c>
      <c r="G191" s="11" t="s">
        <v>2606</v>
      </c>
      <c r="H191" s="12"/>
      <c r="I191" s="12"/>
      <c r="J191" s="11" t="s">
        <v>1383</v>
      </c>
      <c r="K191" s="12"/>
      <c r="L191" s="11" t="s">
        <v>2607</v>
      </c>
      <c r="M191" s="11" t="s">
        <v>2608</v>
      </c>
      <c r="N191" s="11" t="s">
        <v>2609</v>
      </c>
      <c r="O191" s="11" t="s">
        <v>1281</v>
      </c>
      <c r="P191" s="13" t="s">
        <v>1318</v>
      </c>
    </row>
    <row r="192">
      <c r="A192" s="11" t="s">
        <v>2610</v>
      </c>
      <c r="B192" s="9">
        <v>0.3</v>
      </c>
      <c r="C192" s="8"/>
      <c r="D192" s="8"/>
      <c r="E192" s="8"/>
      <c r="F192" s="12" t="b">
        <v>0</v>
      </c>
      <c r="G192" s="11" t="s">
        <v>2611</v>
      </c>
      <c r="H192" s="12"/>
      <c r="I192" s="11" t="s">
        <v>1344</v>
      </c>
      <c r="J192" s="11" t="s">
        <v>1496</v>
      </c>
      <c r="K192" s="12"/>
      <c r="L192" s="11" t="s">
        <v>2612</v>
      </c>
      <c r="M192" s="11" t="s">
        <v>2613</v>
      </c>
      <c r="N192" s="11" t="s">
        <v>2614</v>
      </c>
      <c r="O192" s="11" t="s">
        <v>1378</v>
      </c>
      <c r="P192" s="13" t="s">
        <v>1318</v>
      </c>
    </row>
    <row r="193">
      <c r="A193" s="11" t="s">
        <v>2615</v>
      </c>
      <c r="B193" s="9">
        <v>0.3</v>
      </c>
      <c r="C193" s="8"/>
      <c r="D193" s="8"/>
      <c r="E193" s="8"/>
      <c r="F193" s="12" t="b">
        <v>0</v>
      </c>
      <c r="G193" s="11" t="s">
        <v>2616</v>
      </c>
      <c r="H193" s="12"/>
      <c r="I193" s="11" t="s">
        <v>1344</v>
      </c>
      <c r="J193" s="11" t="s">
        <v>1511</v>
      </c>
      <c r="K193" s="12"/>
      <c r="L193" s="11" t="s">
        <v>2617</v>
      </c>
      <c r="M193" s="11" t="s">
        <v>2618</v>
      </c>
      <c r="N193" s="11" t="s">
        <v>2619</v>
      </c>
      <c r="O193" s="11" t="s">
        <v>2499</v>
      </c>
      <c r="P193" s="13" t="s">
        <v>1318</v>
      </c>
    </row>
    <row r="194">
      <c r="A194" s="11" t="s">
        <v>2620</v>
      </c>
      <c r="B194" s="9">
        <v>0.3</v>
      </c>
      <c r="C194" s="8"/>
      <c r="D194" s="8"/>
      <c r="E194" s="8"/>
      <c r="F194" s="12" t="b">
        <v>0</v>
      </c>
      <c r="G194" s="11" t="s">
        <v>2621</v>
      </c>
      <c r="H194" s="12"/>
      <c r="I194" s="12"/>
      <c r="J194" s="11" t="s">
        <v>1298</v>
      </c>
      <c r="K194" s="12"/>
      <c r="L194" s="11" t="s">
        <v>2622</v>
      </c>
      <c r="M194" s="11" t="s">
        <v>2623</v>
      </c>
      <c r="N194" s="11" t="s">
        <v>2624</v>
      </c>
      <c r="O194" s="11" t="s">
        <v>1378</v>
      </c>
      <c r="P194" s="13" t="s">
        <v>1318</v>
      </c>
    </row>
    <row r="195">
      <c r="A195" s="11" t="s">
        <v>2625</v>
      </c>
      <c r="B195" s="9">
        <v>0.3</v>
      </c>
      <c r="C195" s="8"/>
      <c r="D195" s="8"/>
      <c r="E195" s="8"/>
      <c r="F195" s="12" t="b">
        <v>0</v>
      </c>
      <c r="G195" s="11" t="s">
        <v>2626</v>
      </c>
      <c r="H195" s="12"/>
      <c r="I195" s="11" t="s">
        <v>1407</v>
      </c>
      <c r="J195" s="11" t="s">
        <v>1288</v>
      </c>
      <c r="K195" s="12"/>
      <c r="L195" s="11" t="s">
        <v>2627</v>
      </c>
      <c r="M195" s="11" t="s">
        <v>2628</v>
      </c>
      <c r="N195" s="11" t="s">
        <v>2629</v>
      </c>
      <c r="O195" s="11" t="s">
        <v>1293</v>
      </c>
      <c r="P195" s="13" t="s">
        <v>1318</v>
      </c>
    </row>
    <row r="196">
      <c r="A196" s="11" t="s">
        <v>2630</v>
      </c>
      <c r="B196" s="9">
        <v>0.3</v>
      </c>
      <c r="C196" s="8"/>
      <c r="D196" s="8"/>
      <c r="E196" s="8"/>
      <c r="F196" s="12" t="b">
        <v>0</v>
      </c>
      <c r="G196" s="11" t="s">
        <v>2631</v>
      </c>
      <c r="H196" s="12"/>
      <c r="I196" s="11" t="s">
        <v>1733</v>
      </c>
      <c r="J196" s="11" t="s">
        <v>1839</v>
      </c>
      <c r="K196" s="12"/>
      <c r="L196" s="11" t="s">
        <v>2632</v>
      </c>
      <c r="M196" s="11" t="s">
        <v>2633</v>
      </c>
      <c r="N196" s="11" t="s">
        <v>2634</v>
      </c>
      <c r="O196" s="11" t="s">
        <v>2505</v>
      </c>
      <c r="P196" s="13" t="s">
        <v>1318</v>
      </c>
    </row>
    <row r="197">
      <c r="A197" s="11" t="s">
        <v>2635</v>
      </c>
      <c r="B197" s="9">
        <v>0.3</v>
      </c>
      <c r="C197" s="8"/>
      <c r="D197" s="8"/>
      <c r="E197" s="8"/>
      <c r="F197" s="12" t="b">
        <v>0</v>
      </c>
      <c r="G197" s="11" t="s">
        <v>2636</v>
      </c>
      <c r="H197" s="11" t="s">
        <v>2637</v>
      </c>
      <c r="I197" s="11" t="s">
        <v>1344</v>
      </c>
      <c r="J197" s="11" t="s">
        <v>1276</v>
      </c>
      <c r="K197" s="12"/>
      <c r="L197" s="11" t="s">
        <v>2638</v>
      </c>
      <c r="M197" s="11" t="s">
        <v>2639</v>
      </c>
      <c r="N197" s="11" t="s">
        <v>2640</v>
      </c>
      <c r="O197" s="11" t="s">
        <v>2641</v>
      </c>
      <c r="P197" s="13" t="s">
        <v>1318</v>
      </c>
    </row>
    <row r="198">
      <c r="A198" s="11" t="s">
        <v>2642</v>
      </c>
      <c r="B198" s="9">
        <v>0.3</v>
      </c>
      <c r="C198" s="8"/>
      <c r="D198" s="8"/>
      <c r="E198" s="8"/>
      <c r="F198" s="12" t="b">
        <v>0</v>
      </c>
      <c r="G198" s="11" t="s">
        <v>2643</v>
      </c>
      <c r="H198" s="12"/>
      <c r="I198" s="11" t="s">
        <v>1287</v>
      </c>
      <c r="J198" s="11" t="s">
        <v>1839</v>
      </c>
      <c r="K198" s="12"/>
      <c r="L198" s="11" t="s">
        <v>2644</v>
      </c>
      <c r="M198" s="11" t="s">
        <v>2645</v>
      </c>
      <c r="N198" s="11" t="s">
        <v>2646</v>
      </c>
      <c r="O198" s="11" t="s">
        <v>1820</v>
      </c>
      <c r="P198" s="13" t="s">
        <v>1318</v>
      </c>
    </row>
    <row r="199">
      <c r="A199" s="11" t="s">
        <v>2647</v>
      </c>
      <c r="B199" s="9">
        <v>0.3</v>
      </c>
      <c r="C199" s="8"/>
      <c r="D199" s="8"/>
      <c r="E199" s="8"/>
      <c r="F199" s="12" t="b">
        <v>0</v>
      </c>
      <c r="G199" s="11" t="s">
        <v>2648</v>
      </c>
      <c r="H199" s="12"/>
      <c r="I199" s="12"/>
      <c r="J199" s="11" t="s">
        <v>1345</v>
      </c>
      <c r="K199" s="11" t="s">
        <v>2455</v>
      </c>
      <c r="L199" s="11" t="s">
        <v>2649</v>
      </c>
      <c r="M199" s="11" t="s">
        <v>2650</v>
      </c>
      <c r="N199" s="11" t="s">
        <v>2651</v>
      </c>
      <c r="O199" s="11" t="s">
        <v>1326</v>
      </c>
      <c r="P199" s="13" t="s">
        <v>1318</v>
      </c>
    </row>
    <row r="200">
      <c r="A200" s="11" t="s">
        <v>2652</v>
      </c>
      <c r="B200" s="9">
        <v>0.3</v>
      </c>
      <c r="C200" s="8"/>
      <c r="D200" s="8"/>
      <c r="E200" s="8"/>
      <c r="F200" s="12" t="b">
        <v>0</v>
      </c>
      <c r="G200" s="11" t="s">
        <v>2653</v>
      </c>
      <c r="H200" s="12"/>
      <c r="I200" s="12"/>
      <c r="J200" s="11" t="s">
        <v>1561</v>
      </c>
      <c r="K200" s="12"/>
      <c r="L200" s="11" t="s">
        <v>2654</v>
      </c>
      <c r="M200" s="11" t="s">
        <v>2655</v>
      </c>
      <c r="N200" s="11" t="s">
        <v>2656</v>
      </c>
      <c r="O200" s="11" t="s">
        <v>1573</v>
      </c>
      <c r="P200" s="13" t="s">
        <v>1282</v>
      </c>
    </row>
    <row r="201">
      <c r="A201" s="11" t="s">
        <v>2657</v>
      </c>
      <c r="B201" s="9">
        <v>0.3</v>
      </c>
      <c r="C201" s="8"/>
      <c r="D201" s="8"/>
      <c r="E201" s="8"/>
      <c r="F201" s="12" t="b">
        <v>0</v>
      </c>
      <c r="G201" s="11" t="s">
        <v>2658</v>
      </c>
      <c r="H201" s="11" t="s">
        <v>2659</v>
      </c>
      <c r="I201" s="11" t="s">
        <v>1407</v>
      </c>
      <c r="J201" s="11" t="s">
        <v>1345</v>
      </c>
      <c r="K201" s="11" t="s">
        <v>1529</v>
      </c>
      <c r="L201" s="11" t="s">
        <v>2660</v>
      </c>
      <c r="M201" s="11" t="s">
        <v>2661</v>
      </c>
      <c r="N201" s="11" t="s">
        <v>2662</v>
      </c>
      <c r="O201" s="11" t="s">
        <v>1378</v>
      </c>
      <c r="P201" s="13" t="s">
        <v>1318</v>
      </c>
    </row>
    <row r="202">
      <c r="A202" s="11" t="s">
        <v>2663</v>
      </c>
      <c r="B202" s="9">
        <v>0.3</v>
      </c>
      <c r="C202" s="8"/>
      <c r="D202" s="8"/>
      <c r="E202" s="8"/>
      <c r="F202" s="12" t="b">
        <v>0</v>
      </c>
      <c r="G202" s="11" t="s">
        <v>2664</v>
      </c>
      <c r="H202" s="12"/>
      <c r="I202" s="12"/>
      <c r="J202" s="11" t="s">
        <v>1298</v>
      </c>
      <c r="K202" s="12"/>
      <c r="L202" s="11" t="s">
        <v>2665</v>
      </c>
      <c r="M202" s="11" t="s">
        <v>2666</v>
      </c>
      <c r="N202" s="11" t="s">
        <v>2667</v>
      </c>
      <c r="O202" s="11" t="s">
        <v>1573</v>
      </c>
      <c r="P202" s="13" t="s">
        <v>1282</v>
      </c>
    </row>
    <row r="203">
      <c r="A203" s="11" t="s">
        <v>2668</v>
      </c>
      <c r="B203" s="9">
        <v>0.3</v>
      </c>
      <c r="C203" s="8"/>
      <c r="D203" s="8"/>
      <c r="E203" s="8"/>
      <c r="F203" s="12" t="b">
        <v>0</v>
      </c>
      <c r="G203" s="11" t="s">
        <v>2669</v>
      </c>
      <c r="H203" s="12"/>
      <c r="I203" s="12"/>
      <c r="J203" s="11" t="s">
        <v>1345</v>
      </c>
      <c r="K203" s="12"/>
      <c r="L203" s="11" t="s">
        <v>2670</v>
      </c>
      <c r="M203" s="11" t="s">
        <v>2671</v>
      </c>
      <c r="N203" s="11" t="s">
        <v>2672</v>
      </c>
      <c r="O203" s="11" t="s">
        <v>1326</v>
      </c>
      <c r="P203" s="13" t="s">
        <v>1318</v>
      </c>
    </row>
    <row r="204">
      <c r="A204" s="11" t="s">
        <v>2673</v>
      </c>
      <c r="B204" s="9">
        <v>0.3</v>
      </c>
      <c r="C204" s="8"/>
      <c r="D204" s="8"/>
      <c r="E204" s="8"/>
      <c r="F204" s="12" t="b">
        <v>0</v>
      </c>
      <c r="G204" s="11" t="s">
        <v>2674</v>
      </c>
      <c r="H204" s="12"/>
      <c r="I204" s="11" t="s">
        <v>1344</v>
      </c>
      <c r="J204" s="11" t="s">
        <v>1345</v>
      </c>
      <c r="K204" s="11" t="s">
        <v>1529</v>
      </c>
      <c r="L204" s="11" t="s">
        <v>2675</v>
      </c>
      <c r="M204" s="11" t="s">
        <v>2676</v>
      </c>
      <c r="N204" s="11" t="s">
        <v>2677</v>
      </c>
      <c r="O204" s="11" t="s">
        <v>1378</v>
      </c>
      <c r="P204" s="13" t="s">
        <v>1318</v>
      </c>
    </row>
    <row r="205">
      <c r="A205" s="11" t="s">
        <v>2678</v>
      </c>
      <c r="B205" s="9">
        <v>0.2</v>
      </c>
      <c r="C205" s="8"/>
      <c r="D205" s="8" t="s">
        <v>2679</v>
      </c>
      <c r="E205" s="8" t="s">
        <v>2680</v>
      </c>
      <c r="F205" s="12" t="b">
        <v>0</v>
      </c>
      <c r="G205" s="11" t="s">
        <v>2680</v>
      </c>
      <c r="H205" s="11" t="s">
        <v>2681</v>
      </c>
      <c r="I205" s="11" t="s">
        <v>2252</v>
      </c>
      <c r="J205" s="11" t="s">
        <v>1488</v>
      </c>
      <c r="K205" s="12"/>
      <c r="L205" s="11" t="s">
        <v>2682</v>
      </c>
      <c r="M205" s="11" t="s">
        <v>2683</v>
      </c>
      <c r="N205" s="11" t="s">
        <v>2684</v>
      </c>
      <c r="O205" s="11" t="s">
        <v>1281</v>
      </c>
      <c r="P205" s="13" t="s">
        <v>1318</v>
      </c>
    </row>
    <row r="206">
      <c r="A206" s="11" t="s">
        <v>2685</v>
      </c>
      <c r="B206" s="9">
        <v>0.2</v>
      </c>
      <c r="C206" s="8"/>
      <c r="D206" s="8" t="s">
        <v>2686</v>
      </c>
      <c r="E206" s="8" t="s">
        <v>2687</v>
      </c>
      <c r="F206" s="12" t="b">
        <v>0</v>
      </c>
      <c r="G206" s="11" t="s">
        <v>2687</v>
      </c>
      <c r="H206" s="11" t="s">
        <v>2688</v>
      </c>
      <c r="I206" s="11" t="s">
        <v>1407</v>
      </c>
      <c r="J206" s="11" t="s">
        <v>2204</v>
      </c>
      <c r="K206" s="11" t="s">
        <v>1289</v>
      </c>
      <c r="L206" s="11" t="s">
        <v>2689</v>
      </c>
      <c r="M206" s="11" t="s">
        <v>2690</v>
      </c>
      <c r="N206" s="11" t="s">
        <v>2691</v>
      </c>
      <c r="O206" s="11" t="s">
        <v>1533</v>
      </c>
      <c r="P206" s="13" t="s">
        <v>1282</v>
      </c>
    </row>
    <row r="207">
      <c r="A207" s="11" t="s">
        <v>2692</v>
      </c>
      <c r="B207" s="9">
        <v>0.2</v>
      </c>
      <c r="C207" s="8"/>
      <c r="D207" s="8" t="s">
        <v>2693</v>
      </c>
      <c r="E207" s="8" t="s">
        <v>2694</v>
      </c>
      <c r="F207" s="12" t="b">
        <v>0</v>
      </c>
      <c r="G207" s="11" t="s">
        <v>2694</v>
      </c>
      <c r="H207" s="11" t="s">
        <v>2695</v>
      </c>
      <c r="I207" s="11" t="s">
        <v>2696</v>
      </c>
      <c r="J207" s="11" t="s">
        <v>1488</v>
      </c>
      <c r="K207" s="12"/>
      <c r="L207" s="11" t="s">
        <v>2697</v>
      </c>
      <c r="M207" s="11" t="s">
        <v>2698</v>
      </c>
      <c r="N207" s="11" t="s">
        <v>2699</v>
      </c>
      <c r="O207" s="11" t="s">
        <v>1326</v>
      </c>
      <c r="P207" s="13" t="s">
        <v>1318</v>
      </c>
    </row>
    <row r="208">
      <c r="A208" s="11" t="s">
        <v>2700</v>
      </c>
      <c r="B208" s="9">
        <v>0.2</v>
      </c>
      <c r="C208" s="8"/>
      <c r="D208" s="8" t="s">
        <v>2701</v>
      </c>
      <c r="E208" s="8" t="s">
        <v>2702</v>
      </c>
      <c r="F208" s="12" t="b">
        <v>0</v>
      </c>
      <c r="G208" s="11" t="s">
        <v>2703</v>
      </c>
      <c r="H208" s="12"/>
      <c r="I208" s="12"/>
      <c r="J208" s="11" t="s">
        <v>1298</v>
      </c>
      <c r="K208" s="12"/>
      <c r="L208" s="11" t="s">
        <v>2704</v>
      </c>
      <c r="M208" s="11" t="s">
        <v>2705</v>
      </c>
      <c r="N208" s="11" t="s">
        <v>2706</v>
      </c>
      <c r="O208" s="11" t="s">
        <v>1293</v>
      </c>
      <c r="P208" s="13" t="s">
        <v>1318</v>
      </c>
    </row>
    <row r="209">
      <c r="A209" s="11" t="s">
        <v>2707</v>
      </c>
      <c r="B209" s="9">
        <v>0.2</v>
      </c>
      <c r="C209" s="17"/>
      <c r="D209" s="17"/>
      <c r="E209" s="17"/>
      <c r="F209" s="8" t="b">
        <v>0</v>
      </c>
      <c r="G209" s="11" t="s">
        <v>2708</v>
      </c>
      <c r="H209" s="12"/>
      <c r="I209" s="11" t="s">
        <v>1344</v>
      </c>
      <c r="J209" s="11" t="s">
        <v>1552</v>
      </c>
      <c r="K209" s="11" t="s">
        <v>1313</v>
      </c>
      <c r="L209" s="11" t="s">
        <v>2709</v>
      </c>
      <c r="M209" s="11" t="s">
        <v>2710</v>
      </c>
      <c r="N209" s="11" t="s">
        <v>2711</v>
      </c>
      <c r="O209" s="11" t="s">
        <v>1326</v>
      </c>
      <c r="P209" s="13" t="s">
        <v>1318</v>
      </c>
    </row>
    <row r="210">
      <c r="A210" s="11" t="s">
        <v>2712</v>
      </c>
      <c r="B210" s="9">
        <v>0.2</v>
      </c>
      <c r="C210" s="8"/>
      <c r="D210" s="8"/>
      <c r="E210" s="8"/>
      <c r="F210" s="8" t="b">
        <v>0</v>
      </c>
      <c r="G210" s="11" t="s">
        <v>2713</v>
      </c>
      <c r="H210" s="12"/>
      <c r="I210" s="12"/>
      <c r="J210" s="11" t="s">
        <v>1561</v>
      </c>
      <c r="K210" s="12"/>
      <c r="L210" s="11" t="s">
        <v>2714</v>
      </c>
      <c r="M210" s="11" t="s">
        <v>2715</v>
      </c>
      <c r="N210" s="11" t="s">
        <v>2716</v>
      </c>
      <c r="O210" s="11" t="s">
        <v>1673</v>
      </c>
      <c r="P210" s="13" t="s">
        <v>1318</v>
      </c>
    </row>
    <row r="211">
      <c r="A211" s="11" t="s">
        <v>2717</v>
      </c>
      <c r="B211" s="9">
        <v>0.2</v>
      </c>
      <c r="C211" s="8"/>
      <c r="D211" s="8"/>
      <c r="E211" s="8"/>
      <c r="F211" s="8" t="b">
        <v>0</v>
      </c>
      <c r="G211" s="11" t="s">
        <v>2718</v>
      </c>
      <c r="H211" s="12"/>
      <c r="I211" s="11" t="s">
        <v>1344</v>
      </c>
      <c r="J211" s="11" t="s">
        <v>1345</v>
      </c>
      <c r="K211" s="11" t="s">
        <v>1313</v>
      </c>
      <c r="L211" s="11" t="s">
        <v>2719</v>
      </c>
      <c r="M211" s="11" t="s">
        <v>2720</v>
      </c>
      <c r="N211" s="11" t="s">
        <v>2721</v>
      </c>
      <c r="O211" s="11" t="s">
        <v>1326</v>
      </c>
      <c r="P211" s="13" t="s">
        <v>1318</v>
      </c>
    </row>
    <row r="212">
      <c r="A212" s="11" t="s">
        <v>2722</v>
      </c>
      <c r="B212" s="9">
        <v>0.2</v>
      </c>
      <c r="C212" s="8"/>
      <c r="D212" s="8"/>
      <c r="E212" s="8"/>
      <c r="F212" s="8" t="b">
        <v>0</v>
      </c>
      <c r="G212" s="11" t="s">
        <v>2723</v>
      </c>
      <c r="H212" s="12"/>
      <c r="I212" s="11" t="s">
        <v>1344</v>
      </c>
      <c r="J212" s="12"/>
      <c r="K212" s="11" t="s">
        <v>1313</v>
      </c>
      <c r="L212" s="11" t="s">
        <v>2724</v>
      </c>
      <c r="M212" s="11" t="s">
        <v>2725</v>
      </c>
      <c r="N212" s="11" t="s">
        <v>2726</v>
      </c>
      <c r="O212" s="11" t="s">
        <v>1326</v>
      </c>
      <c r="P212" s="13" t="s">
        <v>1318</v>
      </c>
    </row>
    <row r="213">
      <c r="A213" s="11" t="s">
        <v>2727</v>
      </c>
      <c r="B213" s="9">
        <v>0.2</v>
      </c>
      <c r="C213" s="8"/>
      <c r="D213" s="8"/>
      <c r="E213" s="8"/>
      <c r="F213" s="8" t="b">
        <v>0</v>
      </c>
      <c r="G213" s="11" t="s">
        <v>2728</v>
      </c>
      <c r="H213" s="12"/>
      <c r="I213" s="11" t="s">
        <v>1344</v>
      </c>
      <c r="J213" s="11" t="s">
        <v>2082</v>
      </c>
      <c r="K213" s="11" t="s">
        <v>1313</v>
      </c>
      <c r="L213" s="11" t="s">
        <v>2729</v>
      </c>
      <c r="M213" s="11" t="s">
        <v>2730</v>
      </c>
      <c r="N213" s="11" t="s">
        <v>2731</v>
      </c>
      <c r="O213" s="11" t="s">
        <v>1515</v>
      </c>
      <c r="P213" s="13" t="s">
        <v>1318</v>
      </c>
    </row>
    <row r="214">
      <c r="A214" s="11" t="s">
        <v>2732</v>
      </c>
      <c r="B214" s="9">
        <v>0.2</v>
      </c>
      <c r="C214" s="8"/>
      <c r="D214" s="8"/>
      <c r="E214" s="8"/>
      <c r="F214" s="12" t="b">
        <v>0</v>
      </c>
      <c r="G214" s="11" t="s">
        <v>2733</v>
      </c>
      <c r="H214" s="12"/>
      <c r="I214" s="11" t="s">
        <v>1344</v>
      </c>
      <c r="J214" s="11" t="s">
        <v>1276</v>
      </c>
      <c r="K214" s="12"/>
      <c r="L214" s="11" t="s">
        <v>2734</v>
      </c>
      <c r="M214" s="11" t="s">
        <v>2735</v>
      </c>
      <c r="N214" s="11" t="s">
        <v>2736</v>
      </c>
      <c r="O214" s="11" t="s">
        <v>1378</v>
      </c>
      <c r="P214" s="13" t="s">
        <v>1282</v>
      </c>
    </row>
    <row r="215">
      <c r="A215" s="11" t="s">
        <v>2737</v>
      </c>
      <c r="B215" s="9">
        <v>0.2</v>
      </c>
      <c r="C215" s="8"/>
      <c r="D215" s="8"/>
      <c r="E215" s="8"/>
      <c r="F215" s="12" t="b">
        <v>0</v>
      </c>
      <c r="G215" s="11" t="s">
        <v>2738</v>
      </c>
      <c r="H215" s="12"/>
      <c r="I215" s="12"/>
      <c r="J215" s="11" t="s">
        <v>1298</v>
      </c>
      <c r="K215" s="12"/>
      <c r="L215" s="11" t="s">
        <v>2739</v>
      </c>
      <c r="M215" s="12"/>
      <c r="N215" s="11" t="s">
        <v>2740</v>
      </c>
      <c r="O215" s="11" t="s">
        <v>1302</v>
      </c>
      <c r="P215" s="13" t="s">
        <v>1318</v>
      </c>
    </row>
    <row r="216">
      <c r="A216" s="11" t="s">
        <v>2741</v>
      </c>
      <c r="B216" s="9">
        <v>0.2</v>
      </c>
      <c r="C216" s="8"/>
      <c r="D216" s="8"/>
      <c r="E216" s="8"/>
      <c r="F216" s="12" t="b">
        <v>0</v>
      </c>
      <c r="G216" s="11" t="s">
        <v>2742</v>
      </c>
      <c r="H216" s="12"/>
      <c r="I216" s="11" t="s">
        <v>1407</v>
      </c>
      <c r="J216" s="11" t="s">
        <v>1488</v>
      </c>
      <c r="K216" s="12"/>
      <c r="L216" s="11" t="s">
        <v>2743</v>
      </c>
      <c r="M216" s="11" t="s">
        <v>2744</v>
      </c>
      <c r="N216" s="11" t="s">
        <v>2745</v>
      </c>
      <c r="O216" s="11" t="s">
        <v>1281</v>
      </c>
      <c r="P216" s="13" t="s">
        <v>1318</v>
      </c>
    </row>
    <row r="217">
      <c r="A217" s="11" t="s">
        <v>2746</v>
      </c>
      <c r="B217" s="9">
        <v>0.2</v>
      </c>
      <c r="C217" s="8"/>
      <c r="D217" s="8"/>
      <c r="E217" s="8"/>
      <c r="F217" s="12" t="b">
        <v>0</v>
      </c>
      <c r="G217" s="11" t="s">
        <v>2747</v>
      </c>
      <c r="H217" s="12"/>
      <c r="I217" s="12"/>
      <c r="J217" s="11" t="s">
        <v>2425</v>
      </c>
      <c r="K217" s="12"/>
      <c r="L217" s="11" t="s">
        <v>2748</v>
      </c>
      <c r="M217" s="11" t="s">
        <v>2749</v>
      </c>
      <c r="N217" s="11" t="s">
        <v>2750</v>
      </c>
      <c r="O217" s="11" t="s">
        <v>1573</v>
      </c>
      <c r="P217" s="13" t="s">
        <v>1318</v>
      </c>
    </row>
    <row r="218">
      <c r="A218" s="11" t="s">
        <v>2751</v>
      </c>
      <c r="B218" s="9">
        <v>0.2</v>
      </c>
      <c r="C218" s="8"/>
      <c r="D218" s="8"/>
      <c r="E218" s="8"/>
      <c r="F218" s="12" t="b">
        <v>0</v>
      </c>
      <c r="G218" s="11" t="s">
        <v>2752</v>
      </c>
      <c r="H218" s="12"/>
      <c r="I218" s="12"/>
      <c r="J218" s="11" t="s">
        <v>2425</v>
      </c>
      <c r="K218" s="11" t="s">
        <v>1277</v>
      </c>
      <c r="L218" s="11" t="s">
        <v>2753</v>
      </c>
      <c r="M218" s="11" t="s">
        <v>2754</v>
      </c>
      <c r="N218" s="11" t="s">
        <v>2755</v>
      </c>
      <c r="O218" s="11" t="s">
        <v>1573</v>
      </c>
      <c r="P218" s="13" t="s">
        <v>1318</v>
      </c>
    </row>
    <row r="219">
      <c r="A219" s="11" t="s">
        <v>2756</v>
      </c>
      <c r="B219" s="9">
        <v>0.2</v>
      </c>
      <c r="C219" s="8"/>
      <c r="D219" s="8"/>
      <c r="E219" s="8"/>
      <c r="F219" s="12" t="b">
        <v>0</v>
      </c>
      <c r="G219" s="11" t="s">
        <v>2757</v>
      </c>
      <c r="H219" s="12"/>
      <c r="I219" s="11" t="s">
        <v>1344</v>
      </c>
      <c r="J219" s="11" t="s">
        <v>2425</v>
      </c>
      <c r="K219" s="12"/>
      <c r="L219" s="11" t="s">
        <v>2758</v>
      </c>
      <c r="M219" s="11" t="s">
        <v>2759</v>
      </c>
      <c r="N219" s="11" t="s">
        <v>2760</v>
      </c>
      <c r="O219" s="11" t="s">
        <v>1281</v>
      </c>
      <c r="P219" s="13" t="s">
        <v>1318</v>
      </c>
    </row>
    <row r="220">
      <c r="A220" s="11" t="s">
        <v>2761</v>
      </c>
      <c r="B220" s="9">
        <v>0.2</v>
      </c>
      <c r="C220" s="8"/>
      <c r="D220" s="8"/>
      <c r="E220" s="8"/>
      <c r="F220" s="12" t="b">
        <v>0</v>
      </c>
      <c r="G220" s="11" t="s">
        <v>2762</v>
      </c>
      <c r="H220" s="12"/>
      <c r="I220" s="11" t="s">
        <v>1344</v>
      </c>
      <c r="J220" s="11" t="s">
        <v>1276</v>
      </c>
      <c r="K220" s="11" t="s">
        <v>1313</v>
      </c>
      <c r="L220" s="11" t="s">
        <v>2763</v>
      </c>
      <c r="M220" s="11" t="s">
        <v>2764</v>
      </c>
      <c r="N220" s="11" t="s">
        <v>2765</v>
      </c>
      <c r="O220" s="11" t="s">
        <v>2588</v>
      </c>
      <c r="P220" s="13" t="s">
        <v>1318</v>
      </c>
    </row>
    <row r="221">
      <c r="A221" s="11" t="s">
        <v>2766</v>
      </c>
      <c r="B221" s="9">
        <v>0.2</v>
      </c>
      <c r="C221" s="8"/>
      <c r="D221" s="8"/>
      <c r="E221" s="8"/>
      <c r="F221" s="12" t="b">
        <v>0</v>
      </c>
      <c r="G221" s="11" t="s">
        <v>2767</v>
      </c>
      <c r="H221" s="12"/>
      <c r="I221" s="11" t="s">
        <v>1344</v>
      </c>
      <c r="J221" s="11" t="s">
        <v>2082</v>
      </c>
      <c r="K221" s="12"/>
      <c r="L221" s="11" t="s">
        <v>2768</v>
      </c>
      <c r="M221" s="11" t="s">
        <v>2769</v>
      </c>
      <c r="N221" s="11" t="s">
        <v>2770</v>
      </c>
      <c r="O221" s="11" t="s">
        <v>1326</v>
      </c>
      <c r="P221" s="13" t="s">
        <v>1318</v>
      </c>
    </row>
    <row r="222">
      <c r="A222" s="11" t="s">
        <v>2771</v>
      </c>
      <c r="B222" s="9">
        <v>0.2</v>
      </c>
      <c r="C222" s="8"/>
      <c r="D222" s="8"/>
      <c r="E222" s="8"/>
      <c r="F222" s="12" t="b">
        <v>0</v>
      </c>
      <c r="G222" s="11" t="s">
        <v>2772</v>
      </c>
      <c r="H222" s="11" t="s">
        <v>2773</v>
      </c>
      <c r="I222" s="11" t="s">
        <v>1344</v>
      </c>
      <c r="J222" s="11" t="s">
        <v>2377</v>
      </c>
      <c r="K222" s="12"/>
      <c r="L222" s="11" t="s">
        <v>2774</v>
      </c>
      <c r="M222" s="11" t="s">
        <v>2775</v>
      </c>
      <c r="N222" s="11" t="s">
        <v>2776</v>
      </c>
      <c r="O222" s="11" t="s">
        <v>1281</v>
      </c>
      <c r="P222" s="13" t="s">
        <v>1318</v>
      </c>
    </row>
    <row r="223">
      <c r="A223" s="11" t="s">
        <v>2777</v>
      </c>
      <c r="B223" s="9">
        <v>0.2</v>
      </c>
      <c r="C223" s="8"/>
      <c r="D223" s="8"/>
      <c r="E223" s="8"/>
      <c r="F223" s="12" t="b">
        <v>0</v>
      </c>
      <c r="G223" s="11" t="s">
        <v>2778</v>
      </c>
      <c r="H223" s="12"/>
      <c r="I223" s="11" t="s">
        <v>1344</v>
      </c>
      <c r="J223" s="11" t="s">
        <v>1561</v>
      </c>
      <c r="K223" s="11" t="s">
        <v>1313</v>
      </c>
      <c r="L223" s="11" t="s">
        <v>2779</v>
      </c>
      <c r="M223" s="11" t="s">
        <v>2780</v>
      </c>
      <c r="N223" s="11" t="s">
        <v>2781</v>
      </c>
      <c r="O223" s="11" t="s">
        <v>2641</v>
      </c>
      <c r="P223" s="13" t="s">
        <v>1318</v>
      </c>
    </row>
    <row r="224">
      <c r="A224" s="11" t="s">
        <v>2782</v>
      </c>
      <c r="B224" s="9">
        <v>0.2</v>
      </c>
      <c r="C224" s="8"/>
      <c r="D224" s="8"/>
      <c r="E224" s="8"/>
      <c r="F224" s="12" t="b">
        <v>0</v>
      </c>
      <c r="G224" s="11" t="s">
        <v>2783</v>
      </c>
      <c r="H224" s="12"/>
      <c r="I224" s="11" t="s">
        <v>1344</v>
      </c>
      <c r="J224" s="11" t="s">
        <v>1345</v>
      </c>
      <c r="K224" s="11" t="s">
        <v>1529</v>
      </c>
      <c r="L224" s="11" t="s">
        <v>2784</v>
      </c>
      <c r="M224" s="11" t="s">
        <v>2785</v>
      </c>
      <c r="N224" s="11" t="s">
        <v>2786</v>
      </c>
      <c r="O224" s="11" t="s">
        <v>1474</v>
      </c>
      <c r="P224" s="13" t="s">
        <v>1318</v>
      </c>
    </row>
    <row r="225">
      <c r="A225" s="11" t="s">
        <v>2787</v>
      </c>
      <c r="B225" s="9">
        <v>0.2</v>
      </c>
      <c r="C225" s="8"/>
      <c r="D225" s="8"/>
      <c r="E225" s="8"/>
      <c r="F225" s="12" t="b">
        <v>0</v>
      </c>
      <c r="G225" s="11" t="s">
        <v>2788</v>
      </c>
      <c r="H225" s="12"/>
      <c r="I225" s="11" t="s">
        <v>1344</v>
      </c>
      <c r="J225" s="11" t="s">
        <v>2377</v>
      </c>
      <c r="K225" s="11" t="s">
        <v>1313</v>
      </c>
      <c r="L225" s="11" t="s">
        <v>2789</v>
      </c>
      <c r="M225" s="11" t="s">
        <v>2790</v>
      </c>
      <c r="N225" s="11" t="s">
        <v>2791</v>
      </c>
      <c r="O225" s="11" t="s">
        <v>1326</v>
      </c>
      <c r="P225" s="13" t="s">
        <v>1318</v>
      </c>
    </row>
    <row r="226">
      <c r="A226" s="11" t="s">
        <v>2792</v>
      </c>
      <c r="B226" s="9">
        <v>0.2</v>
      </c>
      <c r="C226" s="8"/>
      <c r="D226" s="8"/>
      <c r="E226" s="8"/>
      <c r="F226" s="12" t="b">
        <v>0</v>
      </c>
      <c r="G226" s="11" t="s">
        <v>2793</v>
      </c>
      <c r="H226" s="12"/>
      <c r="I226" s="11" t="s">
        <v>1344</v>
      </c>
      <c r="J226" s="11" t="s">
        <v>1345</v>
      </c>
      <c r="K226" s="12"/>
      <c r="L226" s="11" t="s">
        <v>2794</v>
      </c>
      <c r="M226" s="11" t="s">
        <v>2795</v>
      </c>
      <c r="N226" s="11" t="s">
        <v>2796</v>
      </c>
      <c r="O226" s="11" t="s">
        <v>2797</v>
      </c>
      <c r="P226" s="11"/>
    </row>
    <row r="227">
      <c r="A227" s="11" t="s">
        <v>2798</v>
      </c>
      <c r="B227" s="9">
        <v>0.2</v>
      </c>
      <c r="C227" s="8"/>
      <c r="D227" s="8"/>
      <c r="E227" s="8"/>
      <c r="F227" s="12" t="b">
        <v>0</v>
      </c>
      <c r="G227" s="11" t="s">
        <v>2799</v>
      </c>
      <c r="H227" s="12"/>
      <c r="I227" s="11" t="s">
        <v>1407</v>
      </c>
      <c r="J227" s="11" t="s">
        <v>1298</v>
      </c>
      <c r="K227" s="12"/>
      <c r="L227" s="11" t="s">
        <v>2800</v>
      </c>
      <c r="M227" s="11" t="s">
        <v>2801</v>
      </c>
      <c r="N227" s="11" t="s">
        <v>2802</v>
      </c>
      <c r="O227" s="11" t="s">
        <v>1573</v>
      </c>
      <c r="P227" s="13" t="s">
        <v>1318</v>
      </c>
    </row>
    <row r="228">
      <c r="A228" s="11" t="s">
        <v>2803</v>
      </c>
      <c r="B228" s="9">
        <v>0.1</v>
      </c>
      <c r="C228" s="8"/>
      <c r="D228" s="8" t="s">
        <v>2804</v>
      </c>
      <c r="E228" s="8" t="s">
        <v>2805</v>
      </c>
      <c r="F228" s="12" t="b">
        <v>0</v>
      </c>
      <c r="G228" s="11" t="s">
        <v>2805</v>
      </c>
      <c r="H228" s="12"/>
      <c r="I228" s="11" t="s">
        <v>1407</v>
      </c>
      <c r="J228" s="11" t="s">
        <v>1345</v>
      </c>
      <c r="K228" s="12"/>
      <c r="L228" s="11" t="s">
        <v>2806</v>
      </c>
      <c r="M228" s="11" t="s">
        <v>2807</v>
      </c>
      <c r="N228" s="11" t="s">
        <v>2808</v>
      </c>
      <c r="O228" s="11" t="s">
        <v>1533</v>
      </c>
      <c r="P228" s="13" t="s">
        <v>1318</v>
      </c>
    </row>
    <row r="229">
      <c r="A229" s="11" t="s">
        <v>2809</v>
      </c>
      <c r="B229" s="9">
        <v>0.1</v>
      </c>
      <c r="C229" s="8" t="s">
        <v>1295</v>
      </c>
      <c r="D229" s="8" t="s">
        <v>2810</v>
      </c>
      <c r="E229" s="8" t="s">
        <v>2811</v>
      </c>
      <c r="F229" s="8" t="b">
        <v>0</v>
      </c>
      <c r="G229" s="11" t="s">
        <v>2811</v>
      </c>
      <c r="H229" s="12"/>
      <c r="I229" s="12"/>
      <c r="J229" s="11" t="s">
        <v>1345</v>
      </c>
      <c r="K229" s="12"/>
      <c r="L229" s="11" t="s">
        <v>2812</v>
      </c>
      <c r="M229" s="12"/>
      <c r="N229" s="11" t="s">
        <v>2813</v>
      </c>
      <c r="O229" s="11" t="s">
        <v>2302</v>
      </c>
      <c r="P229" s="13" t="s">
        <v>1282</v>
      </c>
    </row>
    <row r="230">
      <c r="A230" s="11" t="s">
        <v>2814</v>
      </c>
      <c r="B230" s="9">
        <v>0.1</v>
      </c>
      <c r="C230" s="8" t="s">
        <v>2815</v>
      </c>
      <c r="D230" s="8" t="s">
        <v>2816</v>
      </c>
      <c r="E230" s="8" t="s">
        <v>2817</v>
      </c>
      <c r="F230" s="12" t="b">
        <v>0</v>
      </c>
      <c r="G230" s="11" t="s">
        <v>2817</v>
      </c>
      <c r="H230" s="12"/>
      <c r="I230" s="11" t="s">
        <v>1344</v>
      </c>
      <c r="J230" s="11" t="s">
        <v>1345</v>
      </c>
      <c r="K230" s="12"/>
      <c r="L230" s="11" t="s">
        <v>2818</v>
      </c>
      <c r="M230" s="11" t="s">
        <v>2819</v>
      </c>
      <c r="N230" s="11" t="s">
        <v>2820</v>
      </c>
      <c r="O230" s="11" t="s">
        <v>2033</v>
      </c>
      <c r="P230" s="13" t="s">
        <v>1318</v>
      </c>
    </row>
    <row r="231">
      <c r="A231" s="11" t="s">
        <v>2821</v>
      </c>
      <c r="B231" s="9">
        <v>0.1</v>
      </c>
      <c r="C231" s="8"/>
      <c r="D231" s="8" t="s">
        <v>2822</v>
      </c>
      <c r="E231" s="8" t="s">
        <v>2823</v>
      </c>
      <c r="F231" s="12" t="b">
        <v>0</v>
      </c>
      <c r="G231" s="11" t="s">
        <v>2823</v>
      </c>
      <c r="H231" s="12"/>
      <c r="I231" s="11" t="s">
        <v>1344</v>
      </c>
      <c r="J231" s="11" t="s">
        <v>1345</v>
      </c>
      <c r="K231" s="12"/>
      <c r="L231" s="11" t="s">
        <v>2824</v>
      </c>
      <c r="M231" s="11" t="s">
        <v>2825</v>
      </c>
      <c r="N231" s="11" t="s">
        <v>2826</v>
      </c>
      <c r="O231" s="11" t="s">
        <v>1378</v>
      </c>
      <c r="P231" s="11"/>
    </row>
    <row r="232">
      <c r="A232" s="11" t="s">
        <v>2827</v>
      </c>
      <c r="B232" s="9">
        <v>0.1</v>
      </c>
      <c r="C232" s="8"/>
      <c r="D232" s="8"/>
      <c r="E232" s="8"/>
      <c r="F232" s="8" t="b">
        <v>0</v>
      </c>
      <c r="G232" s="11" t="s">
        <v>2828</v>
      </c>
      <c r="H232" s="11" t="s">
        <v>2829</v>
      </c>
      <c r="I232" s="11" t="s">
        <v>1344</v>
      </c>
      <c r="J232" s="11" t="s">
        <v>2425</v>
      </c>
      <c r="K232" s="12"/>
      <c r="L232" s="11" t="s">
        <v>2830</v>
      </c>
      <c r="M232" s="11" t="s">
        <v>2831</v>
      </c>
      <c r="N232" s="11" t="s">
        <v>2832</v>
      </c>
      <c r="O232" s="11" t="s">
        <v>1515</v>
      </c>
      <c r="P232" s="13" t="s">
        <v>1318</v>
      </c>
    </row>
    <row r="233">
      <c r="A233" s="11" t="s">
        <v>2833</v>
      </c>
      <c r="B233" s="9">
        <v>0.1</v>
      </c>
      <c r="C233" s="8"/>
      <c r="D233" s="8"/>
      <c r="E233" s="8"/>
      <c r="F233" s="8" t="b">
        <v>0</v>
      </c>
      <c r="G233" s="11" t="s">
        <v>2834</v>
      </c>
      <c r="H233" s="12"/>
      <c r="I233" s="12"/>
      <c r="J233" s="11" t="s">
        <v>2377</v>
      </c>
      <c r="K233" s="12"/>
      <c r="L233" s="11" t="s">
        <v>2835</v>
      </c>
      <c r="M233" s="11" t="s">
        <v>2836</v>
      </c>
      <c r="N233" s="11" t="s">
        <v>2837</v>
      </c>
      <c r="O233" s="11" t="s">
        <v>1573</v>
      </c>
      <c r="P233" s="13" t="s">
        <v>1318</v>
      </c>
    </row>
    <row r="234">
      <c r="A234" s="11" t="s">
        <v>2838</v>
      </c>
      <c r="B234" s="9">
        <v>0.1</v>
      </c>
      <c r="C234" s="8"/>
      <c r="D234" s="8"/>
      <c r="E234" s="8"/>
      <c r="F234" s="8" t="b">
        <v>0</v>
      </c>
      <c r="G234" s="11" t="s">
        <v>2839</v>
      </c>
      <c r="H234" s="11" t="s">
        <v>2840</v>
      </c>
      <c r="I234" s="11" t="s">
        <v>1344</v>
      </c>
      <c r="J234" s="11" t="s">
        <v>2377</v>
      </c>
      <c r="K234" s="12"/>
      <c r="L234" s="11" t="s">
        <v>2841</v>
      </c>
      <c r="M234" s="11" t="s">
        <v>2842</v>
      </c>
      <c r="N234" s="11" t="s">
        <v>2843</v>
      </c>
      <c r="O234" s="11" t="s">
        <v>2844</v>
      </c>
      <c r="P234" s="13" t="s">
        <v>1318</v>
      </c>
    </row>
    <row r="235">
      <c r="A235" s="11" t="s">
        <v>2845</v>
      </c>
      <c r="B235" s="9">
        <v>0.1</v>
      </c>
      <c r="C235" s="8"/>
      <c r="D235" s="8"/>
      <c r="E235" s="8"/>
      <c r="F235" s="8" t="b">
        <v>0</v>
      </c>
      <c r="G235" s="11" t="s">
        <v>2846</v>
      </c>
      <c r="H235" s="11" t="s">
        <v>2847</v>
      </c>
      <c r="I235" s="11" t="s">
        <v>1407</v>
      </c>
      <c r="J235" s="11" t="s">
        <v>2082</v>
      </c>
      <c r="K235" s="12"/>
      <c r="L235" s="11" t="s">
        <v>2848</v>
      </c>
      <c r="M235" s="11" t="s">
        <v>2849</v>
      </c>
      <c r="N235" s="11" t="s">
        <v>2850</v>
      </c>
      <c r="O235" s="11" t="s">
        <v>2851</v>
      </c>
      <c r="P235" s="13" t="s">
        <v>1318</v>
      </c>
    </row>
    <row r="236">
      <c r="A236" s="11" t="s">
        <v>2852</v>
      </c>
      <c r="B236" s="9">
        <v>0.1</v>
      </c>
      <c r="C236" s="8"/>
      <c r="D236" s="8"/>
      <c r="E236" s="8"/>
      <c r="F236" s="8" t="b">
        <v>0</v>
      </c>
      <c r="G236" s="11" t="s">
        <v>2853</v>
      </c>
      <c r="H236" s="12"/>
      <c r="I236" s="11" t="s">
        <v>1344</v>
      </c>
      <c r="J236" s="11" t="s">
        <v>2082</v>
      </c>
      <c r="K236" s="12"/>
      <c r="L236" s="11" t="s">
        <v>2854</v>
      </c>
      <c r="M236" s="11" t="s">
        <v>2855</v>
      </c>
      <c r="N236" s="11" t="s">
        <v>2856</v>
      </c>
      <c r="O236" s="11" t="s">
        <v>1909</v>
      </c>
      <c r="P236" s="13" t="s">
        <v>1318</v>
      </c>
    </row>
    <row r="237">
      <c r="A237" s="11" t="s">
        <v>2857</v>
      </c>
      <c r="B237" s="9">
        <v>0.1</v>
      </c>
      <c r="C237" s="8"/>
      <c r="D237" s="8"/>
      <c r="E237" s="8"/>
      <c r="F237" s="8" t="b">
        <v>0</v>
      </c>
      <c r="G237" s="11" t="s">
        <v>2858</v>
      </c>
      <c r="H237" s="12"/>
      <c r="I237" s="11" t="s">
        <v>1344</v>
      </c>
      <c r="J237" s="11" t="s">
        <v>2425</v>
      </c>
      <c r="K237" s="12"/>
      <c r="L237" s="11" t="s">
        <v>2859</v>
      </c>
      <c r="M237" s="11" t="s">
        <v>2860</v>
      </c>
      <c r="N237" s="11" t="s">
        <v>2861</v>
      </c>
      <c r="O237" s="11" t="s">
        <v>2862</v>
      </c>
      <c r="P237" s="13" t="s">
        <v>1318</v>
      </c>
    </row>
    <row r="238">
      <c r="A238" s="11" t="s">
        <v>2863</v>
      </c>
      <c r="B238" s="9">
        <v>0.1</v>
      </c>
      <c r="C238" s="8"/>
      <c r="D238" s="8"/>
      <c r="E238" s="8"/>
      <c r="F238" s="8" t="b">
        <v>0</v>
      </c>
      <c r="G238" s="11" t="s">
        <v>2864</v>
      </c>
      <c r="H238" s="11" t="s">
        <v>2865</v>
      </c>
      <c r="I238" s="11" t="s">
        <v>1344</v>
      </c>
      <c r="J238" s="11" t="s">
        <v>2082</v>
      </c>
      <c r="K238" s="11" t="s">
        <v>1313</v>
      </c>
      <c r="L238" s="11" t="s">
        <v>2866</v>
      </c>
      <c r="M238" s="11" t="s">
        <v>2867</v>
      </c>
      <c r="N238" s="11" t="s">
        <v>2868</v>
      </c>
      <c r="O238" s="11" t="s">
        <v>2869</v>
      </c>
      <c r="P238" s="13" t="s">
        <v>1318</v>
      </c>
    </row>
    <row r="239">
      <c r="A239" s="11" t="s">
        <v>2870</v>
      </c>
      <c r="B239" s="9">
        <v>0.1</v>
      </c>
      <c r="C239" s="8"/>
      <c r="D239" s="8"/>
      <c r="E239" s="8"/>
      <c r="F239" s="8" t="b">
        <v>0</v>
      </c>
      <c r="G239" s="11" t="s">
        <v>2871</v>
      </c>
      <c r="H239" s="12"/>
      <c r="I239" s="12"/>
      <c r="J239" s="11" t="s">
        <v>1345</v>
      </c>
      <c r="K239" s="11" t="s">
        <v>1313</v>
      </c>
      <c r="L239" s="11" t="s">
        <v>2872</v>
      </c>
      <c r="M239" s="11" t="s">
        <v>2873</v>
      </c>
      <c r="N239" s="11" t="s">
        <v>2874</v>
      </c>
      <c r="O239" s="11" t="s">
        <v>1281</v>
      </c>
      <c r="P239" s="13" t="s">
        <v>1318</v>
      </c>
    </row>
    <row r="240">
      <c r="A240" s="11" t="s">
        <v>2875</v>
      </c>
      <c r="B240" s="9">
        <v>0.1</v>
      </c>
      <c r="C240" s="8"/>
      <c r="D240" s="8"/>
      <c r="E240" s="8"/>
      <c r="F240" s="12" t="b">
        <v>0</v>
      </c>
      <c r="G240" s="11" t="s">
        <v>2876</v>
      </c>
      <c r="H240" s="12"/>
      <c r="I240" s="11" t="s">
        <v>1344</v>
      </c>
      <c r="J240" s="11" t="s">
        <v>2082</v>
      </c>
      <c r="K240" s="11" t="s">
        <v>1313</v>
      </c>
      <c r="L240" s="11" t="s">
        <v>2877</v>
      </c>
      <c r="M240" s="11" t="s">
        <v>2878</v>
      </c>
      <c r="N240" s="11" t="s">
        <v>2879</v>
      </c>
      <c r="O240" s="11" t="s">
        <v>1474</v>
      </c>
      <c r="P240" s="13" t="s">
        <v>1318</v>
      </c>
    </row>
    <row r="241">
      <c r="A241" s="11" t="s">
        <v>2880</v>
      </c>
      <c r="B241" s="9">
        <v>0.1</v>
      </c>
      <c r="C241" s="8"/>
      <c r="D241" s="8"/>
      <c r="E241" s="8"/>
      <c r="F241" s="12" t="b">
        <v>0</v>
      </c>
      <c r="G241" s="11" t="s">
        <v>2881</v>
      </c>
      <c r="H241" s="12"/>
      <c r="I241" s="12"/>
      <c r="J241" s="11" t="s">
        <v>1298</v>
      </c>
      <c r="K241" s="12"/>
      <c r="L241" s="11" t="s">
        <v>2882</v>
      </c>
      <c r="M241" s="11" t="s">
        <v>2883</v>
      </c>
      <c r="N241" s="11" t="s">
        <v>2884</v>
      </c>
      <c r="O241" s="11" t="s">
        <v>2885</v>
      </c>
      <c r="P241" s="13" t="s">
        <v>1318</v>
      </c>
    </row>
    <row r="242">
      <c r="A242" s="11" t="s">
        <v>2886</v>
      </c>
      <c r="B242" s="9">
        <v>0.1</v>
      </c>
      <c r="C242" s="8"/>
      <c r="D242" s="8"/>
      <c r="E242" s="8"/>
      <c r="F242" s="12" t="b">
        <v>0</v>
      </c>
      <c r="G242" s="11" t="s">
        <v>2887</v>
      </c>
      <c r="H242" s="11" t="s">
        <v>2888</v>
      </c>
      <c r="I242" s="11" t="s">
        <v>1344</v>
      </c>
      <c r="J242" s="11" t="s">
        <v>2425</v>
      </c>
      <c r="K242" s="11" t="s">
        <v>1529</v>
      </c>
      <c r="L242" s="11" t="s">
        <v>2889</v>
      </c>
      <c r="M242" s="11" t="s">
        <v>2890</v>
      </c>
      <c r="N242" s="11" t="s">
        <v>2891</v>
      </c>
      <c r="O242" s="11" t="s">
        <v>2869</v>
      </c>
      <c r="P242" s="13" t="s">
        <v>1318</v>
      </c>
    </row>
    <row r="243">
      <c r="A243" s="11" t="s">
        <v>2892</v>
      </c>
      <c r="B243" s="9">
        <v>0.1</v>
      </c>
      <c r="C243" s="8"/>
      <c r="D243" s="8"/>
      <c r="E243" s="8"/>
      <c r="F243" s="12" t="b">
        <v>0</v>
      </c>
      <c r="G243" s="11" t="s">
        <v>2893</v>
      </c>
      <c r="H243" s="12"/>
      <c r="I243" s="11" t="s">
        <v>1287</v>
      </c>
      <c r="J243" s="11" t="s">
        <v>2377</v>
      </c>
      <c r="K243" s="12"/>
      <c r="L243" s="11" t="s">
        <v>2894</v>
      </c>
      <c r="M243" s="11" t="s">
        <v>2895</v>
      </c>
      <c r="N243" s="11" t="s">
        <v>2896</v>
      </c>
      <c r="O243" s="11" t="s">
        <v>2897</v>
      </c>
      <c r="P243" s="13" t="s">
        <v>1318</v>
      </c>
    </row>
    <row r="244">
      <c r="A244" s="11" t="s">
        <v>2898</v>
      </c>
      <c r="B244" s="9">
        <v>0.1</v>
      </c>
      <c r="C244" s="8"/>
      <c r="D244" s="8"/>
      <c r="E244" s="8"/>
      <c r="F244" s="12" t="b">
        <v>0</v>
      </c>
      <c r="G244" s="11" t="s">
        <v>2899</v>
      </c>
      <c r="H244" s="11" t="s">
        <v>2900</v>
      </c>
      <c r="I244" s="11" t="s">
        <v>1344</v>
      </c>
      <c r="J244" s="11" t="s">
        <v>2082</v>
      </c>
      <c r="K244" s="12"/>
      <c r="L244" s="11" t="s">
        <v>2901</v>
      </c>
      <c r="M244" s="11" t="s">
        <v>2902</v>
      </c>
      <c r="N244" s="11" t="s">
        <v>2903</v>
      </c>
      <c r="O244" s="11" t="s">
        <v>1909</v>
      </c>
      <c r="P244" s="13" t="s">
        <v>1318</v>
      </c>
    </row>
    <row r="245">
      <c r="A245" s="11" t="s">
        <v>2904</v>
      </c>
      <c r="B245" s="9">
        <v>0.1</v>
      </c>
      <c r="C245" s="8"/>
      <c r="D245" s="8"/>
      <c r="E245" s="8"/>
      <c r="F245" s="12" t="b">
        <v>0</v>
      </c>
      <c r="G245" s="11" t="s">
        <v>2905</v>
      </c>
      <c r="H245" s="11" t="s">
        <v>2906</v>
      </c>
      <c r="I245" s="11" t="s">
        <v>1407</v>
      </c>
      <c r="J245" s="11" t="s">
        <v>2425</v>
      </c>
      <c r="K245" s="11" t="s">
        <v>1289</v>
      </c>
      <c r="L245" s="11" t="s">
        <v>2907</v>
      </c>
      <c r="M245" s="11" t="s">
        <v>2908</v>
      </c>
      <c r="N245" s="11" t="s">
        <v>2909</v>
      </c>
      <c r="O245" s="11" t="s">
        <v>1281</v>
      </c>
      <c r="P245" s="13" t="s">
        <v>1318</v>
      </c>
    </row>
    <row r="246">
      <c r="A246" s="11" t="s">
        <v>2910</v>
      </c>
      <c r="B246" s="9">
        <v>0.1</v>
      </c>
      <c r="C246" s="8"/>
      <c r="D246" s="8"/>
      <c r="E246" s="8"/>
      <c r="F246" s="12" t="b">
        <v>0</v>
      </c>
      <c r="G246" s="11" t="s">
        <v>2911</v>
      </c>
      <c r="H246" s="11" t="s">
        <v>2912</v>
      </c>
      <c r="I246" s="11" t="s">
        <v>1407</v>
      </c>
      <c r="J246" s="11" t="s">
        <v>1839</v>
      </c>
      <c r="K246" s="12"/>
      <c r="L246" s="11" t="s">
        <v>2913</v>
      </c>
      <c r="M246" s="11" t="s">
        <v>2914</v>
      </c>
      <c r="N246" s="11" t="s">
        <v>2915</v>
      </c>
      <c r="O246" s="11" t="s">
        <v>1281</v>
      </c>
      <c r="P246" s="13" t="s">
        <v>1318</v>
      </c>
    </row>
    <row r="247">
      <c r="A247" s="11" t="s">
        <v>2916</v>
      </c>
      <c r="B247" s="9">
        <v>0.1</v>
      </c>
      <c r="C247" s="8"/>
      <c r="D247" s="8"/>
      <c r="E247" s="8"/>
      <c r="F247" s="12" t="b">
        <v>0</v>
      </c>
      <c r="G247" s="11" t="s">
        <v>2917</v>
      </c>
      <c r="H247" s="11" t="s">
        <v>2918</v>
      </c>
      <c r="I247" s="11" t="s">
        <v>1344</v>
      </c>
      <c r="J247" s="11" t="s">
        <v>2425</v>
      </c>
      <c r="K247" s="11" t="s">
        <v>1289</v>
      </c>
      <c r="L247" s="11" t="s">
        <v>2919</v>
      </c>
      <c r="M247" s="11" t="s">
        <v>2920</v>
      </c>
      <c r="N247" s="11" t="s">
        <v>2921</v>
      </c>
      <c r="O247" s="11" t="s">
        <v>1281</v>
      </c>
      <c r="P247" s="13" t="s">
        <v>1318</v>
      </c>
    </row>
    <row r="248">
      <c r="A248" s="11" t="s">
        <v>2922</v>
      </c>
      <c r="B248" s="9">
        <v>0.1</v>
      </c>
      <c r="C248" s="8"/>
      <c r="D248" s="8"/>
      <c r="E248" s="8"/>
      <c r="F248" s="12" t="b">
        <v>0</v>
      </c>
      <c r="G248" s="11" t="s">
        <v>2923</v>
      </c>
      <c r="H248" s="12"/>
      <c r="I248" s="11" t="s">
        <v>1407</v>
      </c>
      <c r="J248" s="11" t="s">
        <v>1839</v>
      </c>
      <c r="K248" s="12"/>
      <c r="L248" s="11" t="s">
        <v>2924</v>
      </c>
      <c r="M248" s="11" t="s">
        <v>2925</v>
      </c>
      <c r="N248" s="11" t="s">
        <v>2926</v>
      </c>
      <c r="O248" s="11" t="s">
        <v>1281</v>
      </c>
      <c r="P248" s="13" t="s">
        <v>1318</v>
      </c>
    </row>
    <row r="249">
      <c r="A249" s="11" t="s">
        <v>2927</v>
      </c>
      <c r="B249" s="9">
        <v>0.1</v>
      </c>
      <c r="C249" s="8"/>
      <c r="D249" s="8"/>
      <c r="E249" s="8"/>
      <c r="F249" s="12" t="b">
        <v>0</v>
      </c>
      <c r="G249" s="11" t="s">
        <v>2928</v>
      </c>
      <c r="H249" s="12"/>
      <c r="I249" s="11" t="s">
        <v>1407</v>
      </c>
      <c r="J249" s="11" t="s">
        <v>2425</v>
      </c>
      <c r="K249" s="11" t="s">
        <v>1289</v>
      </c>
      <c r="L249" s="11" t="s">
        <v>2929</v>
      </c>
      <c r="M249" s="11" t="s">
        <v>2930</v>
      </c>
      <c r="N249" s="11" t="s">
        <v>2931</v>
      </c>
      <c r="O249" s="11" t="s">
        <v>1281</v>
      </c>
      <c r="P249" s="13" t="s">
        <v>1318</v>
      </c>
    </row>
    <row r="250">
      <c r="A250" s="11" t="s">
        <v>2932</v>
      </c>
      <c r="B250" s="9">
        <v>0.1</v>
      </c>
      <c r="C250" s="8"/>
      <c r="D250" s="8"/>
      <c r="E250" s="8"/>
      <c r="F250" s="12" t="b">
        <v>0</v>
      </c>
      <c r="G250" s="11" t="s">
        <v>2933</v>
      </c>
      <c r="H250" s="12"/>
      <c r="I250" s="12"/>
      <c r="J250" s="11" t="s">
        <v>2425</v>
      </c>
      <c r="K250" s="12"/>
      <c r="L250" s="11" t="s">
        <v>2934</v>
      </c>
      <c r="M250" s="11" t="s">
        <v>2935</v>
      </c>
      <c r="N250" s="11" t="s">
        <v>2936</v>
      </c>
      <c r="O250" s="11" t="s">
        <v>1281</v>
      </c>
      <c r="P250" s="13" t="s">
        <v>1318</v>
      </c>
    </row>
    <row r="251">
      <c r="A251" s="11" t="s">
        <v>2937</v>
      </c>
      <c r="B251" s="9">
        <v>0.1</v>
      </c>
      <c r="C251" s="8"/>
      <c r="D251" s="8"/>
      <c r="E251" s="8"/>
      <c r="F251" s="12" t="b">
        <v>0</v>
      </c>
      <c r="G251" s="11" t="s">
        <v>2938</v>
      </c>
      <c r="H251" s="12"/>
      <c r="I251" s="12"/>
      <c r="J251" s="11" t="s">
        <v>1298</v>
      </c>
      <c r="K251" s="11" t="s">
        <v>1313</v>
      </c>
      <c r="L251" s="11" t="s">
        <v>2939</v>
      </c>
      <c r="M251" s="11" t="s">
        <v>2940</v>
      </c>
      <c r="N251" s="11" t="s">
        <v>2941</v>
      </c>
      <c r="O251" s="11" t="s">
        <v>1326</v>
      </c>
      <c r="P251" s="13" t="s">
        <v>1318</v>
      </c>
    </row>
    <row r="252">
      <c r="A252" s="11" t="s">
        <v>2942</v>
      </c>
      <c r="B252" s="9">
        <v>0.1</v>
      </c>
      <c r="C252" s="8"/>
      <c r="D252" s="8"/>
      <c r="E252" s="8"/>
      <c r="F252" s="12" t="b">
        <v>0</v>
      </c>
      <c r="G252" s="11" t="s">
        <v>2943</v>
      </c>
      <c r="H252" s="12"/>
      <c r="I252" s="11" t="s">
        <v>1344</v>
      </c>
      <c r="J252" s="11" t="s">
        <v>2377</v>
      </c>
      <c r="K252" s="11" t="s">
        <v>1313</v>
      </c>
      <c r="L252" s="11" t="s">
        <v>2944</v>
      </c>
      <c r="M252" s="11" t="s">
        <v>2945</v>
      </c>
      <c r="N252" s="11" t="s">
        <v>2946</v>
      </c>
      <c r="O252" s="11" t="s">
        <v>1326</v>
      </c>
      <c r="P252" s="13" t="s">
        <v>1318</v>
      </c>
    </row>
    <row r="253">
      <c r="A253" s="11" t="s">
        <v>2947</v>
      </c>
      <c r="B253" s="9">
        <v>0.1</v>
      </c>
      <c r="C253" s="8"/>
      <c r="D253" s="8"/>
      <c r="E253" s="8"/>
      <c r="F253" s="12" t="b">
        <v>0</v>
      </c>
      <c r="G253" s="11" t="s">
        <v>2948</v>
      </c>
      <c r="H253" s="12"/>
      <c r="I253" s="12"/>
      <c r="J253" s="11" t="s">
        <v>1298</v>
      </c>
      <c r="K253" s="12"/>
      <c r="L253" s="11" t="s">
        <v>2949</v>
      </c>
      <c r="M253" s="11" t="s">
        <v>2950</v>
      </c>
      <c r="N253" s="11" t="s">
        <v>2951</v>
      </c>
      <c r="O253" s="11" t="s">
        <v>1533</v>
      </c>
      <c r="P253" s="13" t="s">
        <v>1318</v>
      </c>
    </row>
    <row r="254">
      <c r="A254" s="11" t="s">
        <v>2952</v>
      </c>
      <c r="B254" s="9">
        <v>0.1</v>
      </c>
      <c r="C254" s="8"/>
      <c r="D254" s="8"/>
      <c r="E254" s="8"/>
      <c r="F254" s="12" t="b">
        <v>0</v>
      </c>
      <c r="G254" s="11" t="s">
        <v>2953</v>
      </c>
      <c r="H254" s="12"/>
      <c r="I254" s="12"/>
      <c r="J254" s="11" t="s">
        <v>2377</v>
      </c>
      <c r="K254" s="11" t="s">
        <v>1313</v>
      </c>
      <c r="L254" s="11" t="s">
        <v>2954</v>
      </c>
      <c r="M254" s="11" t="s">
        <v>2955</v>
      </c>
      <c r="N254" s="11" t="s">
        <v>2956</v>
      </c>
      <c r="O254" s="11" t="s">
        <v>2957</v>
      </c>
      <c r="P254" s="13" t="s">
        <v>1318</v>
      </c>
    </row>
    <row r="255">
      <c r="A255" s="11" t="s">
        <v>2958</v>
      </c>
      <c r="B255" s="9">
        <v>0.1</v>
      </c>
      <c r="C255" s="8"/>
      <c r="D255" s="8"/>
      <c r="E255" s="8"/>
      <c r="F255" s="12" t="b">
        <v>0</v>
      </c>
      <c r="G255" s="11" t="s">
        <v>2959</v>
      </c>
      <c r="H255" s="12"/>
      <c r="I255" s="11" t="s">
        <v>1407</v>
      </c>
      <c r="J255" s="11" t="s">
        <v>1276</v>
      </c>
      <c r="K255" s="12"/>
      <c r="L255" s="11" t="s">
        <v>2960</v>
      </c>
      <c r="M255" s="11" t="s">
        <v>2961</v>
      </c>
      <c r="N255" s="11" t="s">
        <v>2962</v>
      </c>
      <c r="O255" s="11" t="s">
        <v>1281</v>
      </c>
      <c r="P255" s="13" t="s">
        <v>1318</v>
      </c>
    </row>
    <row r="256">
      <c r="A256" s="11" t="s">
        <v>2963</v>
      </c>
      <c r="B256" s="9">
        <v>0.1</v>
      </c>
      <c r="C256" s="8"/>
      <c r="D256" s="8"/>
      <c r="E256" s="8"/>
      <c r="F256" s="12" t="b">
        <v>0</v>
      </c>
      <c r="G256" s="14" t="s">
        <v>2964</v>
      </c>
      <c r="H256" s="11" t="s">
        <v>2965</v>
      </c>
      <c r="I256" s="11" t="s">
        <v>1344</v>
      </c>
      <c r="J256" s="11" t="s">
        <v>2377</v>
      </c>
      <c r="K256" s="12"/>
      <c r="L256" s="11" t="s">
        <v>2966</v>
      </c>
      <c r="M256" s="11" t="s">
        <v>2967</v>
      </c>
      <c r="N256" s="11" t="s">
        <v>2968</v>
      </c>
      <c r="O256" s="11" t="s">
        <v>2844</v>
      </c>
      <c r="P256" s="13" t="s">
        <v>1318</v>
      </c>
    </row>
    <row r="257">
      <c r="A257" s="11" t="s">
        <v>2969</v>
      </c>
      <c r="B257" s="9">
        <v>0.1</v>
      </c>
      <c r="C257" s="8"/>
      <c r="D257" s="8"/>
      <c r="E257" s="8"/>
      <c r="F257" s="12" t="b">
        <v>0</v>
      </c>
      <c r="G257" s="11" t="s">
        <v>2970</v>
      </c>
      <c r="H257" s="12"/>
      <c r="I257" s="12"/>
      <c r="J257" s="11" t="s">
        <v>1345</v>
      </c>
      <c r="K257" s="12"/>
      <c r="L257" s="11" t="s">
        <v>2971</v>
      </c>
      <c r="M257" s="11" t="s">
        <v>2972</v>
      </c>
      <c r="N257" s="11" t="s">
        <v>2973</v>
      </c>
      <c r="O257" s="11" t="s">
        <v>1326</v>
      </c>
      <c r="P257" s="13" t="s">
        <v>1318</v>
      </c>
    </row>
    <row r="258">
      <c r="A258" s="11" t="s">
        <v>2974</v>
      </c>
      <c r="B258" s="9">
        <v>0.1</v>
      </c>
      <c r="C258" s="8"/>
      <c r="D258" s="8"/>
      <c r="E258" s="8"/>
      <c r="F258" s="12" t="b">
        <v>0</v>
      </c>
      <c r="G258" s="11" t="s">
        <v>2975</v>
      </c>
      <c r="H258" s="11" t="s">
        <v>2976</v>
      </c>
      <c r="I258" s="11" t="s">
        <v>1407</v>
      </c>
      <c r="J258" s="11" t="s">
        <v>1345</v>
      </c>
      <c r="K258" s="12"/>
      <c r="L258" s="11" t="s">
        <v>2977</v>
      </c>
      <c r="M258" s="11" t="s">
        <v>2978</v>
      </c>
      <c r="N258" s="11" t="s">
        <v>2979</v>
      </c>
      <c r="O258" s="11" t="s">
        <v>2033</v>
      </c>
      <c r="P258" s="13" t="s">
        <v>1318</v>
      </c>
    </row>
    <row r="259">
      <c r="A259" s="11" t="s">
        <v>2980</v>
      </c>
      <c r="B259" s="9">
        <v>0.1</v>
      </c>
      <c r="C259" s="8"/>
      <c r="D259" s="8"/>
      <c r="E259" s="8"/>
      <c r="F259" s="12" t="b">
        <v>0</v>
      </c>
      <c r="G259" s="11" t="s">
        <v>2981</v>
      </c>
      <c r="H259" s="11" t="s">
        <v>2982</v>
      </c>
      <c r="I259" s="11" t="s">
        <v>1344</v>
      </c>
      <c r="J259" s="11" t="s">
        <v>2425</v>
      </c>
      <c r="K259" s="12"/>
      <c r="L259" s="11" t="s">
        <v>2983</v>
      </c>
      <c r="M259" s="11" t="s">
        <v>2984</v>
      </c>
      <c r="N259" s="11" t="s">
        <v>2985</v>
      </c>
      <c r="O259" s="11" t="s">
        <v>2582</v>
      </c>
      <c r="P259" s="13" t="s">
        <v>1318</v>
      </c>
    </row>
    <row r="260">
      <c r="A260" s="11" t="s">
        <v>2986</v>
      </c>
      <c r="B260" s="9">
        <v>0.1</v>
      </c>
      <c r="C260" s="8"/>
      <c r="D260" s="8"/>
      <c r="E260" s="8"/>
      <c r="F260" s="12" t="b">
        <v>0</v>
      </c>
      <c r="G260" s="11" t="s">
        <v>2987</v>
      </c>
      <c r="H260" s="12"/>
      <c r="I260" s="11" t="s">
        <v>1344</v>
      </c>
      <c r="J260" s="11" t="s">
        <v>2425</v>
      </c>
      <c r="K260" s="12"/>
      <c r="L260" s="11" t="s">
        <v>2988</v>
      </c>
      <c r="M260" s="11" t="s">
        <v>2989</v>
      </c>
      <c r="N260" s="11" t="s">
        <v>2990</v>
      </c>
      <c r="O260" s="11" t="s">
        <v>2991</v>
      </c>
      <c r="P260" s="13" t="s">
        <v>1318</v>
      </c>
    </row>
    <row r="261">
      <c r="A261" s="11" t="s">
        <v>2992</v>
      </c>
      <c r="B261" s="9">
        <v>0.1</v>
      </c>
      <c r="C261" s="8"/>
      <c r="D261" s="8"/>
      <c r="E261" s="8"/>
      <c r="F261" s="12" t="b">
        <v>0</v>
      </c>
      <c r="G261" s="11" t="s">
        <v>2993</v>
      </c>
      <c r="H261" s="12"/>
      <c r="I261" s="11" t="s">
        <v>1344</v>
      </c>
      <c r="J261" s="11" t="s">
        <v>2994</v>
      </c>
      <c r="K261" s="12"/>
      <c r="L261" s="11" t="s">
        <v>2995</v>
      </c>
      <c r="M261" s="11" t="s">
        <v>2996</v>
      </c>
      <c r="N261" s="11" t="s">
        <v>2997</v>
      </c>
      <c r="O261" s="11" t="s">
        <v>2505</v>
      </c>
      <c r="P261" s="13" t="s">
        <v>1318</v>
      </c>
    </row>
    <row r="262">
      <c r="A262" s="11" t="s">
        <v>2998</v>
      </c>
      <c r="B262" s="9">
        <v>0.1</v>
      </c>
      <c r="C262" s="8"/>
      <c r="D262" s="8"/>
      <c r="E262" s="8"/>
      <c r="F262" s="12" t="b">
        <v>0</v>
      </c>
      <c r="G262" s="11" t="s">
        <v>2999</v>
      </c>
      <c r="H262" s="11" t="s">
        <v>3000</v>
      </c>
      <c r="I262" s="11" t="s">
        <v>1344</v>
      </c>
      <c r="J262" s="12"/>
      <c r="K262" s="12"/>
      <c r="L262" s="11" t="s">
        <v>3001</v>
      </c>
      <c r="M262" s="11" t="s">
        <v>3002</v>
      </c>
      <c r="N262" s="12"/>
      <c r="O262" s="11" t="s">
        <v>2413</v>
      </c>
      <c r="P262" s="13" t="s">
        <v>1318</v>
      </c>
    </row>
    <row r="263">
      <c r="A263" s="11" t="s">
        <v>3003</v>
      </c>
      <c r="B263" s="9">
        <v>0.1</v>
      </c>
      <c r="C263" s="8"/>
      <c r="D263" s="8"/>
      <c r="E263" s="8"/>
      <c r="F263" s="12" t="b">
        <v>0</v>
      </c>
      <c r="G263" s="11" t="s">
        <v>3004</v>
      </c>
      <c r="H263" s="12"/>
      <c r="I263" s="11" t="s">
        <v>1344</v>
      </c>
      <c r="J263" s="11" t="s">
        <v>2425</v>
      </c>
      <c r="K263" s="12"/>
      <c r="L263" s="11" t="s">
        <v>3005</v>
      </c>
      <c r="M263" s="11" t="s">
        <v>3006</v>
      </c>
      <c r="N263" s="11" t="s">
        <v>3007</v>
      </c>
      <c r="O263" s="11" t="s">
        <v>2413</v>
      </c>
      <c r="P263" s="13" t="s">
        <v>1318</v>
      </c>
    </row>
    <row r="264">
      <c r="A264" s="11" t="s">
        <v>3008</v>
      </c>
      <c r="B264" s="9">
        <v>0.1</v>
      </c>
      <c r="C264" s="8"/>
      <c r="D264" s="8"/>
      <c r="E264" s="8"/>
      <c r="F264" s="12" t="b">
        <v>0</v>
      </c>
      <c r="G264" s="11" t="s">
        <v>3009</v>
      </c>
      <c r="H264" s="11" t="s">
        <v>3010</v>
      </c>
      <c r="I264" s="11" t="s">
        <v>1344</v>
      </c>
      <c r="J264" s="12"/>
      <c r="K264" s="12"/>
      <c r="L264" s="11" t="s">
        <v>3011</v>
      </c>
      <c r="M264" s="11" t="s">
        <v>3012</v>
      </c>
      <c r="N264" s="11" t="s">
        <v>3013</v>
      </c>
      <c r="O264" s="11" t="s">
        <v>1515</v>
      </c>
      <c r="P264" s="13" t="s">
        <v>1318</v>
      </c>
    </row>
    <row r="265">
      <c r="A265" s="11" t="s">
        <v>3014</v>
      </c>
      <c r="B265" s="9">
        <v>0.1</v>
      </c>
      <c r="C265" s="8"/>
      <c r="D265" s="8"/>
      <c r="E265" s="8"/>
      <c r="F265" s="12" t="b">
        <v>0</v>
      </c>
      <c r="G265" s="11" t="s">
        <v>3015</v>
      </c>
      <c r="H265" s="12"/>
      <c r="I265" s="11" t="s">
        <v>1407</v>
      </c>
      <c r="J265" s="11" t="s">
        <v>2377</v>
      </c>
      <c r="K265" s="11" t="s">
        <v>1289</v>
      </c>
      <c r="L265" s="11" t="s">
        <v>3016</v>
      </c>
      <c r="M265" s="11" t="s">
        <v>3017</v>
      </c>
      <c r="N265" s="11" t="s">
        <v>3018</v>
      </c>
      <c r="O265" s="11" t="s">
        <v>1281</v>
      </c>
      <c r="P265" s="13" t="s">
        <v>1318</v>
      </c>
    </row>
    <row r="266">
      <c r="A266" s="11" t="s">
        <v>3019</v>
      </c>
      <c r="B266" s="9">
        <v>0.1</v>
      </c>
      <c r="C266" s="8"/>
      <c r="D266" s="8"/>
      <c r="E266" s="8"/>
      <c r="F266" s="12" t="b">
        <v>0</v>
      </c>
      <c r="G266" s="11" t="s">
        <v>3020</v>
      </c>
      <c r="H266" s="12"/>
      <c r="I266" s="11" t="s">
        <v>1344</v>
      </c>
      <c r="J266" s="11" t="s">
        <v>1839</v>
      </c>
      <c r="K266" s="11" t="s">
        <v>1277</v>
      </c>
      <c r="L266" s="11" t="s">
        <v>3021</v>
      </c>
      <c r="M266" s="11" t="s">
        <v>3022</v>
      </c>
      <c r="N266" s="11" t="s">
        <v>3023</v>
      </c>
      <c r="O266" s="11" t="s">
        <v>1820</v>
      </c>
      <c r="P266" s="13" t="s">
        <v>1318</v>
      </c>
    </row>
    <row r="267">
      <c r="A267" s="11" t="s">
        <v>3024</v>
      </c>
      <c r="B267" s="9">
        <v>0.1</v>
      </c>
      <c r="C267" s="8"/>
      <c r="D267" s="8"/>
      <c r="E267" s="8"/>
      <c r="F267" s="12" t="b">
        <v>0</v>
      </c>
      <c r="G267" s="11" t="s">
        <v>3025</v>
      </c>
      <c r="H267" s="12"/>
      <c r="I267" s="11" t="s">
        <v>1344</v>
      </c>
      <c r="J267" s="11" t="s">
        <v>2425</v>
      </c>
      <c r="K267" s="12"/>
      <c r="L267" s="11" t="s">
        <v>3026</v>
      </c>
      <c r="M267" s="11" t="s">
        <v>3027</v>
      </c>
      <c r="N267" s="11" t="s">
        <v>3028</v>
      </c>
      <c r="O267" s="11" t="s">
        <v>2033</v>
      </c>
      <c r="P267" s="13" t="s">
        <v>1318</v>
      </c>
    </row>
    <row r="268">
      <c r="A268" s="11" t="s">
        <v>3029</v>
      </c>
      <c r="B268" s="9">
        <v>0.1</v>
      </c>
      <c r="C268" s="8"/>
      <c r="D268" s="8"/>
      <c r="E268" s="8"/>
      <c r="F268" s="12" t="b">
        <v>0</v>
      </c>
      <c r="G268" s="11" t="s">
        <v>3030</v>
      </c>
      <c r="H268" s="12"/>
      <c r="I268" s="11" t="s">
        <v>1407</v>
      </c>
      <c r="J268" s="11" t="s">
        <v>2377</v>
      </c>
      <c r="K268" s="12"/>
      <c r="L268" s="11" t="s">
        <v>3031</v>
      </c>
      <c r="M268" s="12"/>
      <c r="N268" s="11" t="s">
        <v>3032</v>
      </c>
      <c r="O268" s="11" t="s">
        <v>1326</v>
      </c>
      <c r="P268" s="13" t="s">
        <v>1318</v>
      </c>
    </row>
    <row r="269">
      <c r="A269" s="11" t="s">
        <v>3033</v>
      </c>
      <c r="B269" s="9">
        <v>0.1</v>
      </c>
      <c r="C269" s="8"/>
      <c r="D269" s="8"/>
      <c r="E269" s="8"/>
      <c r="F269" s="12" t="b">
        <v>0</v>
      </c>
      <c r="G269" s="11" t="s">
        <v>3034</v>
      </c>
      <c r="H269" s="12"/>
      <c r="I269" s="12"/>
      <c r="J269" s="11" t="s">
        <v>1511</v>
      </c>
      <c r="K269" s="12"/>
      <c r="L269" s="11" t="s">
        <v>3035</v>
      </c>
      <c r="M269" s="11" t="s">
        <v>3036</v>
      </c>
      <c r="N269" s="11" t="s">
        <v>3037</v>
      </c>
      <c r="O269" s="11" t="s">
        <v>1349</v>
      </c>
      <c r="P269" s="13" t="s">
        <v>1318</v>
      </c>
    </row>
    <row r="270">
      <c r="A270" s="11" t="s">
        <v>3038</v>
      </c>
      <c r="B270" s="9">
        <v>0.1</v>
      </c>
      <c r="C270" s="8"/>
      <c r="D270" s="8"/>
      <c r="E270" s="8"/>
      <c r="F270" s="12" t="b">
        <v>0</v>
      </c>
      <c r="G270" s="11" t="s">
        <v>3039</v>
      </c>
      <c r="H270" s="12"/>
      <c r="I270" s="11" t="s">
        <v>1344</v>
      </c>
      <c r="J270" s="11" t="s">
        <v>2425</v>
      </c>
      <c r="K270" s="12"/>
      <c r="L270" s="11" t="s">
        <v>3040</v>
      </c>
      <c r="M270" s="11" t="s">
        <v>3041</v>
      </c>
      <c r="N270" s="11" t="s">
        <v>3042</v>
      </c>
      <c r="O270" s="11" t="s">
        <v>2582</v>
      </c>
      <c r="P270" s="13" t="s">
        <v>1318</v>
      </c>
    </row>
    <row r="271">
      <c r="A271" s="11" t="s">
        <v>3043</v>
      </c>
      <c r="B271" s="9">
        <v>0.1</v>
      </c>
      <c r="C271" s="8"/>
      <c r="D271" s="8"/>
      <c r="E271" s="8"/>
      <c r="F271" s="12" t="b">
        <v>0</v>
      </c>
      <c r="G271" s="11" t="s">
        <v>3044</v>
      </c>
      <c r="H271" s="12"/>
      <c r="I271" s="11" t="s">
        <v>3045</v>
      </c>
      <c r="J271" s="11" t="s">
        <v>1345</v>
      </c>
      <c r="K271" s="12"/>
      <c r="L271" s="11" t="s">
        <v>3046</v>
      </c>
      <c r="M271" s="11" t="s">
        <v>3047</v>
      </c>
      <c r="N271" s="11" t="s">
        <v>3048</v>
      </c>
      <c r="O271" s="11" t="s">
        <v>2033</v>
      </c>
      <c r="P271" s="13" t="s">
        <v>1318</v>
      </c>
    </row>
    <row r="272">
      <c r="A272" s="11" t="s">
        <v>3049</v>
      </c>
      <c r="B272" s="9">
        <v>0.1</v>
      </c>
      <c r="C272" s="8"/>
      <c r="D272" s="8"/>
      <c r="E272" s="8"/>
      <c r="F272" s="12" t="b">
        <v>0</v>
      </c>
      <c r="G272" s="11" t="s">
        <v>3050</v>
      </c>
      <c r="H272" s="12"/>
      <c r="I272" s="11" t="s">
        <v>1344</v>
      </c>
      <c r="J272" s="12"/>
      <c r="K272" s="12"/>
      <c r="L272" s="11" t="s">
        <v>3051</v>
      </c>
      <c r="M272" s="11" t="s">
        <v>3052</v>
      </c>
      <c r="N272" s="11" t="s">
        <v>3053</v>
      </c>
      <c r="O272" s="11" t="s">
        <v>1515</v>
      </c>
      <c r="P272" s="13" t="s">
        <v>1318</v>
      </c>
    </row>
    <row r="273">
      <c r="A273" s="11" t="s">
        <v>3054</v>
      </c>
      <c r="B273" s="9">
        <v>0.1</v>
      </c>
      <c r="C273" s="8"/>
      <c r="D273" s="8"/>
      <c r="E273" s="8"/>
      <c r="F273" s="12" t="b">
        <v>0</v>
      </c>
      <c r="G273" s="11" t="s">
        <v>3055</v>
      </c>
      <c r="H273" s="12"/>
      <c r="I273" s="11" t="s">
        <v>1344</v>
      </c>
      <c r="J273" s="12"/>
      <c r="K273" s="12"/>
      <c r="L273" s="11" t="s">
        <v>3056</v>
      </c>
      <c r="M273" s="11" t="s">
        <v>3057</v>
      </c>
      <c r="N273" s="11" t="s">
        <v>3058</v>
      </c>
      <c r="O273" s="11" t="s">
        <v>2413</v>
      </c>
      <c r="P273" s="13" t="s">
        <v>1282</v>
      </c>
    </row>
    <row r="274">
      <c r="A274" s="11" t="s">
        <v>3059</v>
      </c>
      <c r="B274" s="9">
        <v>0.1</v>
      </c>
      <c r="C274" s="8"/>
      <c r="D274" s="8"/>
      <c r="E274" s="8"/>
      <c r="F274" s="12" t="b">
        <v>0</v>
      </c>
      <c r="G274" s="11" t="s">
        <v>3060</v>
      </c>
      <c r="H274" s="12"/>
      <c r="I274" s="12"/>
      <c r="J274" s="11" t="s">
        <v>2377</v>
      </c>
      <c r="K274" s="12"/>
      <c r="L274" s="11" t="s">
        <v>3061</v>
      </c>
      <c r="M274" s="11" t="s">
        <v>3062</v>
      </c>
      <c r="N274" s="11" t="s">
        <v>3063</v>
      </c>
      <c r="O274" s="11" t="s">
        <v>1349</v>
      </c>
      <c r="P274" s="13" t="s">
        <v>1318</v>
      </c>
    </row>
    <row r="275">
      <c r="A275" s="11" t="s">
        <v>3064</v>
      </c>
      <c r="B275" s="9">
        <v>0.1</v>
      </c>
      <c r="C275" s="8"/>
      <c r="D275" s="8"/>
      <c r="E275" s="8"/>
      <c r="F275" s="12" t="b">
        <v>0</v>
      </c>
      <c r="G275" s="11" t="s">
        <v>3065</v>
      </c>
      <c r="H275" s="11" t="s">
        <v>3066</v>
      </c>
      <c r="I275" s="11" t="s">
        <v>1407</v>
      </c>
      <c r="J275" s="11" t="s">
        <v>2377</v>
      </c>
      <c r="K275" s="11" t="s">
        <v>1289</v>
      </c>
      <c r="L275" s="11" t="s">
        <v>3067</v>
      </c>
      <c r="M275" s="11" t="s">
        <v>3068</v>
      </c>
      <c r="N275" s="11" t="s">
        <v>3069</v>
      </c>
      <c r="O275" s="11" t="s">
        <v>2033</v>
      </c>
      <c r="P275" s="13" t="s">
        <v>1318</v>
      </c>
    </row>
    <row r="276">
      <c r="A276" s="11" t="s">
        <v>3070</v>
      </c>
      <c r="B276" s="9">
        <v>0.1</v>
      </c>
      <c r="C276" s="8"/>
      <c r="D276" s="8"/>
      <c r="E276" s="8"/>
      <c r="F276" s="12" t="b">
        <v>0</v>
      </c>
      <c r="G276" s="11" t="s">
        <v>3071</v>
      </c>
      <c r="H276" s="12"/>
      <c r="I276" s="11" t="s">
        <v>1344</v>
      </c>
      <c r="J276" s="11" t="s">
        <v>2425</v>
      </c>
      <c r="K276" s="12"/>
      <c r="L276" s="11" t="s">
        <v>3072</v>
      </c>
      <c r="M276" s="11" t="s">
        <v>3073</v>
      </c>
      <c r="N276" s="11" t="s">
        <v>3074</v>
      </c>
      <c r="O276" s="11" t="s">
        <v>3075</v>
      </c>
      <c r="P276" s="13" t="s">
        <v>1318</v>
      </c>
    </row>
    <row r="277">
      <c r="A277" s="11" t="s">
        <v>3076</v>
      </c>
      <c r="B277" s="9">
        <v>0.1</v>
      </c>
      <c r="C277" s="8"/>
      <c r="D277" s="8"/>
      <c r="E277" s="8"/>
      <c r="F277" s="12" t="b">
        <v>0</v>
      </c>
      <c r="G277" s="11" t="s">
        <v>3077</v>
      </c>
      <c r="H277" s="12"/>
      <c r="I277" s="11" t="s">
        <v>1407</v>
      </c>
      <c r="J277" s="11" t="s">
        <v>1383</v>
      </c>
      <c r="K277" s="11" t="s">
        <v>1313</v>
      </c>
      <c r="L277" s="11" t="s">
        <v>3078</v>
      </c>
      <c r="M277" s="11" t="s">
        <v>3079</v>
      </c>
      <c r="N277" s="11" t="s">
        <v>3080</v>
      </c>
      <c r="O277" s="11" t="s">
        <v>1281</v>
      </c>
      <c r="P277" s="13" t="s">
        <v>1318</v>
      </c>
    </row>
    <row r="278">
      <c r="A278" s="11" t="s">
        <v>3081</v>
      </c>
      <c r="B278" s="9">
        <v>0.1</v>
      </c>
      <c r="C278" s="8"/>
      <c r="D278" s="8"/>
      <c r="E278" s="8"/>
      <c r="F278" s="12" t="b">
        <v>0</v>
      </c>
      <c r="G278" s="11" t="s">
        <v>3082</v>
      </c>
      <c r="H278" s="12"/>
      <c r="I278" s="11" t="s">
        <v>1344</v>
      </c>
      <c r="J278" s="11" t="s">
        <v>1383</v>
      </c>
      <c r="K278" s="11" t="s">
        <v>1313</v>
      </c>
      <c r="L278" s="11" t="s">
        <v>3083</v>
      </c>
      <c r="M278" s="11" t="s">
        <v>3084</v>
      </c>
      <c r="N278" s="11" t="s">
        <v>3085</v>
      </c>
      <c r="O278" s="11" t="s">
        <v>1326</v>
      </c>
      <c r="P278" s="13" t="s">
        <v>1318</v>
      </c>
    </row>
    <row r="279">
      <c r="A279" s="11" t="s">
        <v>3086</v>
      </c>
      <c r="B279" s="9">
        <v>0.1</v>
      </c>
      <c r="C279" s="8"/>
      <c r="D279" s="8"/>
      <c r="E279" s="8"/>
      <c r="F279" s="12" t="b">
        <v>0</v>
      </c>
      <c r="G279" s="11" t="s">
        <v>3087</v>
      </c>
      <c r="H279" s="12"/>
      <c r="I279" s="11" t="s">
        <v>1344</v>
      </c>
      <c r="J279" s="12"/>
      <c r="K279" s="12"/>
      <c r="L279" s="11" t="s">
        <v>3088</v>
      </c>
      <c r="M279" s="11" t="s">
        <v>3089</v>
      </c>
      <c r="N279" s="11" t="s">
        <v>3090</v>
      </c>
      <c r="O279" s="11" t="s">
        <v>2413</v>
      </c>
      <c r="P279" s="13" t="s">
        <v>1318</v>
      </c>
    </row>
    <row r="280">
      <c r="A280" s="11" t="s">
        <v>3091</v>
      </c>
      <c r="B280" s="9">
        <v>0.1</v>
      </c>
      <c r="C280" s="8"/>
      <c r="D280" s="8"/>
      <c r="E280" s="8"/>
      <c r="F280" s="12" t="b">
        <v>0</v>
      </c>
      <c r="G280" s="11" t="s">
        <v>3092</v>
      </c>
      <c r="H280" s="12"/>
      <c r="I280" s="11" t="s">
        <v>1344</v>
      </c>
      <c r="J280" s="12"/>
      <c r="K280" s="12"/>
      <c r="L280" s="11" t="s">
        <v>3093</v>
      </c>
      <c r="M280" s="11" t="s">
        <v>3094</v>
      </c>
      <c r="N280" s="11" t="s">
        <v>3095</v>
      </c>
      <c r="O280" s="11" t="s">
        <v>1326</v>
      </c>
      <c r="P280" s="13" t="s">
        <v>1318</v>
      </c>
    </row>
    <row r="281">
      <c r="A281" s="11" t="s">
        <v>3096</v>
      </c>
      <c r="B281" s="9">
        <v>0.1</v>
      </c>
      <c r="C281" s="8"/>
      <c r="D281" s="8"/>
      <c r="E281" s="8"/>
      <c r="F281" s="12" t="b">
        <v>0</v>
      </c>
      <c r="G281" s="11" t="s">
        <v>3097</v>
      </c>
      <c r="H281" s="12"/>
      <c r="I281" s="11" t="s">
        <v>2252</v>
      </c>
      <c r="J281" s="11" t="s">
        <v>2425</v>
      </c>
      <c r="K281" s="12"/>
      <c r="L281" s="11" t="s">
        <v>3098</v>
      </c>
      <c r="M281" s="11" t="s">
        <v>3099</v>
      </c>
      <c r="N281" s="11" t="s">
        <v>3100</v>
      </c>
      <c r="O281" s="11" t="s">
        <v>2413</v>
      </c>
      <c r="P281" s="13" t="s">
        <v>1318</v>
      </c>
    </row>
    <row r="282">
      <c r="A282" s="11" t="s">
        <v>3101</v>
      </c>
      <c r="B282" s="9">
        <v>0.1</v>
      </c>
      <c r="C282" s="8"/>
      <c r="D282" s="8"/>
      <c r="E282" s="8"/>
      <c r="F282" s="12" t="b">
        <v>0</v>
      </c>
      <c r="G282" s="11" t="s">
        <v>3102</v>
      </c>
      <c r="H282" s="11" t="s">
        <v>3103</v>
      </c>
      <c r="I282" s="11" t="s">
        <v>1344</v>
      </c>
      <c r="J282" s="11" t="s">
        <v>1383</v>
      </c>
      <c r="K282" s="12"/>
      <c r="L282" s="11" t="s">
        <v>3104</v>
      </c>
      <c r="M282" s="11" t="s">
        <v>3105</v>
      </c>
      <c r="N282" s="11" t="s">
        <v>3106</v>
      </c>
      <c r="O282" s="11" t="s">
        <v>1281</v>
      </c>
      <c r="P282" s="13" t="s">
        <v>1318</v>
      </c>
    </row>
    <row r="283">
      <c r="A283" s="11" t="s">
        <v>3107</v>
      </c>
      <c r="B283" s="9">
        <v>0.1</v>
      </c>
      <c r="C283" s="8"/>
      <c r="D283" s="8"/>
      <c r="E283" s="8"/>
      <c r="F283" s="12" t="b">
        <v>0</v>
      </c>
      <c r="G283" s="11" t="s">
        <v>3108</v>
      </c>
      <c r="H283" s="12"/>
      <c r="I283" s="11" t="s">
        <v>1407</v>
      </c>
      <c r="J283" s="11" t="s">
        <v>1276</v>
      </c>
      <c r="K283" s="12"/>
      <c r="L283" s="11" t="s">
        <v>3109</v>
      </c>
      <c r="M283" s="11" t="s">
        <v>3110</v>
      </c>
      <c r="N283" s="11" t="s">
        <v>3111</v>
      </c>
      <c r="O283" s="11" t="s">
        <v>2033</v>
      </c>
      <c r="P283" s="13" t="s">
        <v>1318</v>
      </c>
    </row>
    <row r="284">
      <c r="A284" s="11" t="s">
        <v>3112</v>
      </c>
      <c r="B284" s="9">
        <v>0.1</v>
      </c>
      <c r="C284" s="8"/>
      <c r="D284" s="8"/>
      <c r="E284" s="8"/>
      <c r="F284" s="12" t="b">
        <v>0</v>
      </c>
      <c r="G284" s="11" t="s">
        <v>3113</v>
      </c>
      <c r="H284" s="11" t="s">
        <v>3114</v>
      </c>
      <c r="I284" s="11" t="s">
        <v>1344</v>
      </c>
      <c r="J284" s="11" t="s">
        <v>2377</v>
      </c>
      <c r="K284" s="12"/>
      <c r="L284" s="11" t="s">
        <v>3115</v>
      </c>
      <c r="M284" s="11" t="s">
        <v>3116</v>
      </c>
      <c r="N284" s="11" t="s">
        <v>3117</v>
      </c>
      <c r="O284" s="11" t="s">
        <v>2033</v>
      </c>
      <c r="P284" s="13" t="s">
        <v>1318</v>
      </c>
    </row>
    <row r="285">
      <c r="A285" s="11" t="s">
        <v>3118</v>
      </c>
      <c r="B285" s="9">
        <v>0.1</v>
      </c>
      <c r="C285" s="8"/>
      <c r="D285" s="8"/>
      <c r="E285" s="8"/>
      <c r="F285" s="12" t="b">
        <v>0</v>
      </c>
      <c r="G285" s="11" t="s">
        <v>3119</v>
      </c>
      <c r="H285" s="12"/>
      <c r="I285" s="11" t="s">
        <v>1407</v>
      </c>
      <c r="J285" s="11" t="s">
        <v>2377</v>
      </c>
      <c r="K285" s="12"/>
      <c r="L285" s="11" t="s">
        <v>3120</v>
      </c>
      <c r="M285" s="11" t="s">
        <v>3121</v>
      </c>
      <c r="N285" s="11" t="s">
        <v>3122</v>
      </c>
      <c r="O285" s="11" t="s">
        <v>2413</v>
      </c>
      <c r="P285" s="13" t="s">
        <v>1318</v>
      </c>
    </row>
    <row r="286">
      <c r="A286" s="11" t="s">
        <v>3123</v>
      </c>
      <c r="B286" s="9">
        <v>0.1</v>
      </c>
      <c r="C286" s="8"/>
      <c r="D286" s="8"/>
      <c r="E286" s="8"/>
      <c r="F286" s="12" t="b">
        <v>0</v>
      </c>
      <c r="G286" s="11" t="s">
        <v>3124</v>
      </c>
      <c r="H286" s="12"/>
      <c r="I286" s="12"/>
      <c r="J286" s="11" t="s">
        <v>2377</v>
      </c>
      <c r="K286" s="12"/>
      <c r="L286" s="11" t="s">
        <v>3125</v>
      </c>
      <c r="M286" s="12"/>
      <c r="N286" s="11" t="s">
        <v>3126</v>
      </c>
      <c r="O286" s="11" t="s">
        <v>1281</v>
      </c>
      <c r="P286" s="13" t="s">
        <v>1318</v>
      </c>
    </row>
    <row r="287">
      <c r="A287" s="11" t="s">
        <v>3127</v>
      </c>
      <c r="B287" s="9">
        <v>0.1</v>
      </c>
      <c r="C287" s="8"/>
      <c r="D287" s="8"/>
      <c r="E287" s="8"/>
      <c r="F287" s="12" t="b">
        <v>0</v>
      </c>
      <c r="G287" s="11" t="s">
        <v>3128</v>
      </c>
      <c r="H287" s="12"/>
      <c r="I287" s="11" t="s">
        <v>1344</v>
      </c>
      <c r="J287" s="11" t="s">
        <v>2377</v>
      </c>
      <c r="K287" s="11" t="s">
        <v>1313</v>
      </c>
      <c r="L287" s="11" t="s">
        <v>3129</v>
      </c>
      <c r="M287" s="11" t="s">
        <v>3130</v>
      </c>
      <c r="N287" s="11" t="s">
        <v>3131</v>
      </c>
      <c r="O287" s="11" t="s">
        <v>1326</v>
      </c>
      <c r="P287" s="11"/>
    </row>
    <row r="288">
      <c r="A288" s="11" t="s">
        <v>3132</v>
      </c>
      <c r="B288" s="9">
        <v>0.1</v>
      </c>
      <c r="C288" s="8"/>
      <c r="D288" s="8"/>
      <c r="E288" s="8"/>
      <c r="F288" s="12" t="b">
        <v>0</v>
      </c>
      <c r="G288" s="11" t="s">
        <v>3133</v>
      </c>
      <c r="H288" s="12"/>
      <c r="I288" s="11" t="s">
        <v>1407</v>
      </c>
      <c r="J288" s="11" t="s">
        <v>1345</v>
      </c>
      <c r="K288" s="12"/>
      <c r="L288" s="11" t="s">
        <v>3134</v>
      </c>
      <c r="M288" s="11" t="s">
        <v>3135</v>
      </c>
      <c r="N288" s="11" t="s">
        <v>3136</v>
      </c>
      <c r="O288" s="11" t="s">
        <v>1721</v>
      </c>
      <c r="P288" s="13" t="s">
        <v>1318</v>
      </c>
    </row>
    <row r="289">
      <c r="A289" s="11" t="s">
        <v>3137</v>
      </c>
      <c r="B289" s="9">
        <v>0.1</v>
      </c>
      <c r="C289" s="8"/>
      <c r="D289" s="8"/>
      <c r="E289" s="8"/>
      <c r="F289" s="12" t="b">
        <v>0</v>
      </c>
      <c r="G289" s="11" t="s">
        <v>3138</v>
      </c>
      <c r="H289" s="12"/>
      <c r="I289" s="11" t="s">
        <v>1344</v>
      </c>
      <c r="J289" s="11" t="s">
        <v>1839</v>
      </c>
      <c r="K289" s="11" t="s">
        <v>1313</v>
      </c>
      <c r="L289" s="11" t="s">
        <v>3139</v>
      </c>
      <c r="M289" s="11" t="s">
        <v>3140</v>
      </c>
      <c r="N289" s="11" t="s">
        <v>3141</v>
      </c>
      <c r="O289" s="11" t="s">
        <v>1326</v>
      </c>
      <c r="P289" s="13" t="s">
        <v>1318</v>
      </c>
    </row>
    <row r="290">
      <c r="A290" s="11" t="s">
        <v>3142</v>
      </c>
      <c r="B290" s="9">
        <v>0.1</v>
      </c>
      <c r="C290" s="8"/>
      <c r="D290" s="8"/>
      <c r="E290" s="8"/>
      <c r="F290" s="12" t="b">
        <v>0</v>
      </c>
      <c r="G290" s="11" t="s">
        <v>3143</v>
      </c>
      <c r="H290" s="12"/>
      <c r="I290" s="12"/>
      <c r="J290" s="11" t="s">
        <v>1383</v>
      </c>
      <c r="K290" s="11" t="s">
        <v>1313</v>
      </c>
      <c r="L290" s="11" t="s">
        <v>3144</v>
      </c>
      <c r="M290" s="11" t="s">
        <v>3145</v>
      </c>
      <c r="N290" s="11" t="s">
        <v>3146</v>
      </c>
      <c r="O290" s="11" t="s">
        <v>1820</v>
      </c>
      <c r="P290" s="13" t="s">
        <v>1318</v>
      </c>
    </row>
    <row r="291">
      <c r="A291" s="11" t="s">
        <v>3147</v>
      </c>
      <c r="B291" s="9">
        <v>0.1</v>
      </c>
      <c r="C291" s="8"/>
      <c r="D291" s="8"/>
      <c r="E291" s="8"/>
      <c r="F291" s="12" t="b">
        <v>0</v>
      </c>
      <c r="G291" s="11" t="s">
        <v>3148</v>
      </c>
      <c r="H291" s="11" t="s">
        <v>3149</v>
      </c>
      <c r="I291" s="11" t="s">
        <v>1344</v>
      </c>
      <c r="J291" s="11" t="s">
        <v>2425</v>
      </c>
      <c r="K291" s="11" t="s">
        <v>1313</v>
      </c>
      <c r="L291" s="11" t="s">
        <v>3150</v>
      </c>
      <c r="M291" s="11" t="s">
        <v>3151</v>
      </c>
      <c r="N291" s="11" t="s">
        <v>3152</v>
      </c>
      <c r="O291" s="11" t="s">
        <v>1326</v>
      </c>
      <c r="P291" s="13" t="s">
        <v>1318</v>
      </c>
    </row>
    <row r="292">
      <c r="A292" s="11" t="s">
        <v>3153</v>
      </c>
      <c r="B292" s="9">
        <v>0.1</v>
      </c>
      <c r="C292" s="8"/>
      <c r="D292" s="8"/>
      <c r="E292" s="8"/>
      <c r="F292" s="12" t="b">
        <v>0</v>
      </c>
      <c r="G292" s="11" t="s">
        <v>3154</v>
      </c>
      <c r="H292" s="11" t="s">
        <v>3155</v>
      </c>
      <c r="I292" s="11" t="s">
        <v>1344</v>
      </c>
      <c r="J292" s="11" t="s">
        <v>1276</v>
      </c>
      <c r="K292" s="11" t="s">
        <v>1289</v>
      </c>
      <c r="L292" s="11" t="s">
        <v>3156</v>
      </c>
      <c r="M292" s="11" t="s">
        <v>3157</v>
      </c>
      <c r="N292" s="11" t="s">
        <v>3158</v>
      </c>
      <c r="O292" s="11" t="s">
        <v>2413</v>
      </c>
      <c r="P292" s="13" t="s">
        <v>1318</v>
      </c>
    </row>
    <row r="293">
      <c r="A293" s="11" t="s">
        <v>3159</v>
      </c>
      <c r="B293" s="9">
        <v>0.1</v>
      </c>
      <c r="C293" s="8"/>
      <c r="D293" s="8"/>
      <c r="E293" s="8"/>
      <c r="F293" s="12" t="b">
        <v>0</v>
      </c>
      <c r="G293" s="11" t="s">
        <v>3160</v>
      </c>
      <c r="H293" s="11" t="s">
        <v>2376</v>
      </c>
      <c r="I293" s="11" t="s">
        <v>1407</v>
      </c>
      <c r="J293" s="11" t="s">
        <v>3161</v>
      </c>
      <c r="K293" s="12"/>
      <c r="L293" s="11" t="s">
        <v>3162</v>
      </c>
      <c r="M293" s="11" t="s">
        <v>3163</v>
      </c>
      <c r="N293" s="11" t="s">
        <v>3164</v>
      </c>
      <c r="O293" s="11" t="s">
        <v>1533</v>
      </c>
      <c r="P293" s="13" t="s">
        <v>1318</v>
      </c>
    </row>
    <row r="294">
      <c r="A294" s="11" t="s">
        <v>3165</v>
      </c>
      <c r="B294" s="9">
        <v>0.05</v>
      </c>
      <c r="C294" s="8"/>
      <c r="D294" s="8"/>
      <c r="E294" s="8"/>
      <c r="F294" s="8" t="b">
        <v>0</v>
      </c>
      <c r="G294" s="11" t="s">
        <v>3166</v>
      </c>
      <c r="H294" s="11" t="s">
        <v>3167</v>
      </c>
      <c r="I294" s="11" t="s">
        <v>1407</v>
      </c>
      <c r="J294" s="11" t="s">
        <v>2425</v>
      </c>
      <c r="K294" s="12"/>
      <c r="L294" s="11" t="s">
        <v>3168</v>
      </c>
      <c r="M294" s="11" t="s">
        <v>3169</v>
      </c>
      <c r="N294" s="11" t="s">
        <v>3170</v>
      </c>
      <c r="O294" s="11" t="s">
        <v>1281</v>
      </c>
      <c r="P294" s="13" t="s">
        <v>1318</v>
      </c>
    </row>
    <row r="295">
      <c r="A295" s="11" t="s">
        <v>3171</v>
      </c>
      <c r="B295" s="9">
        <v>0.05</v>
      </c>
      <c r="C295" s="8"/>
      <c r="D295" s="8"/>
      <c r="E295" s="8"/>
      <c r="F295" s="8" t="b">
        <v>0</v>
      </c>
      <c r="G295" s="11" t="s">
        <v>3172</v>
      </c>
      <c r="H295" s="12"/>
      <c r="I295" s="12"/>
      <c r="J295" s="11" t="s">
        <v>2425</v>
      </c>
      <c r="K295" s="12"/>
      <c r="L295" s="11" t="s">
        <v>3173</v>
      </c>
      <c r="M295" s="11" t="s">
        <v>3174</v>
      </c>
      <c r="N295" s="11" t="s">
        <v>3172</v>
      </c>
      <c r="O295" s="11" t="s">
        <v>3175</v>
      </c>
      <c r="P295" s="13" t="s">
        <v>1282</v>
      </c>
    </row>
    <row r="296">
      <c r="A296" s="11" t="s">
        <v>3176</v>
      </c>
      <c r="B296" s="9">
        <v>0.05</v>
      </c>
      <c r="C296" s="8"/>
      <c r="D296" s="8"/>
      <c r="E296" s="8"/>
      <c r="F296" s="8" t="b">
        <v>0</v>
      </c>
      <c r="G296" s="11" t="s">
        <v>3177</v>
      </c>
      <c r="H296" s="12"/>
      <c r="I296" s="12"/>
      <c r="J296" s="11" t="s">
        <v>2425</v>
      </c>
      <c r="K296" s="12"/>
      <c r="L296" s="11" t="s">
        <v>3178</v>
      </c>
      <c r="M296" s="11" t="s">
        <v>3179</v>
      </c>
      <c r="N296" s="11" t="s">
        <v>3180</v>
      </c>
      <c r="O296" s="11" t="s">
        <v>1533</v>
      </c>
      <c r="P296" s="13" t="s">
        <v>1318</v>
      </c>
    </row>
    <row r="297">
      <c r="A297" s="11" t="s">
        <v>3181</v>
      </c>
      <c r="B297" s="9">
        <v>0.05</v>
      </c>
      <c r="C297" s="8"/>
      <c r="D297" s="8"/>
      <c r="E297" s="8"/>
      <c r="F297" s="8" t="b">
        <v>0</v>
      </c>
      <c r="G297" s="11" t="s">
        <v>3182</v>
      </c>
      <c r="H297" s="12"/>
      <c r="I297" s="11" t="s">
        <v>1344</v>
      </c>
      <c r="J297" s="11" t="s">
        <v>2377</v>
      </c>
      <c r="K297" s="11" t="s">
        <v>1313</v>
      </c>
      <c r="L297" s="11" t="s">
        <v>3183</v>
      </c>
      <c r="M297" s="11" t="s">
        <v>3184</v>
      </c>
      <c r="N297" s="11" t="s">
        <v>3185</v>
      </c>
      <c r="O297" s="11" t="s">
        <v>1349</v>
      </c>
      <c r="P297" s="13" t="s">
        <v>1318</v>
      </c>
    </row>
    <row r="298">
      <c r="A298" s="11" t="s">
        <v>3186</v>
      </c>
      <c r="B298" s="9">
        <v>0.05</v>
      </c>
      <c r="C298" s="8"/>
      <c r="D298" s="8"/>
      <c r="E298" s="8"/>
      <c r="F298" s="12" t="b">
        <v>0</v>
      </c>
      <c r="G298" s="11" t="s">
        <v>3187</v>
      </c>
      <c r="H298" s="12"/>
      <c r="I298" s="11" t="s">
        <v>1407</v>
      </c>
      <c r="J298" s="11" t="s">
        <v>2425</v>
      </c>
      <c r="K298" s="12"/>
      <c r="L298" s="11" t="s">
        <v>3188</v>
      </c>
      <c r="M298" s="11" t="s">
        <v>3189</v>
      </c>
      <c r="N298" s="11" t="s">
        <v>3190</v>
      </c>
      <c r="O298" s="11" t="s">
        <v>1326</v>
      </c>
      <c r="P298" s="13" t="s">
        <v>1318</v>
      </c>
    </row>
    <row r="299">
      <c r="A299" s="11" t="s">
        <v>3191</v>
      </c>
      <c r="B299" s="9">
        <v>0.05</v>
      </c>
      <c r="C299" s="8"/>
      <c r="D299" s="8"/>
      <c r="E299" s="8"/>
      <c r="F299" s="12" t="b">
        <v>0</v>
      </c>
      <c r="G299" s="11" t="s">
        <v>3192</v>
      </c>
      <c r="H299" s="12"/>
      <c r="I299" s="11" t="s">
        <v>1407</v>
      </c>
      <c r="J299" s="11" t="s">
        <v>2425</v>
      </c>
      <c r="K299" s="12"/>
      <c r="L299" s="11" t="s">
        <v>3193</v>
      </c>
      <c r="M299" s="11" t="s">
        <v>3194</v>
      </c>
      <c r="N299" s="11" t="s">
        <v>3195</v>
      </c>
      <c r="O299" s="11" t="s">
        <v>1281</v>
      </c>
      <c r="P299" s="13" t="s">
        <v>1318</v>
      </c>
    </row>
    <row r="300">
      <c r="A300" s="11" t="s">
        <v>3196</v>
      </c>
      <c r="B300" s="9">
        <v>0.05</v>
      </c>
      <c r="C300" s="8"/>
      <c r="D300" s="8"/>
      <c r="E300" s="8"/>
      <c r="F300" s="12" t="b">
        <v>0</v>
      </c>
      <c r="G300" s="11" t="s">
        <v>3197</v>
      </c>
      <c r="H300" s="12"/>
      <c r="I300" s="11" t="s">
        <v>1344</v>
      </c>
      <c r="J300" s="11" t="s">
        <v>2425</v>
      </c>
      <c r="K300" s="12"/>
      <c r="L300" s="11" t="s">
        <v>3198</v>
      </c>
      <c r="M300" s="11" t="s">
        <v>3199</v>
      </c>
      <c r="N300" s="11" t="s">
        <v>3200</v>
      </c>
      <c r="O300" s="11" t="s">
        <v>3201</v>
      </c>
      <c r="P300" s="13" t="s">
        <v>1318</v>
      </c>
    </row>
    <row r="301">
      <c r="A301" s="11" t="s">
        <v>3202</v>
      </c>
      <c r="B301" s="9">
        <v>0.05</v>
      </c>
      <c r="C301" s="8"/>
      <c r="D301" s="8"/>
      <c r="E301" s="8"/>
      <c r="F301" s="12" t="b">
        <v>0</v>
      </c>
      <c r="G301" s="11" t="s">
        <v>3203</v>
      </c>
      <c r="H301" s="12"/>
      <c r="I301" s="11" t="s">
        <v>1344</v>
      </c>
      <c r="J301" s="11" t="s">
        <v>2377</v>
      </c>
      <c r="K301" s="11" t="s">
        <v>1313</v>
      </c>
      <c r="L301" s="11" t="s">
        <v>3204</v>
      </c>
      <c r="M301" s="11" t="s">
        <v>3205</v>
      </c>
      <c r="N301" s="11" t="s">
        <v>3206</v>
      </c>
      <c r="O301" s="11" t="s">
        <v>2413</v>
      </c>
      <c r="P301" s="13" t="s">
        <v>1318</v>
      </c>
    </row>
    <row r="302">
      <c r="A302" s="11" t="s">
        <v>3207</v>
      </c>
      <c r="B302" s="9">
        <v>0.05</v>
      </c>
      <c r="C302" s="8"/>
      <c r="D302" s="8"/>
      <c r="E302" s="8"/>
      <c r="F302" s="12" t="b">
        <v>0</v>
      </c>
      <c r="G302" s="11" t="s">
        <v>3208</v>
      </c>
      <c r="H302" s="12"/>
      <c r="I302" s="11" t="s">
        <v>1344</v>
      </c>
      <c r="J302" s="11" t="s">
        <v>1839</v>
      </c>
      <c r="K302" s="12"/>
      <c r="L302" s="11" t="s">
        <v>3209</v>
      </c>
      <c r="M302" s="11" t="s">
        <v>3210</v>
      </c>
      <c r="N302" s="11" t="s">
        <v>3211</v>
      </c>
      <c r="O302" s="11" t="s">
        <v>1515</v>
      </c>
      <c r="P302" s="11"/>
    </row>
    <row r="303">
      <c r="A303" s="11" t="s">
        <v>3212</v>
      </c>
      <c r="B303" s="9">
        <v>0.0</v>
      </c>
      <c r="C303" s="8"/>
      <c r="D303" s="8"/>
      <c r="E303" s="8"/>
      <c r="F303" s="8" t="b">
        <v>0</v>
      </c>
      <c r="G303" s="11" t="s">
        <v>3213</v>
      </c>
      <c r="H303" s="11" t="s">
        <v>3214</v>
      </c>
      <c r="I303" s="11" t="s">
        <v>1407</v>
      </c>
      <c r="J303" s="11" t="s">
        <v>2425</v>
      </c>
      <c r="K303" s="12"/>
      <c r="L303" s="11" t="s">
        <v>3215</v>
      </c>
      <c r="M303" s="11" t="s">
        <v>3216</v>
      </c>
      <c r="N303" s="11" t="s">
        <v>3217</v>
      </c>
      <c r="O303" s="11" t="s">
        <v>1533</v>
      </c>
      <c r="P303" s="13" t="s">
        <v>1318</v>
      </c>
    </row>
    <row r="304">
      <c r="A304" s="11" t="s">
        <v>3218</v>
      </c>
      <c r="B304" s="9">
        <v>0.0</v>
      </c>
      <c r="C304" s="8"/>
      <c r="D304" s="8"/>
      <c r="E304" s="8"/>
      <c r="F304" s="8" t="b">
        <v>0</v>
      </c>
      <c r="G304" s="11" t="s">
        <v>3219</v>
      </c>
      <c r="H304" s="12"/>
      <c r="I304" s="11" t="s">
        <v>1407</v>
      </c>
      <c r="J304" s="11" t="s">
        <v>1488</v>
      </c>
      <c r="K304" s="12"/>
      <c r="L304" s="11" t="s">
        <v>3220</v>
      </c>
      <c r="M304" s="11" t="s">
        <v>3221</v>
      </c>
      <c r="N304" s="11" t="s">
        <v>3222</v>
      </c>
      <c r="O304" s="11" t="s">
        <v>1326</v>
      </c>
      <c r="P304" s="13" t="s">
        <v>1318</v>
      </c>
    </row>
    <row r="305">
      <c r="A305" s="11" t="s">
        <v>3223</v>
      </c>
      <c r="B305" s="9">
        <v>0.0</v>
      </c>
      <c r="C305" s="8"/>
      <c r="D305" s="8"/>
      <c r="E305" s="8"/>
      <c r="F305" s="12" t="b">
        <v>0</v>
      </c>
      <c r="G305" s="11" t="s">
        <v>3224</v>
      </c>
      <c r="H305" s="12"/>
      <c r="I305" s="12"/>
      <c r="J305" s="11" t="s">
        <v>1345</v>
      </c>
      <c r="K305" s="11" t="s">
        <v>1313</v>
      </c>
      <c r="L305" s="11" t="s">
        <v>3225</v>
      </c>
      <c r="M305" s="11" t="s">
        <v>3226</v>
      </c>
      <c r="N305" s="11" t="s">
        <v>3227</v>
      </c>
      <c r="O305" s="11" t="s">
        <v>1326</v>
      </c>
      <c r="P305" s="13" t="s">
        <v>1318</v>
      </c>
    </row>
    <row r="306">
      <c r="A306" s="11" t="s">
        <v>3228</v>
      </c>
      <c r="B306" s="9">
        <v>0.0</v>
      </c>
      <c r="C306" s="8"/>
      <c r="D306" s="8"/>
      <c r="E306" s="8"/>
      <c r="F306" s="12" t="b">
        <v>0</v>
      </c>
      <c r="G306" s="11" t="s">
        <v>3229</v>
      </c>
      <c r="H306" s="12"/>
      <c r="I306" s="11" t="s">
        <v>1407</v>
      </c>
      <c r="J306" s="11" t="s">
        <v>2425</v>
      </c>
      <c r="K306" s="12"/>
      <c r="L306" s="11" t="s">
        <v>3230</v>
      </c>
      <c r="M306" s="11" t="s">
        <v>3231</v>
      </c>
      <c r="N306" s="11" t="s">
        <v>3232</v>
      </c>
      <c r="O306" s="11" t="s">
        <v>1326</v>
      </c>
      <c r="P306" s="13" t="s">
        <v>1318</v>
      </c>
    </row>
    <row r="307">
      <c r="A307" s="11" t="s">
        <v>3233</v>
      </c>
      <c r="B307" s="9">
        <v>0.0</v>
      </c>
      <c r="C307" s="8"/>
      <c r="D307" s="8"/>
      <c r="E307" s="8"/>
      <c r="F307" s="12" t="b">
        <v>0</v>
      </c>
      <c r="G307" s="11" t="s">
        <v>3234</v>
      </c>
      <c r="H307" s="12"/>
      <c r="I307" s="12"/>
      <c r="J307" s="11" t="s">
        <v>1383</v>
      </c>
      <c r="K307" s="11" t="s">
        <v>1313</v>
      </c>
      <c r="L307" s="11" t="s">
        <v>3235</v>
      </c>
      <c r="M307" s="11" t="s">
        <v>3236</v>
      </c>
      <c r="N307" s="11" t="s">
        <v>3237</v>
      </c>
      <c r="O307" s="11" t="s">
        <v>1302</v>
      </c>
      <c r="P307" s="13" t="s">
        <v>1318</v>
      </c>
    </row>
    <row r="308">
      <c r="A308" s="11" t="s">
        <v>3238</v>
      </c>
      <c r="B308" s="9">
        <v>0.0</v>
      </c>
      <c r="C308" s="8"/>
      <c r="D308" s="8"/>
      <c r="E308" s="8"/>
      <c r="F308" s="12" t="b">
        <v>0</v>
      </c>
      <c r="G308" s="11" t="s">
        <v>3239</v>
      </c>
      <c r="H308" s="12"/>
      <c r="I308" s="11" t="s">
        <v>1344</v>
      </c>
      <c r="J308" s="11" t="s">
        <v>2377</v>
      </c>
      <c r="K308" s="12"/>
      <c r="L308" s="11" t="s">
        <v>3240</v>
      </c>
      <c r="M308" s="11" t="s">
        <v>3241</v>
      </c>
      <c r="N308" s="11" t="s">
        <v>3242</v>
      </c>
      <c r="O308" s="11" t="s">
        <v>2413</v>
      </c>
      <c r="P308" s="13" t="s">
        <v>1318</v>
      </c>
    </row>
    <row r="309">
      <c r="A309" s="11" t="s">
        <v>3243</v>
      </c>
      <c r="B309" s="9">
        <v>0.0</v>
      </c>
      <c r="C309" s="8"/>
      <c r="D309" s="8"/>
      <c r="E309" s="8"/>
      <c r="F309" s="12" t="b">
        <v>0</v>
      </c>
      <c r="G309" s="11" t="s">
        <v>3244</v>
      </c>
      <c r="H309" s="12"/>
      <c r="I309" s="11" t="s">
        <v>1407</v>
      </c>
      <c r="J309" s="11" t="s">
        <v>2425</v>
      </c>
      <c r="K309" s="12"/>
      <c r="L309" s="11" t="s">
        <v>3245</v>
      </c>
      <c r="M309" s="11" t="s">
        <v>3246</v>
      </c>
      <c r="N309" s="11" t="s">
        <v>3247</v>
      </c>
      <c r="O309" s="11" t="s">
        <v>1281</v>
      </c>
      <c r="P309" s="13" t="s">
        <v>1318</v>
      </c>
    </row>
    <row r="310">
      <c r="A310" s="11" t="s">
        <v>3248</v>
      </c>
      <c r="B310" s="9">
        <v>0.0</v>
      </c>
      <c r="C310" s="8"/>
      <c r="D310" s="8"/>
      <c r="E310" s="8"/>
      <c r="F310" s="12" t="b">
        <v>0</v>
      </c>
      <c r="G310" s="11" t="s">
        <v>3249</v>
      </c>
      <c r="H310" s="11" t="s">
        <v>3250</v>
      </c>
      <c r="I310" s="11" t="s">
        <v>1344</v>
      </c>
      <c r="J310" s="11" t="s">
        <v>2425</v>
      </c>
      <c r="K310" s="12"/>
      <c r="L310" s="11" t="s">
        <v>3251</v>
      </c>
      <c r="M310" s="11" t="s">
        <v>3252</v>
      </c>
      <c r="N310" s="11" t="s">
        <v>3253</v>
      </c>
      <c r="O310" s="11" t="s">
        <v>3254</v>
      </c>
      <c r="P310" s="13" t="s">
        <v>1318</v>
      </c>
    </row>
    <row r="311">
      <c r="A311" s="11" t="s">
        <v>3255</v>
      </c>
      <c r="B311" s="9">
        <v>0.0</v>
      </c>
      <c r="C311" s="8"/>
      <c r="D311" s="8"/>
      <c r="E311" s="8"/>
      <c r="F311" s="8" t="b">
        <v>0</v>
      </c>
      <c r="G311" s="11" t="s">
        <v>3256</v>
      </c>
      <c r="H311" s="12"/>
      <c r="I311" s="11" t="s">
        <v>1407</v>
      </c>
      <c r="J311" s="11" t="s">
        <v>1288</v>
      </c>
      <c r="K311" s="12"/>
      <c r="L311" s="11" t="s">
        <v>3257</v>
      </c>
      <c r="M311" s="11" t="s">
        <v>3258</v>
      </c>
      <c r="N311" s="11" t="s">
        <v>3259</v>
      </c>
      <c r="O311" s="11" t="s">
        <v>1302</v>
      </c>
      <c r="P311" s="13" t="s">
        <v>1318</v>
      </c>
    </row>
    <row r="312">
      <c r="A312" s="11" t="s">
        <v>3260</v>
      </c>
      <c r="B312" s="9">
        <v>0.0</v>
      </c>
      <c r="C312" s="8"/>
      <c r="D312" s="8"/>
      <c r="E312" s="8"/>
      <c r="F312" s="12" t="b">
        <v>0</v>
      </c>
      <c r="G312" s="11" t="s">
        <v>3261</v>
      </c>
      <c r="H312" s="12"/>
      <c r="I312" s="11" t="s">
        <v>1407</v>
      </c>
      <c r="J312" s="11" t="s">
        <v>1561</v>
      </c>
      <c r="K312" s="12"/>
      <c r="L312" s="11" t="s">
        <v>3262</v>
      </c>
      <c r="M312" s="11" t="s">
        <v>3263</v>
      </c>
      <c r="N312" s="11" t="s">
        <v>3264</v>
      </c>
      <c r="O312" s="11" t="s">
        <v>1326</v>
      </c>
      <c r="P312" s="13" t="s">
        <v>1318</v>
      </c>
    </row>
    <row r="313">
      <c r="A313" s="11" t="s">
        <v>3265</v>
      </c>
      <c r="B313" s="9">
        <v>0.0</v>
      </c>
      <c r="C313" s="8"/>
      <c r="D313" s="8"/>
      <c r="E313" s="8"/>
      <c r="F313" s="8" t="b">
        <v>0</v>
      </c>
      <c r="G313" s="11" t="s">
        <v>3266</v>
      </c>
      <c r="H313" s="12"/>
      <c r="I313" s="12"/>
      <c r="J313" s="11" t="s">
        <v>1345</v>
      </c>
      <c r="K313" s="11" t="s">
        <v>1313</v>
      </c>
      <c r="L313" s="11" t="s">
        <v>3267</v>
      </c>
      <c r="M313" s="11" t="s">
        <v>3268</v>
      </c>
      <c r="N313" s="11" t="s">
        <v>3269</v>
      </c>
      <c r="O313" s="11" t="s">
        <v>1721</v>
      </c>
      <c r="P313" s="13" t="s">
        <v>1318</v>
      </c>
    </row>
    <row r="314">
      <c r="A314" s="11" t="s">
        <v>3270</v>
      </c>
      <c r="B314" s="18"/>
      <c r="C314" s="12"/>
      <c r="D314" s="12"/>
      <c r="E314" s="12"/>
      <c r="F314" s="8" t="b">
        <v>0</v>
      </c>
      <c r="G314" s="11" t="s">
        <v>3271</v>
      </c>
      <c r="H314" s="11" t="s">
        <v>3272</v>
      </c>
      <c r="I314" s="11" t="s">
        <v>1838</v>
      </c>
      <c r="J314" s="11" t="s">
        <v>1288</v>
      </c>
      <c r="K314" s="12"/>
      <c r="L314" s="11" t="s">
        <v>3273</v>
      </c>
      <c r="M314" s="11" t="s">
        <v>3274</v>
      </c>
      <c r="N314" s="11" t="s">
        <v>3275</v>
      </c>
      <c r="O314" s="11" t="s">
        <v>1293</v>
      </c>
      <c r="P314" s="13" t="s">
        <v>1318</v>
      </c>
    </row>
    <row r="315">
      <c r="A315" s="11" t="s">
        <v>3276</v>
      </c>
      <c r="B315" s="9"/>
      <c r="C315" s="8"/>
      <c r="D315" s="8"/>
      <c r="E315" s="8"/>
      <c r="F315" s="8" t="b">
        <v>0</v>
      </c>
      <c r="G315" s="11" t="s">
        <v>3277</v>
      </c>
      <c r="H315" s="12"/>
      <c r="I315" s="11" t="s">
        <v>1344</v>
      </c>
      <c r="J315" s="11" t="s">
        <v>2377</v>
      </c>
      <c r="K315" s="11" t="s">
        <v>1313</v>
      </c>
      <c r="L315" s="11" t="s">
        <v>3278</v>
      </c>
      <c r="M315" s="12"/>
      <c r="N315" s="11" t="s">
        <v>3279</v>
      </c>
      <c r="O315" s="11" t="s">
        <v>2413</v>
      </c>
      <c r="P315" s="13" t="s">
        <v>1318</v>
      </c>
    </row>
    <row r="316">
      <c r="A316" s="11" t="s">
        <v>3280</v>
      </c>
      <c r="B316" s="9"/>
      <c r="C316" s="8"/>
      <c r="D316" s="8"/>
      <c r="E316" s="8"/>
      <c r="F316" s="8" t="b">
        <v>0</v>
      </c>
      <c r="G316" s="11" t="s">
        <v>3281</v>
      </c>
      <c r="H316" s="12"/>
      <c r="I316" s="12"/>
      <c r="J316" s="11" t="s">
        <v>2377</v>
      </c>
      <c r="K316" s="12"/>
      <c r="L316" s="11" t="s">
        <v>3282</v>
      </c>
      <c r="M316" s="11" t="s">
        <v>3283</v>
      </c>
      <c r="N316" s="11" t="s">
        <v>3284</v>
      </c>
      <c r="O316" s="11" t="s">
        <v>3285</v>
      </c>
      <c r="P316" s="13" t="s">
        <v>1318</v>
      </c>
    </row>
    <row r="317">
      <c r="A317" s="11" t="s">
        <v>3286</v>
      </c>
      <c r="B317" s="9"/>
      <c r="C317" s="8"/>
      <c r="D317" s="8"/>
      <c r="E317" s="8"/>
      <c r="F317" s="8" t="b">
        <v>0</v>
      </c>
      <c r="G317" s="11" t="s">
        <v>3287</v>
      </c>
      <c r="H317" s="12"/>
      <c r="I317" s="11" t="s">
        <v>1344</v>
      </c>
      <c r="J317" s="11" t="s">
        <v>2425</v>
      </c>
      <c r="K317" s="12"/>
      <c r="L317" s="11" t="s">
        <v>3288</v>
      </c>
      <c r="M317" s="11" t="s">
        <v>3289</v>
      </c>
      <c r="N317" s="11" t="s">
        <v>3290</v>
      </c>
      <c r="O317" s="11" t="s">
        <v>2435</v>
      </c>
      <c r="P317" s="13" t="s">
        <v>1318</v>
      </c>
    </row>
    <row r="318">
      <c r="A318" s="11" t="s">
        <v>3291</v>
      </c>
      <c r="B318" s="9"/>
      <c r="C318" s="8"/>
      <c r="D318" s="8"/>
      <c r="E318" s="8"/>
      <c r="F318" s="8" t="b">
        <v>0</v>
      </c>
      <c r="G318" s="11" t="s">
        <v>3292</v>
      </c>
      <c r="H318" s="12"/>
      <c r="I318" s="11" t="s">
        <v>1287</v>
      </c>
      <c r="J318" s="11" t="s">
        <v>2377</v>
      </c>
      <c r="K318" s="11" t="s">
        <v>1277</v>
      </c>
      <c r="L318" s="11" t="s">
        <v>3293</v>
      </c>
      <c r="M318" s="11" t="s">
        <v>3294</v>
      </c>
      <c r="N318" s="11" t="s">
        <v>3295</v>
      </c>
      <c r="O318" s="11" t="s">
        <v>3296</v>
      </c>
      <c r="P318" s="13" t="s">
        <v>1318</v>
      </c>
    </row>
    <row r="319">
      <c r="A319" s="11" t="s">
        <v>3297</v>
      </c>
      <c r="B319" s="9"/>
      <c r="C319" s="8"/>
      <c r="D319" s="8"/>
      <c r="E319" s="8"/>
      <c r="F319" s="8" t="b">
        <v>0</v>
      </c>
      <c r="G319" s="11" t="s">
        <v>3298</v>
      </c>
      <c r="H319" s="12"/>
      <c r="I319" s="12"/>
      <c r="J319" s="11" t="s">
        <v>1276</v>
      </c>
      <c r="K319" s="12"/>
      <c r="L319" s="11" t="s">
        <v>3299</v>
      </c>
      <c r="M319" s="11" t="s">
        <v>3300</v>
      </c>
      <c r="N319" s="11" t="s">
        <v>3301</v>
      </c>
      <c r="O319" s="11" t="s">
        <v>1293</v>
      </c>
      <c r="P319" s="13" t="s">
        <v>1318</v>
      </c>
    </row>
    <row r="320">
      <c r="A320" s="11" t="s">
        <v>3302</v>
      </c>
      <c r="B320" s="9"/>
      <c r="C320" s="8"/>
      <c r="D320" s="8"/>
      <c r="E320" s="8"/>
      <c r="F320" s="12" t="b">
        <v>0</v>
      </c>
      <c r="G320" s="11" t="s">
        <v>1765</v>
      </c>
      <c r="H320" s="11" t="s">
        <v>3303</v>
      </c>
      <c r="I320" s="11" t="s">
        <v>1407</v>
      </c>
      <c r="J320" s="11" t="s">
        <v>2103</v>
      </c>
      <c r="K320" s="11" t="s">
        <v>1289</v>
      </c>
      <c r="L320" s="11" t="s">
        <v>3304</v>
      </c>
      <c r="M320" s="11" t="s">
        <v>3305</v>
      </c>
      <c r="N320" s="11" t="s">
        <v>3306</v>
      </c>
      <c r="O320" s="11" t="s">
        <v>1281</v>
      </c>
      <c r="P320" s="13" t="s">
        <v>1318</v>
      </c>
    </row>
    <row r="321">
      <c r="A321" s="11" t="s">
        <v>3307</v>
      </c>
      <c r="B321" s="9"/>
      <c r="C321" s="8"/>
      <c r="D321" s="8"/>
      <c r="E321" s="8"/>
      <c r="F321" s="12" t="b">
        <v>0</v>
      </c>
      <c r="G321" s="11" t="s">
        <v>3308</v>
      </c>
      <c r="H321" s="11" t="s">
        <v>3309</v>
      </c>
      <c r="I321" s="11" t="s">
        <v>1287</v>
      </c>
      <c r="J321" s="11" t="s">
        <v>1288</v>
      </c>
      <c r="K321" s="12"/>
      <c r="L321" s="11" t="s">
        <v>3310</v>
      </c>
      <c r="M321" s="11" t="s">
        <v>3311</v>
      </c>
      <c r="N321" s="11" t="s">
        <v>3312</v>
      </c>
      <c r="O321" s="11" t="s">
        <v>1293</v>
      </c>
      <c r="P321" s="13" t="s">
        <v>1318</v>
      </c>
    </row>
    <row r="322">
      <c r="A322" s="11" t="s">
        <v>3313</v>
      </c>
      <c r="B322" s="9"/>
      <c r="C322" s="8"/>
      <c r="D322" s="8"/>
      <c r="E322" s="8"/>
      <c r="F322" s="12" t="b">
        <v>0</v>
      </c>
      <c r="G322" s="11" t="s">
        <v>3314</v>
      </c>
      <c r="H322" s="11" t="s">
        <v>3315</v>
      </c>
      <c r="I322" s="11" t="s">
        <v>1344</v>
      </c>
      <c r="J322" s="11" t="s">
        <v>2377</v>
      </c>
      <c r="K322" s="12"/>
      <c r="L322" s="11" t="s">
        <v>3316</v>
      </c>
      <c r="M322" s="11" t="s">
        <v>3317</v>
      </c>
      <c r="N322" s="11" t="s">
        <v>3318</v>
      </c>
      <c r="O322" s="11" t="s">
        <v>1281</v>
      </c>
      <c r="P322" s="13" t="s">
        <v>1318</v>
      </c>
    </row>
    <row r="323">
      <c r="A323" s="11" t="s">
        <v>3319</v>
      </c>
      <c r="B323" s="9"/>
      <c r="C323" s="8"/>
      <c r="D323" s="8"/>
      <c r="E323" s="8"/>
      <c r="F323" s="12" t="b">
        <v>0</v>
      </c>
      <c r="G323" s="11" t="s">
        <v>3320</v>
      </c>
      <c r="H323" s="12"/>
      <c r="I323" s="12"/>
      <c r="J323" s="11" t="s">
        <v>1288</v>
      </c>
      <c r="K323" s="12"/>
      <c r="L323" s="11" t="s">
        <v>3321</v>
      </c>
      <c r="M323" s="11" t="s">
        <v>3322</v>
      </c>
      <c r="N323" s="11" t="s">
        <v>3323</v>
      </c>
      <c r="O323" s="11" t="s">
        <v>1326</v>
      </c>
      <c r="P323" s="13" t="s">
        <v>1318</v>
      </c>
    </row>
    <row r="324">
      <c r="A324" s="11" t="s">
        <v>3324</v>
      </c>
      <c r="B324" s="9"/>
      <c r="C324" s="8"/>
      <c r="D324" s="8"/>
      <c r="E324" s="8"/>
      <c r="F324" s="12" t="b">
        <v>0</v>
      </c>
      <c r="G324" s="11" t="s">
        <v>3325</v>
      </c>
      <c r="H324" s="11" t="s">
        <v>3326</v>
      </c>
      <c r="I324" s="11" t="s">
        <v>1344</v>
      </c>
      <c r="J324" s="11" t="s">
        <v>2425</v>
      </c>
      <c r="K324" s="12"/>
      <c r="L324" s="11" t="s">
        <v>3327</v>
      </c>
      <c r="M324" s="11" t="s">
        <v>3328</v>
      </c>
      <c r="N324" s="11" t="s">
        <v>3329</v>
      </c>
      <c r="O324" s="11" t="s">
        <v>1281</v>
      </c>
      <c r="P324" s="13" t="s">
        <v>1318</v>
      </c>
    </row>
    <row r="325">
      <c r="A325" s="11" t="s">
        <v>3330</v>
      </c>
      <c r="B325" s="9"/>
      <c r="C325" s="8"/>
      <c r="D325" s="8"/>
      <c r="E325" s="8"/>
      <c r="F325" s="12" t="b">
        <v>0</v>
      </c>
      <c r="G325" s="14" t="s">
        <v>3331</v>
      </c>
      <c r="H325" s="11" t="s">
        <v>3332</v>
      </c>
      <c r="I325" s="11" t="s">
        <v>1344</v>
      </c>
      <c r="J325" s="11" t="s">
        <v>2425</v>
      </c>
      <c r="K325" s="12"/>
      <c r="L325" s="11" t="s">
        <v>3333</v>
      </c>
      <c r="M325" s="11" t="s">
        <v>3334</v>
      </c>
      <c r="N325" s="11" t="s">
        <v>3335</v>
      </c>
      <c r="O325" s="11" t="s">
        <v>2582</v>
      </c>
      <c r="P325" s="13" t="s">
        <v>1318</v>
      </c>
    </row>
    <row r="326">
      <c r="A326" s="11" t="s">
        <v>3336</v>
      </c>
      <c r="B326" s="9"/>
      <c r="C326" s="8"/>
      <c r="D326" s="8"/>
      <c r="E326" s="8"/>
      <c r="F326" s="12" t="b">
        <v>0</v>
      </c>
      <c r="G326" s="11" t="s">
        <v>3337</v>
      </c>
      <c r="H326" s="11" t="s">
        <v>3338</v>
      </c>
      <c r="I326" s="11" t="s">
        <v>1344</v>
      </c>
      <c r="J326" s="11" t="s">
        <v>1276</v>
      </c>
      <c r="K326" s="12"/>
      <c r="L326" s="11" t="s">
        <v>3339</v>
      </c>
      <c r="M326" s="11" t="s">
        <v>3340</v>
      </c>
      <c r="N326" s="11" t="s">
        <v>3341</v>
      </c>
      <c r="O326" s="11" t="s">
        <v>1515</v>
      </c>
      <c r="P326" s="13" t="s">
        <v>1318</v>
      </c>
    </row>
    <row r="327">
      <c r="A327" s="11" t="s">
        <v>3342</v>
      </c>
      <c r="B327" s="9"/>
      <c r="C327" s="8"/>
      <c r="D327" s="8"/>
      <c r="E327" s="8"/>
      <c r="F327" s="12" t="b">
        <v>0</v>
      </c>
      <c r="G327" s="11" t="s">
        <v>3343</v>
      </c>
      <c r="H327" s="11" t="s">
        <v>3344</v>
      </c>
      <c r="I327" s="11" t="s">
        <v>1344</v>
      </c>
      <c r="J327" s="11" t="s">
        <v>2377</v>
      </c>
      <c r="K327" s="12"/>
      <c r="L327" s="11" t="s">
        <v>3345</v>
      </c>
      <c r="M327" s="11" t="s">
        <v>3346</v>
      </c>
      <c r="N327" s="12"/>
      <c r="O327" s="11" t="s">
        <v>2413</v>
      </c>
      <c r="P327" s="13" t="s">
        <v>1318</v>
      </c>
    </row>
    <row r="328">
      <c r="A328" s="11" t="s">
        <v>3347</v>
      </c>
      <c r="B328" s="9"/>
      <c r="C328" s="8"/>
      <c r="D328" s="8"/>
      <c r="E328" s="8"/>
      <c r="F328" s="12" t="b">
        <v>0</v>
      </c>
      <c r="G328" s="11" t="s">
        <v>3348</v>
      </c>
      <c r="H328" s="11" t="s">
        <v>3349</v>
      </c>
      <c r="I328" s="12"/>
      <c r="J328" s="11" t="s">
        <v>1276</v>
      </c>
      <c r="K328" s="12"/>
      <c r="L328" s="11" t="s">
        <v>3350</v>
      </c>
      <c r="M328" s="11" t="s">
        <v>3351</v>
      </c>
      <c r="N328" s="11" t="s">
        <v>3352</v>
      </c>
      <c r="O328" s="11" t="s">
        <v>1326</v>
      </c>
      <c r="P328" s="13" t="s">
        <v>1318</v>
      </c>
    </row>
    <row r="329">
      <c r="A329" s="11" t="s">
        <v>3353</v>
      </c>
      <c r="B329" s="9"/>
      <c r="C329" s="8"/>
      <c r="D329" s="8"/>
      <c r="E329" s="8"/>
      <c r="F329" s="12" t="b">
        <v>0</v>
      </c>
      <c r="G329" s="11" t="s">
        <v>3354</v>
      </c>
      <c r="H329" s="12"/>
      <c r="I329" s="12"/>
      <c r="J329" s="11" t="s">
        <v>1839</v>
      </c>
      <c r="K329" s="11" t="s">
        <v>1313</v>
      </c>
      <c r="L329" s="11" t="s">
        <v>3355</v>
      </c>
      <c r="M329" s="11" t="s">
        <v>3356</v>
      </c>
      <c r="N329" s="12"/>
      <c r="O329" s="11" t="s">
        <v>1326</v>
      </c>
      <c r="P329" s="13" t="s">
        <v>1318</v>
      </c>
    </row>
    <row r="330">
      <c r="A330" s="11" t="s">
        <v>3357</v>
      </c>
      <c r="B330" s="9"/>
      <c r="C330" s="8"/>
      <c r="D330" s="8"/>
      <c r="E330" s="8"/>
      <c r="F330" s="12" t="b">
        <v>0</v>
      </c>
      <c r="G330" s="11" t="s">
        <v>3358</v>
      </c>
      <c r="H330" s="11" t="s">
        <v>3359</v>
      </c>
      <c r="I330" s="11" t="s">
        <v>1407</v>
      </c>
      <c r="J330" s="11" t="s">
        <v>1276</v>
      </c>
      <c r="K330" s="12"/>
      <c r="L330" s="11" t="s">
        <v>3360</v>
      </c>
      <c r="M330" s="11" t="s">
        <v>3361</v>
      </c>
      <c r="N330" s="11" t="s">
        <v>3362</v>
      </c>
      <c r="O330" s="11" t="s">
        <v>2582</v>
      </c>
      <c r="P330" s="13" t="s">
        <v>1318</v>
      </c>
    </row>
    <row r="331">
      <c r="A331" s="11" t="s">
        <v>3363</v>
      </c>
      <c r="B331" s="9"/>
      <c r="C331" s="8"/>
      <c r="D331" s="8"/>
      <c r="E331" s="8"/>
      <c r="F331" s="12" t="b">
        <v>0</v>
      </c>
      <c r="G331" s="11" t="s">
        <v>3364</v>
      </c>
      <c r="H331" s="11" t="s">
        <v>3272</v>
      </c>
      <c r="I331" s="11" t="s">
        <v>1344</v>
      </c>
      <c r="J331" s="11" t="s">
        <v>1383</v>
      </c>
      <c r="K331" s="12"/>
      <c r="L331" s="11" t="s">
        <v>3365</v>
      </c>
      <c r="M331" s="11" t="s">
        <v>3366</v>
      </c>
      <c r="N331" s="11" t="s">
        <v>3367</v>
      </c>
      <c r="O331" s="11" t="s">
        <v>1474</v>
      </c>
      <c r="P331" s="13" t="s">
        <v>1318</v>
      </c>
    </row>
    <row r="332">
      <c r="A332" s="11" t="s">
        <v>3368</v>
      </c>
      <c r="B332" s="9"/>
      <c r="C332" s="8"/>
      <c r="D332" s="8"/>
      <c r="E332" s="8"/>
      <c r="F332" s="12" t="b">
        <v>0</v>
      </c>
      <c r="G332" s="11" t="s">
        <v>3369</v>
      </c>
      <c r="H332" s="12"/>
      <c r="I332" s="11" t="s">
        <v>1344</v>
      </c>
      <c r="J332" s="11" t="s">
        <v>1345</v>
      </c>
      <c r="K332" s="11" t="s">
        <v>1313</v>
      </c>
      <c r="L332" s="11" t="s">
        <v>3370</v>
      </c>
      <c r="M332" s="11" t="s">
        <v>3371</v>
      </c>
      <c r="N332" s="11" t="s">
        <v>3372</v>
      </c>
      <c r="O332" s="11" t="s">
        <v>1721</v>
      </c>
      <c r="P332" s="13" t="s">
        <v>1318</v>
      </c>
    </row>
    <row r="333">
      <c r="A333" s="11" t="s">
        <v>3373</v>
      </c>
      <c r="B333" s="9"/>
      <c r="C333" s="8"/>
      <c r="D333" s="8"/>
      <c r="E333" s="8"/>
      <c r="F333" s="12" t="b">
        <v>0</v>
      </c>
      <c r="G333" s="11" t="s">
        <v>3374</v>
      </c>
      <c r="H333" s="11" t="s">
        <v>3375</v>
      </c>
      <c r="I333" s="11" t="s">
        <v>1407</v>
      </c>
      <c r="J333" s="11" t="s">
        <v>1345</v>
      </c>
      <c r="K333" s="12"/>
      <c r="L333" s="11" t="s">
        <v>3376</v>
      </c>
      <c r="M333" s="11" t="s">
        <v>3377</v>
      </c>
      <c r="N333" s="11" t="s">
        <v>3378</v>
      </c>
      <c r="O333" s="11" t="s">
        <v>1281</v>
      </c>
      <c r="P333" s="13" t="s">
        <v>1318</v>
      </c>
    </row>
    <row r="334">
      <c r="A334" s="11" t="s">
        <v>3379</v>
      </c>
      <c r="B334" s="9"/>
      <c r="C334" s="8"/>
      <c r="D334" s="8"/>
      <c r="E334" s="8"/>
      <c r="F334" s="12" t="b">
        <v>0</v>
      </c>
      <c r="G334" s="11" t="s">
        <v>3380</v>
      </c>
      <c r="H334" s="11" t="s">
        <v>3381</v>
      </c>
      <c r="I334" s="11" t="s">
        <v>1344</v>
      </c>
      <c r="J334" s="11" t="s">
        <v>1488</v>
      </c>
      <c r="K334" s="12"/>
      <c r="L334" s="11" t="s">
        <v>3382</v>
      </c>
      <c r="M334" s="11" t="s">
        <v>3383</v>
      </c>
      <c r="N334" s="11" t="s">
        <v>3384</v>
      </c>
      <c r="O334" s="11" t="s">
        <v>2033</v>
      </c>
      <c r="P334" s="13" t="s">
        <v>1318</v>
      </c>
    </row>
    <row r="335">
      <c r="A335" s="11"/>
      <c r="B335" s="9"/>
      <c r="C335" s="8"/>
      <c r="D335" s="8"/>
      <c r="E335" s="8"/>
      <c r="F335" s="12"/>
      <c r="G335" s="11"/>
      <c r="H335" s="11"/>
      <c r="I335" s="11"/>
      <c r="J335" s="11"/>
      <c r="K335" s="12"/>
      <c r="L335" s="11"/>
      <c r="M335" s="11"/>
      <c r="N335" s="11"/>
      <c r="O335" s="11"/>
      <c r="P335" s="8"/>
    </row>
    <row r="336">
      <c r="A336" s="11"/>
      <c r="B336" s="9"/>
      <c r="C336" s="8"/>
      <c r="D336" s="8"/>
      <c r="E336" s="8"/>
      <c r="F336" s="12"/>
      <c r="G336" s="11"/>
      <c r="H336" s="11"/>
      <c r="I336" s="11"/>
      <c r="J336" s="11"/>
      <c r="K336" s="12"/>
      <c r="L336" s="11"/>
      <c r="M336" s="11"/>
      <c r="N336" s="11"/>
      <c r="O336" s="11"/>
      <c r="P336" s="8"/>
    </row>
    <row r="337">
      <c r="A337" s="11"/>
      <c r="B337" s="9"/>
      <c r="C337" s="8"/>
      <c r="D337" s="8"/>
      <c r="E337" s="8"/>
      <c r="F337" s="12"/>
      <c r="G337" s="11"/>
      <c r="H337" s="11"/>
      <c r="I337" s="11"/>
      <c r="J337" s="11"/>
      <c r="K337" s="12"/>
      <c r="L337" s="11"/>
      <c r="M337" s="11"/>
      <c r="N337" s="11"/>
      <c r="O337" s="11"/>
      <c r="P337" s="8"/>
    </row>
    <row r="338">
      <c r="A338" s="11"/>
      <c r="B338" s="9"/>
      <c r="C338" s="8"/>
      <c r="D338" s="8"/>
      <c r="E338" s="8"/>
      <c r="F338" s="12"/>
      <c r="G338" s="11"/>
      <c r="H338" s="11"/>
      <c r="I338" s="11"/>
      <c r="J338" s="11"/>
      <c r="K338" s="12"/>
      <c r="L338" s="11"/>
      <c r="M338" s="11"/>
      <c r="N338" s="11"/>
      <c r="O338" s="11"/>
      <c r="P338" s="8"/>
    </row>
    <row r="339">
      <c r="A339" s="11"/>
      <c r="B339" s="9"/>
      <c r="C339" s="8"/>
      <c r="D339" s="8"/>
      <c r="E339" s="8"/>
      <c r="F339" s="12"/>
      <c r="G339" s="11"/>
      <c r="H339" s="11"/>
      <c r="I339" s="11"/>
      <c r="J339" s="11"/>
      <c r="K339" s="12"/>
      <c r="L339" s="11"/>
      <c r="M339" s="11"/>
      <c r="N339" s="11"/>
      <c r="O339" s="11"/>
      <c r="P339" s="8"/>
    </row>
    <row r="340">
      <c r="A340" s="11"/>
      <c r="B340" s="9"/>
      <c r="C340" s="8"/>
      <c r="D340" s="8"/>
      <c r="E340" s="8"/>
      <c r="F340" s="12"/>
      <c r="G340" s="11"/>
      <c r="H340" s="11"/>
      <c r="I340" s="11"/>
      <c r="J340" s="11"/>
      <c r="K340" s="12"/>
      <c r="L340" s="11"/>
      <c r="M340" s="11"/>
      <c r="N340" s="11"/>
      <c r="O340" s="11"/>
      <c r="P340" s="8"/>
    </row>
    <row r="341">
      <c r="A341" s="11"/>
      <c r="B341" s="9"/>
      <c r="C341" s="8"/>
      <c r="D341" s="8"/>
      <c r="E341" s="8"/>
      <c r="F341" s="12"/>
      <c r="G341" s="11"/>
      <c r="H341" s="11"/>
      <c r="I341" s="11"/>
      <c r="J341" s="11"/>
      <c r="K341" s="12"/>
      <c r="L341" s="11"/>
      <c r="M341" s="11"/>
      <c r="N341" s="11"/>
      <c r="O341" s="11"/>
      <c r="P341" s="8"/>
    </row>
    <row r="342">
      <c r="A342" s="11"/>
      <c r="B342" s="9"/>
      <c r="C342" s="8"/>
      <c r="D342" s="8"/>
      <c r="E342" s="8"/>
      <c r="F342" s="12"/>
      <c r="G342" s="11"/>
      <c r="H342" s="11"/>
      <c r="I342" s="11"/>
      <c r="J342" s="11"/>
      <c r="K342" s="12"/>
      <c r="L342" s="11"/>
      <c r="M342" s="11"/>
      <c r="N342" s="11"/>
      <c r="O342" s="11"/>
      <c r="P342" s="8"/>
    </row>
    <row r="343">
      <c r="A343" s="11"/>
      <c r="B343" s="9"/>
      <c r="C343" s="8"/>
      <c r="D343" s="8"/>
      <c r="E343" s="8"/>
      <c r="F343" s="12"/>
      <c r="G343" s="11"/>
      <c r="H343" s="11"/>
      <c r="I343" s="11"/>
      <c r="J343" s="11"/>
      <c r="K343" s="12"/>
      <c r="L343" s="11"/>
      <c r="M343" s="11"/>
      <c r="N343" s="11"/>
      <c r="O343" s="11"/>
      <c r="P343" s="8"/>
    </row>
    <row r="344">
      <c r="A344" s="11"/>
      <c r="B344" s="9"/>
      <c r="C344" s="8"/>
      <c r="D344" s="8"/>
      <c r="E344" s="8"/>
      <c r="F344" s="12"/>
      <c r="G344" s="11"/>
      <c r="H344" s="11"/>
      <c r="I344" s="11"/>
      <c r="J344" s="11"/>
      <c r="K344" s="12"/>
      <c r="L344" s="11"/>
      <c r="M344" s="11"/>
      <c r="N344" s="11"/>
      <c r="O344" s="11"/>
      <c r="P344" s="8"/>
    </row>
    <row r="345">
      <c r="A345" s="11"/>
      <c r="B345" s="9"/>
      <c r="C345" s="8"/>
      <c r="D345" s="8"/>
      <c r="E345" s="8"/>
      <c r="F345" s="12"/>
      <c r="G345" s="11"/>
      <c r="H345" s="11"/>
      <c r="I345" s="11"/>
      <c r="J345" s="11"/>
      <c r="K345" s="12"/>
      <c r="L345" s="11"/>
      <c r="M345" s="11"/>
      <c r="N345" s="11"/>
      <c r="O345" s="11"/>
      <c r="P345" s="8"/>
    </row>
    <row r="346">
      <c r="A346" s="11"/>
      <c r="B346" s="9"/>
      <c r="C346" s="8"/>
      <c r="D346" s="8"/>
      <c r="E346" s="8"/>
      <c r="F346" s="12"/>
      <c r="G346" s="11"/>
      <c r="H346" s="11"/>
      <c r="I346" s="11"/>
      <c r="J346" s="11"/>
      <c r="K346" s="12"/>
      <c r="L346" s="11"/>
      <c r="M346" s="11"/>
      <c r="N346" s="11"/>
      <c r="O346" s="11"/>
      <c r="P346" s="8"/>
    </row>
    <row r="347">
      <c r="A347" s="11"/>
      <c r="B347" s="9"/>
      <c r="C347" s="8"/>
      <c r="D347" s="8"/>
      <c r="E347" s="8"/>
      <c r="F347" s="12"/>
      <c r="G347" s="11"/>
      <c r="H347" s="11"/>
      <c r="I347" s="11"/>
      <c r="J347" s="11"/>
      <c r="K347" s="12"/>
      <c r="L347" s="11"/>
      <c r="M347" s="11"/>
      <c r="N347" s="11"/>
      <c r="O347" s="11"/>
      <c r="P347" s="8"/>
    </row>
    <row r="348">
      <c r="A348" s="11"/>
      <c r="B348" s="9"/>
      <c r="C348" s="8"/>
      <c r="D348" s="8"/>
      <c r="E348" s="8"/>
      <c r="F348" s="12"/>
      <c r="G348" s="11"/>
      <c r="H348" s="11"/>
      <c r="I348" s="11"/>
      <c r="J348" s="11"/>
      <c r="K348" s="12"/>
      <c r="L348" s="11"/>
      <c r="M348" s="11"/>
      <c r="N348" s="11"/>
      <c r="O348" s="11"/>
      <c r="P348" s="8"/>
    </row>
    <row r="349">
      <c r="A349" s="11"/>
      <c r="B349" s="9"/>
      <c r="C349" s="8"/>
      <c r="D349" s="8"/>
      <c r="E349" s="8"/>
      <c r="F349" s="12"/>
      <c r="G349" s="11"/>
      <c r="H349" s="11"/>
      <c r="I349" s="11"/>
      <c r="J349" s="11"/>
      <c r="K349" s="12"/>
      <c r="L349" s="11"/>
      <c r="M349" s="11"/>
      <c r="N349" s="11"/>
      <c r="O349" s="11"/>
      <c r="P349" s="8"/>
    </row>
    <row r="350">
      <c r="A350" s="11"/>
      <c r="B350" s="9"/>
      <c r="C350" s="8"/>
      <c r="D350" s="8"/>
      <c r="E350" s="8"/>
      <c r="F350" s="12"/>
      <c r="G350" s="11"/>
      <c r="H350" s="11"/>
      <c r="I350" s="11"/>
      <c r="J350" s="11"/>
      <c r="K350" s="12"/>
      <c r="L350" s="11"/>
      <c r="M350" s="11"/>
      <c r="N350" s="11"/>
      <c r="O350" s="11"/>
      <c r="P350" s="8"/>
    </row>
    <row r="351">
      <c r="A351" s="11"/>
      <c r="B351" s="9"/>
      <c r="C351" s="8"/>
      <c r="D351" s="8"/>
      <c r="E351" s="8"/>
      <c r="F351" s="12"/>
      <c r="G351" s="11"/>
      <c r="H351" s="11"/>
      <c r="I351" s="11"/>
      <c r="J351" s="11"/>
      <c r="K351" s="12"/>
      <c r="L351" s="11"/>
      <c r="M351" s="11"/>
      <c r="N351" s="11"/>
      <c r="O351" s="11"/>
      <c r="P351" s="8"/>
    </row>
    <row r="352">
      <c r="A352" s="11"/>
      <c r="B352" s="9"/>
      <c r="C352" s="8"/>
      <c r="D352" s="8"/>
      <c r="E352" s="8"/>
      <c r="F352" s="12"/>
      <c r="G352" s="11"/>
      <c r="H352" s="11"/>
      <c r="I352" s="11"/>
      <c r="J352" s="11"/>
      <c r="K352" s="12"/>
      <c r="L352" s="11"/>
      <c r="M352" s="11"/>
      <c r="N352" s="11"/>
      <c r="O352" s="11"/>
      <c r="P352" s="8"/>
    </row>
    <row r="353">
      <c r="A353" s="11"/>
      <c r="B353" s="9"/>
      <c r="C353" s="8"/>
      <c r="D353" s="8"/>
      <c r="E353" s="8"/>
      <c r="F353" s="12"/>
      <c r="G353" s="11"/>
      <c r="H353" s="11"/>
      <c r="I353" s="11"/>
      <c r="J353" s="11"/>
      <c r="K353" s="12"/>
      <c r="L353" s="11"/>
      <c r="M353" s="11"/>
      <c r="N353" s="11"/>
      <c r="O353" s="11"/>
      <c r="P353" s="8"/>
    </row>
    <row r="354">
      <c r="A354" s="11"/>
      <c r="B354" s="9"/>
      <c r="C354" s="8"/>
      <c r="D354" s="8"/>
      <c r="E354" s="8"/>
      <c r="F354" s="12"/>
      <c r="G354" s="11"/>
      <c r="H354" s="11"/>
      <c r="I354" s="11"/>
      <c r="J354" s="11"/>
      <c r="K354" s="12"/>
      <c r="L354" s="11"/>
      <c r="M354" s="11"/>
      <c r="N354" s="11"/>
      <c r="O354" s="11"/>
      <c r="P354" s="8"/>
    </row>
    <row r="355">
      <c r="A355" s="11"/>
      <c r="B355" s="9"/>
      <c r="C355" s="8"/>
      <c r="D355" s="8"/>
      <c r="E355" s="8"/>
      <c r="F355" s="12"/>
      <c r="G355" s="11"/>
      <c r="H355" s="11"/>
      <c r="I355" s="11"/>
      <c r="J355" s="11"/>
      <c r="K355" s="12"/>
      <c r="L355" s="11"/>
      <c r="M355" s="11"/>
      <c r="N355" s="11"/>
      <c r="O355" s="11"/>
      <c r="P355" s="8"/>
    </row>
    <row r="356">
      <c r="A356" s="11"/>
      <c r="B356" s="9"/>
      <c r="C356" s="8"/>
      <c r="D356" s="8"/>
      <c r="E356" s="8"/>
      <c r="F356" s="12"/>
      <c r="G356" s="11"/>
      <c r="H356" s="11"/>
      <c r="I356" s="11"/>
      <c r="J356" s="11"/>
      <c r="K356" s="12"/>
      <c r="L356" s="11"/>
      <c r="M356" s="11"/>
      <c r="N356" s="11"/>
      <c r="O356" s="11"/>
      <c r="P356" s="8"/>
    </row>
    <row r="357">
      <c r="A357" s="11"/>
      <c r="B357" s="9"/>
      <c r="C357" s="8"/>
      <c r="D357" s="8"/>
      <c r="E357" s="8"/>
      <c r="F357" s="12"/>
      <c r="G357" s="11"/>
      <c r="H357" s="11"/>
      <c r="I357" s="11"/>
      <c r="J357" s="11"/>
      <c r="K357" s="12"/>
      <c r="L357" s="11"/>
      <c r="M357" s="11"/>
      <c r="N357" s="11"/>
      <c r="O357" s="11"/>
      <c r="P357" s="8"/>
    </row>
    <row r="358">
      <c r="A358" s="11"/>
      <c r="B358" s="9"/>
      <c r="C358" s="8"/>
      <c r="D358" s="8"/>
      <c r="E358" s="8"/>
      <c r="F358" s="12"/>
      <c r="G358" s="11"/>
      <c r="H358" s="11"/>
      <c r="I358" s="11"/>
      <c r="J358" s="11"/>
      <c r="K358" s="12"/>
      <c r="L358" s="11"/>
      <c r="M358" s="11"/>
      <c r="N358" s="11"/>
      <c r="O358" s="11"/>
      <c r="P358" s="8"/>
    </row>
    <row r="359">
      <c r="A359" s="11"/>
      <c r="B359" s="9"/>
      <c r="C359" s="8"/>
      <c r="D359" s="8"/>
      <c r="E359" s="8"/>
      <c r="F359" s="12"/>
      <c r="G359" s="11"/>
      <c r="H359" s="11"/>
      <c r="I359" s="11"/>
      <c r="J359" s="11"/>
      <c r="K359" s="12"/>
      <c r="L359" s="11"/>
      <c r="M359" s="11"/>
      <c r="N359" s="11"/>
      <c r="O359" s="11"/>
      <c r="P359" s="8"/>
    </row>
    <row r="360">
      <c r="A360" s="11"/>
      <c r="B360" s="9"/>
      <c r="C360" s="8"/>
      <c r="D360" s="8"/>
      <c r="E360" s="8"/>
      <c r="F360" s="12"/>
      <c r="G360" s="11"/>
      <c r="H360" s="11"/>
      <c r="I360" s="11"/>
      <c r="J360" s="11"/>
      <c r="K360" s="12"/>
      <c r="L360" s="11"/>
      <c r="M360" s="11"/>
      <c r="N360" s="11"/>
      <c r="O360" s="11"/>
      <c r="P360" s="8"/>
    </row>
    <row r="361">
      <c r="A361" s="11"/>
      <c r="B361" s="9"/>
      <c r="C361" s="8"/>
      <c r="D361" s="8"/>
      <c r="E361" s="8"/>
      <c r="F361" s="12"/>
      <c r="G361" s="11"/>
      <c r="H361" s="11"/>
      <c r="I361" s="11"/>
      <c r="J361" s="11"/>
      <c r="K361" s="12"/>
      <c r="L361" s="11"/>
      <c r="M361" s="11"/>
      <c r="N361" s="11"/>
      <c r="O361" s="11"/>
      <c r="P361" s="8"/>
    </row>
    <row r="362">
      <c r="A362" s="11"/>
      <c r="B362" s="9"/>
      <c r="C362" s="8"/>
      <c r="D362" s="8"/>
      <c r="E362" s="8"/>
      <c r="F362" s="12"/>
      <c r="G362" s="11"/>
      <c r="H362" s="11"/>
      <c r="I362" s="11"/>
      <c r="J362" s="11"/>
      <c r="K362" s="12"/>
      <c r="L362" s="11"/>
      <c r="M362" s="11"/>
      <c r="N362" s="11"/>
      <c r="O362" s="11"/>
      <c r="P362" s="8"/>
    </row>
    <row r="363">
      <c r="A363" s="11"/>
      <c r="B363" s="9"/>
      <c r="C363" s="8"/>
      <c r="D363" s="8"/>
      <c r="E363" s="8"/>
      <c r="F363" s="12"/>
      <c r="G363" s="11"/>
      <c r="H363" s="11"/>
      <c r="I363" s="11"/>
      <c r="J363" s="11"/>
      <c r="K363" s="12"/>
      <c r="L363" s="11"/>
      <c r="M363" s="11"/>
      <c r="N363" s="11"/>
      <c r="O363" s="11"/>
      <c r="P363" s="8"/>
    </row>
    <row r="364">
      <c r="A364" s="11"/>
      <c r="B364" s="9"/>
      <c r="C364" s="8"/>
      <c r="D364" s="8"/>
      <c r="E364" s="8"/>
      <c r="F364" s="12"/>
      <c r="G364" s="11"/>
      <c r="H364" s="11"/>
      <c r="I364" s="11"/>
      <c r="J364" s="11"/>
      <c r="K364" s="12"/>
      <c r="L364" s="11"/>
      <c r="M364" s="11"/>
      <c r="N364" s="11"/>
      <c r="O364" s="11"/>
      <c r="P364" s="8"/>
    </row>
    <row r="365">
      <c r="A365" s="11"/>
      <c r="B365" s="9"/>
      <c r="C365" s="8"/>
      <c r="D365" s="8"/>
      <c r="E365" s="8"/>
      <c r="F365" s="12"/>
      <c r="G365" s="11"/>
      <c r="H365" s="11"/>
      <c r="I365" s="11"/>
      <c r="J365" s="11"/>
      <c r="K365" s="12"/>
      <c r="L365" s="11"/>
      <c r="M365" s="11"/>
      <c r="N365" s="11"/>
      <c r="O365" s="11"/>
      <c r="P365" s="8"/>
    </row>
    <row r="366">
      <c r="A366" s="11"/>
      <c r="B366" s="9"/>
      <c r="C366" s="8"/>
      <c r="D366" s="8"/>
      <c r="E366" s="8"/>
      <c r="F366" s="12"/>
      <c r="G366" s="11"/>
      <c r="H366" s="11"/>
      <c r="I366" s="11"/>
      <c r="J366" s="11"/>
      <c r="K366" s="12"/>
      <c r="L366" s="11"/>
      <c r="M366" s="11"/>
      <c r="N366" s="11"/>
      <c r="O366" s="11"/>
      <c r="P366" s="8"/>
    </row>
    <row r="367">
      <c r="A367" s="11"/>
      <c r="B367" s="9"/>
      <c r="C367" s="8"/>
      <c r="D367" s="8"/>
      <c r="E367" s="8"/>
      <c r="F367" s="12"/>
      <c r="G367" s="11"/>
      <c r="H367" s="11"/>
      <c r="I367" s="11"/>
      <c r="J367" s="11"/>
      <c r="K367" s="12"/>
      <c r="L367" s="11"/>
      <c r="M367" s="11"/>
      <c r="N367" s="11"/>
      <c r="O367" s="11"/>
      <c r="P367" s="8"/>
    </row>
    <row r="368">
      <c r="A368" s="11"/>
      <c r="B368" s="9"/>
      <c r="C368" s="8"/>
      <c r="D368" s="8"/>
      <c r="E368" s="8"/>
      <c r="F368" s="12"/>
      <c r="G368" s="11"/>
      <c r="H368" s="11"/>
      <c r="I368" s="11"/>
      <c r="J368" s="11"/>
      <c r="K368" s="12"/>
      <c r="L368" s="11"/>
      <c r="M368" s="11"/>
      <c r="N368" s="11"/>
      <c r="O368" s="11"/>
      <c r="P368" s="8"/>
    </row>
    <row r="369">
      <c r="A369" s="11"/>
      <c r="B369" s="9"/>
      <c r="C369" s="8"/>
      <c r="D369" s="8"/>
      <c r="E369" s="8"/>
      <c r="F369" s="12"/>
      <c r="G369" s="11"/>
      <c r="H369" s="11"/>
      <c r="I369" s="11"/>
      <c r="J369" s="11"/>
      <c r="K369" s="12"/>
      <c r="L369" s="11"/>
      <c r="M369" s="11"/>
      <c r="N369" s="11"/>
      <c r="O369" s="11"/>
      <c r="P369" s="8"/>
    </row>
    <row r="370">
      <c r="A370" s="11"/>
      <c r="B370" s="9"/>
      <c r="C370" s="8"/>
      <c r="D370" s="8"/>
      <c r="E370" s="8"/>
      <c r="F370" s="12"/>
      <c r="G370" s="11"/>
      <c r="H370" s="11"/>
      <c r="I370" s="11"/>
      <c r="J370" s="11"/>
      <c r="K370" s="12"/>
      <c r="L370" s="11"/>
      <c r="M370" s="11"/>
      <c r="N370" s="11"/>
      <c r="O370" s="11"/>
      <c r="P370" s="8"/>
    </row>
    <row r="371">
      <c r="A371" s="11"/>
      <c r="B371" s="9"/>
      <c r="C371" s="8"/>
      <c r="D371" s="8"/>
      <c r="E371" s="8"/>
      <c r="F371" s="12"/>
      <c r="G371" s="11"/>
      <c r="H371" s="11"/>
      <c r="I371" s="11"/>
      <c r="J371" s="11"/>
      <c r="K371" s="12"/>
      <c r="L371" s="11"/>
      <c r="M371" s="11"/>
      <c r="N371" s="11"/>
      <c r="O371" s="11"/>
      <c r="P371" s="8"/>
    </row>
    <row r="372">
      <c r="A372" s="11"/>
      <c r="B372" s="9"/>
      <c r="C372" s="8"/>
      <c r="D372" s="8"/>
      <c r="E372" s="8"/>
      <c r="F372" s="12"/>
      <c r="G372" s="11"/>
      <c r="H372" s="11"/>
      <c r="I372" s="11"/>
      <c r="J372" s="11"/>
      <c r="K372" s="12"/>
      <c r="L372" s="11"/>
      <c r="M372" s="11"/>
      <c r="N372" s="11"/>
      <c r="O372" s="11"/>
      <c r="P372" s="8"/>
    </row>
    <row r="373">
      <c r="A373" s="11"/>
      <c r="B373" s="9"/>
      <c r="C373" s="8"/>
      <c r="D373" s="8"/>
      <c r="E373" s="8"/>
      <c r="F373" s="12"/>
      <c r="G373" s="11"/>
      <c r="H373" s="11"/>
      <c r="I373" s="11"/>
      <c r="J373" s="11"/>
      <c r="K373" s="12"/>
      <c r="L373" s="11"/>
      <c r="M373" s="11"/>
      <c r="N373" s="11"/>
      <c r="O373" s="11"/>
      <c r="P373" s="8"/>
    </row>
    <row r="374">
      <c r="A374" s="11"/>
      <c r="B374" s="9"/>
      <c r="C374" s="8"/>
      <c r="D374" s="8"/>
      <c r="E374" s="8"/>
      <c r="F374" s="12"/>
      <c r="G374" s="11"/>
      <c r="H374" s="11"/>
      <c r="I374" s="11"/>
      <c r="J374" s="11"/>
      <c r="K374" s="12"/>
      <c r="L374" s="11"/>
      <c r="M374" s="11"/>
      <c r="N374" s="11"/>
      <c r="O374" s="11"/>
      <c r="P374" s="8"/>
    </row>
    <row r="375">
      <c r="A375" s="11"/>
      <c r="B375" s="9"/>
      <c r="C375" s="8"/>
      <c r="D375" s="8"/>
      <c r="E375" s="8"/>
      <c r="F375" s="12"/>
      <c r="G375" s="11"/>
      <c r="H375" s="11"/>
      <c r="I375" s="11"/>
      <c r="J375" s="11"/>
      <c r="K375" s="12"/>
      <c r="L375" s="11"/>
      <c r="M375" s="11"/>
      <c r="N375" s="11"/>
      <c r="O375" s="11"/>
      <c r="P375" s="8"/>
    </row>
    <row r="376">
      <c r="A376" s="11"/>
      <c r="B376" s="9"/>
      <c r="C376" s="8"/>
      <c r="D376" s="8"/>
      <c r="E376" s="8"/>
      <c r="F376" s="12"/>
      <c r="G376" s="11"/>
      <c r="H376" s="11"/>
      <c r="I376" s="11"/>
      <c r="J376" s="11"/>
      <c r="K376" s="12"/>
      <c r="L376" s="11"/>
      <c r="M376" s="11"/>
      <c r="N376" s="11"/>
      <c r="O376" s="11"/>
      <c r="P376" s="8"/>
    </row>
    <row r="377">
      <c r="A377" s="11"/>
      <c r="B377" s="9"/>
      <c r="C377" s="8"/>
      <c r="D377" s="8"/>
      <c r="E377" s="8"/>
      <c r="F377" s="12"/>
      <c r="G377" s="11"/>
      <c r="H377" s="11"/>
      <c r="I377" s="11"/>
      <c r="J377" s="11"/>
      <c r="K377" s="12"/>
      <c r="L377" s="11"/>
      <c r="M377" s="11"/>
      <c r="N377" s="11"/>
      <c r="O377" s="11"/>
      <c r="P377" s="8"/>
    </row>
    <row r="378">
      <c r="A378" s="11"/>
      <c r="B378" s="9"/>
      <c r="C378" s="8"/>
      <c r="D378" s="8"/>
      <c r="E378" s="8"/>
      <c r="F378" s="12"/>
      <c r="G378" s="11"/>
      <c r="H378" s="11"/>
      <c r="I378" s="11"/>
      <c r="J378" s="11"/>
      <c r="K378" s="12"/>
      <c r="L378" s="11"/>
      <c r="M378" s="11"/>
      <c r="N378" s="11"/>
      <c r="O378" s="11"/>
      <c r="P378" s="8"/>
    </row>
    <row r="379">
      <c r="A379" s="11"/>
      <c r="B379" s="9"/>
      <c r="C379" s="8"/>
      <c r="D379" s="8"/>
      <c r="E379" s="8"/>
      <c r="F379" s="12"/>
      <c r="G379" s="11"/>
      <c r="H379" s="11"/>
      <c r="I379" s="11"/>
      <c r="J379" s="11"/>
      <c r="K379" s="12"/>
      <c r="L379" s="11"/>
      <c r="M379" s="11"/>
      <c r="N379" s="11"/>
      <c r="O379" s="11"/>
      <c r="P379" s="8"/>
    </row>
    <row r="380">
      <c r="A380" s="11"/>
      <c r="B380" s="9"/>
      <c r="C380" s="8"/>
      <c r="D380" s="8"/>
      <c r="E380" s="8"/>
      <c r="F380" s="12"/>
      <c r="G380" s="11"/>
      <c r="H380" s="11"/>
      <c r="I380" s="11"/>
      <c r="J380" s="11"/>
      <c r="K380" s="12"/>
      <c r="L380" s="11"/>
      <c r="M380" s="11"/>
      <c r="N380" s="11"/>
      <c r="O380" s="11"/>
      <c r="P380" s="8"/>
    </row>
    <row r="381">
      <c r="A381" s="11"/>
      <c r="B381" s="9"/>
      <c r="C381" s="8"/>
      <c r="D381" s="8"/>
      <c r="E381" s="8"/>
      <c r="F381" s="12"/>
      <c r="G381" s="11"/>
      <c r="H381" s="11"/>
      <c r="I381" s="11"/>
      <c r="J381" s="11"/>
      <c r="K381" s="12"/>
      <c r="L381" s="11"/>
      <c r="M381" s="11"/>
      <c r="N381" s="11"/>
      <c r="O381" s="11"/>
      <c r="P381" s="8"/>
    </row>
    <row r="382">
      <c r="A382" s="11"/>
      <c r="B382" s="9"/>
      <c r="C382" s="8"/>
      <c r="D382" s="8"/>
      <c r="E382" s="8"/>
      <c r="F382" s="12"/>
      <c r="G382" s="11"/>
      <c r="H382" s="11"/>
      <c r="I382" s="11"/>
      <c r="J382" s="11"/>
      <c r="K382" s="12"/>
      <c r="L382" s="11"/>
      <c r="M382" s="11"/>
      <c r="N382" s="11"/>
      <c r="O382" s="11"/>
      <c r="P382" s="8"/>
    </row>
    <row r="383">
      <c r="A383" s="11"/>
      <c r="B383" s="9"/>
      <c r="C383" s="8"/>
      <c r="D383" s="8"/>
      <c r="E383" s="8"/>
      <c r="F383" s="12"/>
      <c r="G383" s="11"/>
      <c r="H383" s="11"/>
      <c r="I383" s="11"/>
      <c r="J383" s="11"/>
      <c r="K383" s="12"/>
      <c r="L383" s="11"/>
      <c r="M383" s="11"/>
      <c r="N383" s="11"/>
      <c r="O383" s="11"/>
      <c r="P383" s="8"/>
    </row>
    <row r="384">
      <c r="A384" s="11"/>
      <c r="B384" s="9"/>
      <c r="C384" s="8"/>
      <c r="D384" s="8"/>
      <c r="E384" s="8"/>
      <c r="F384" s="12"/>
      <c r="G384" s="11"/>
      <c r="H384" s="11"/>
      <c r="I384" s="11"/>
      <c r="J384" s="11"/>
      <c r="K384" s="12"/>
      <c r="L384" s="11"/>
      <c r="M384" s="11"/>
      <c r="N384" s="11"/>
      <c r="O384" s="11"/>
      <c r="P384" s="8"/>
    </row>
    <row r="385">
      <c r="A385" s="11"/>
      <c r="B385" s="9"/>
      <c r="C385" s="8"/>
      <c r="D385" s="8"/>
      <c r="E385" s="8"/>
      <c r="F385" s="12"/>
      <c r="G385" s="11"/>
      <c r="H385" s="11"/>
      <c r="I385" s="11"/>
      <c r="J385" s="11"/>
      <c r="K385" s="12"/>
      <c r="L385" s="11"/>
      <c r="M385" s="11"/>
      <c r="N385" s="11"/>
      <c r="O385" s="11"/>
      <c r="P385" s="8"/>
    </row>
    <row r="386">
      <c r="A386" s="11"/>
      <c r="B386" s="9"/>
      <c r="C386" s="8"/>
      <c r="D386" s="8"/>
      <c r="E386" s="8"/>
      <c r="F386" s="12"/>
      <c r="G386" s="11"/>
      <c r="H386" s="11"/>
      <c r="I386" s="11"/>
      <c r="J386" s="11"/>
      <c r="K386" s="12"/>
      <c r="L386" s="11"/>
      <c r="M386" s="11"/>
      <c r="N386" s="11"/>
      <c r="O386" s="11"/>
      <c r="P386" s="8"/>
    </row>
    <row r="387">
      <c r="A387" s="11"/>
      <c r="B387" s="9"/>
      <c r="C387" s="8"/>
      <c r="D387" s="8"/>
      <c r="E387" s="8"/>
      <c r="F387" s="12"/>
      <c r="G387" s="11"/>
      <c r="H387" s="11"/>
      <c r="I387" s="11"/>
      <c r="J387" s="11"/>
      <c r="K387" s="12"/>
      <c r="L387" s="11"/>
      <c r="M387" s="11"/>
      <c r="N387" s="11"/>
      <c r="O387" s="11"/>
      <c r="P387" s="8"/>
    </row>
    <row r="388">
      <c r="A388" s="11"/>
      <c r="B388" s="9"/>
      <c r="C388" s="8"/>
      <c r="D388" s="8"/>
      <c r="E388" s="8"/>
      <c r="F388" s="12"/>
      <c r="G388" s="11"/>
      <c r="H388" s="11"/>
      <c r="I388" s="11"/>
      <c r="J388" s="11"/>
      <c r="K388" s="12"/>
      <c r="L388" s="11"/>
      <c r="M388" s="11"/>
      <c r="N388" s="11"/>
      <c r="O388" s="11"/>
      <c r="P388" s="8"/>
    </row>
    <row r="389">
      <c r="A389" s="11"/>
      <c r="B389" s="9"/>
      <c r="C389" s="8"/>
      <c r="D389" s="8"/>
      <c r="E389" s="8"/>
      <c r="F389" s="12"/>
      <c r="G389" s="11"/>
      <c r="H389" s="11"/>
      <c r="I389" s="11"/>
      <c r="J389" s="11"/>
      <c r="K389" s="12"/>
      <c r="L389" s="11"/>
      <c r="M389" s="11"/>
      <c r="N389" s="11"/>
      <c r="O389" s="11"/>
      <c r="P389" s="8"/>
    </row>
    <row r="390">
      <c r="A390" s="11"/>
      <c r="B390" s="9"/>
      <c r="C390" s="8"/>
      <c r="D390" s="8"/>
      <c r="E390" s="8"/>
      <c r="F390" s="12"/>
      <c r="G390" s="11"/>
      <c r="H390" s="11"/>
      <c r="I390" s="11"/>
      <c r="J390" s="11"/>
      <c r="K390" s="12"/>
      <c r="L390" s="11"/>
      <c r="M390" s="11"/>
      <c r="N390" s="11"/>
      <c r="O390" s="11"/>
      <c r="P390" s="8"/>
    </row>
    <row r="391">
      <c r="A391" s="11"/>
      <c r="B391" s="9"/>
      <c r="C391" s="8"/>
      <c r="D391" s="8"/>
      <c r="E391" s="8"/>
      <c r="F391" s="12"/>
      <c r="G391" s="11"/>
      <c r="H391" s="11"/>
      <c r="I391" s="11"/>
      <c r="J391" s="11"/>
      <c r="K391" s="12"/>
      <c r="L391" s="11"/>
      <c r="M391" s="11"/>
      <c r="N391" s="11"/>
      <c r="O391" s="11"/>
      <c r="P391" s="8"/>
    </row>
    <row r="392">
      <c r="A392" s="11"/>
      <c r="B392" s="9"/>
      <c r="C392" s="8"/>
      <c r="D392" s="8"/>
      <c r="E392" s="8"/>
      <c r="F392" s="12"/>
      <c r="G392" s="11"/>
      <c r="H392" s="11"/>
      <c r="I392" s="11"/>
      <c r="J392" s="11"/>
      <c r="K392" s="12"/>
      <c r="L392" s="11"/>
      <c r="M392" s="11"/>
      <c r="N392" s="11"/>
      <c r="O392" s="11"/>
      <c r="P392" s="8"/>
    </row>
    <row r="393">
      <c r="A393" s="11"/>
      <c r="B393" s="9"/>
      <c r="C393" s="8"/>
      <c r="D393" s="8"/>
      <c r="E393" s="8"/>
      <c r="F393" s="12"/>
      <c r="G393" s="11"/>
      <c r="H393" s="11"/>
      <c r="I393" s="11"/>
      <c r="J393" s="11"/>
      <c r="K393" s="12"/>
      <c r="L393" s="11"/>
      <c r="M393" s="11"/>
      <c r="N393" s="11"/>
      <c r="O393" s="11"/>
      <c r="P393" s="8"/>
    </row>
    <row r="394">
      <c r="A394" s="11"/>
      <c r="B394" s="9"/>
      <c r="C394" s="8"/>
      <c r="D394" s="8"/>
      <c r="E394" s="8"/>
      <c r="F394" s="12"/>
      <c r="G394" s="11"/>
      <c r="H394" s="11"/>
      <c r="I394" s="11"/>
      <c r="J394" s="11"/>
      <c r="K394" s="12"/>
      <c r="L394" s="11"/>
      <c r="M394" s="11"/>
      <c r="N394" s="11"/>
      <c r="O394" s="11"/>
      <c r="P394" s="8"/>
    </row>
    <row r="395">
      <c r="A395" s="11"/>
      <c r="B395" s="9"/>
      <c r="C395" s="8"/>
      <c r="D395" s="8"/>
      <c r="E395" s="8"/>
      <c r="F395" s="12"/>
      <c r="G395" s="11"/>
      <c r="H395" s="11"/>
      <c r="I395" s="11"/>
      <c r="J395" s="11"/>
      <c r="K395" s="12"/>
      <c r="L395" s="11"/>
      <c r="M395" s="11"/>
      <c r="N395" s="11"/>
      <c r="O395" s="11"/>
      <c r="P395" s="8"/>
    </row>
    <row r="396">
      <c r="A396" s="11"/>
      <c r="B396" s="9"/>
      <c r="C396" s="8"/>
      <c r="D396" s="8"/>
      <c r="E396" s="8"/>
      <c r="F396" s="12"/>
      <c r="G396" s="11"/>
      <c r="H396" s="11"/>
      <c r="I396" s="11"/>
      <c r="J396" s="11"/>
      <c r="K396" s="12"/>
      <c r="L396" s="11"/>
      <c r="M396" s="11"/>
      <c r="N396" s="11"/>
      <c r="O396" s="11"/>
      <c r="P396" s="8"/>
    </row>
    <row r="397">
      <c r="A397" s="11"/>
      <c r="B397" s="9"/>
      <c r="C397" s="8"/>
      <c r="D397" s="8"/>
      <c r="E397" s="8"/>
      <c r="F397" s="12"/>
      <c r="G397" s="11"/>
      <c r="H397" s="11"/>
      <c r="I397" s="11"/>
      <c r="J397" s="11"/>
      <c r="K397" s="12"/>
      <c r="L397" s="11"/>
      <c r="M397" s="11"/>
      <c r="N397" s="11"/>
      <c r="O397" s="11"/>
      <c r="P397" s="8"/>
    </row>
    <row r="398">
      <c r="A398" s="11"/>
      <c r="B398" s="9"/>
      <c r="C398" s="8"/>
      <c r="D398" s="8"/>
      <c r="E398" s="8"/>
      <c r="F398" s="12"/>
      <c r="G398" s="11"/>
      <c r="H398" s="11"/>
      <c r="I398" s="11"/>
      <c r="J398" s="11"/>
      <c r="K398" s="12"/>
      <c r="L398" s="11"/>
      <c r="M398" s="11"/>
      <c r="N398" s="11"/>
      <c r="O398" s="11"/>
      <c r="P398" s="8"/>
    </row>
    <row r="399">
      <c r="A399" s="11"/>
      <c r="B399" s="9"/>
      <c r="C399" s="8"/>
      <c r="D399" s="8"/>
      <c r="E399" s="8"/>
      <c r="F399" s="12"/>
      <c r="G399" s="11"/>
      <c r="H399" s="11"/>
      <c r="I399" s="11"/>
      <c r="J399" s="11"/>
      <c r="K399" s="12"/>
      <c r="L399" s="11"/>
      <c r="M399" s="11"/>
      <c r="N399" s="11"/>
      <c r="O399" s="11"/>
      <c r="P399" s="8"/>
    </row>
    <row r="400">
      <c r="A400" s="11"/>
      <c r="B400" s="9"/>
      <c r="C400" s="8"/>
      <c r="D400" s="8"/>
      <c r="E400" s="8"/>
      <c r="F400" s="12"/>
      <c r="G400" s="11"/>
      <c r="H400" s="11"/>
      <c r="I400" s="11"/>
      <c r="J400" s="11"/>
      <c r="K400" s="12"/>
      <c r="L400" s="11"/>
      <c r="M400" s="11"/>
      <c r="N400" s="11"/>
      <c r="O400" s="11"/>
      <c r="P400" s="8"/>
    </row>
    <row r="401">
      <c r="A401" s="11"/>
      <c r="B401" s="9"/>
      <c r="C401" s="8"/>
      <c r="D401" s="8"/>
      <c r="E401" s="8"/>
      <c r="F401" s="12"/>
      <c r="G401" s="11"/>
      <c r="H401" s="11"/>
      <c r="I401" s="11"/>
      <c r="J401" s="11"/>
      <c r="K401" s="12"/>
      <c r="L401" s="11"/>
      <c r="M401" s="11"/>
      <c r="N401" s="11"/>
      <c r="O401" s="11"/>
      <c r="P401" s="8"/>
    </row>
    <row r="402">
      <c r="A402" s="11"/>
      <c r="B402" s="9"/>
      <c r="C402" s="8"/>
      <c r="D402" s="8"/>
      <c r="E402" s="8"/>
      <c r="F402" s="12"/>
      <c r="G402" s="11"/>
      <c r="H402" s="11"/>
      <c r="I402" s="11"/>
      <c r="J402" s="11"/>
      <c r="K402" s="12"/>
      <c r="L402" s="11"/>
      <c r="M402" s="11"/>
      <c r="N402" s="11"/>
      <c r="O402" s="11"/>
      <c r="P402" s="8"/>
    </row>
    <row r="403">
      <c r="A403" s="11"/>
      <c r="B403" s="9"/>
      <c r="C403" s="8"/>
      <c r="D403" s="8"/>
      <c r="E403" s="8"/>
      <c r="F403" s="12"/>
      <c r="G403" s="11"/>
      <c r="H403" s="11"/>
      <c r="I403" s="11"/>
      <c r="J403" s="11"/>
      <c r="K403" s="12"/>
      <c r="L403" s="11"/>
      <c r="M403" s="11"/>
      <c r="N403" s="11"/>
      <c r="O403" s="11"/>
      <c r="P403" s="8"/>
    </row>
    <row r="404">
      <c r="A404" s="11"/>
      <c r="B404" s="9"/>
      <c r="C404" s="8"/>
      <c r="D404" s="8"/>
      <c r="E404" s="8"/>
      <c r="F404" s="12"/>
      <c r="G404" s="11"/>
      <c r="H404" s="11"/>
      <c r="I404" s="11"/>
      <c r="J404" s="11"/>
      <c r="K404" s="12"/>
      <c r="L404" s="11"/>
      <c r="M404" s="11"/>
      <c r="N404" s="11"/>
      <c r="O404" s="11"/>
      <c r="P404" s="8"/>
    </row>
    <row r="405">
      <c r="A405" s="11"/>
      <c r="B405" s="9"/>
      <c r="C405" s="8"/>
      <c r="D405" s="8"/>
      <c r="E405" s="8"/>
      <c r="F405" s="12"/>
      <c r="G405" s="11"/>
      <c r="H405" s="11"/>
      <c r="I405" s="11"/>
      <c r="J405" s="11"/>
      <c r="K405" s="12"/>
      <c r="L405" s="11"/>
      <c r="M405" s="11"/>
      <c r="N405" s="11"/>
      <c r="O405" s="11"/>
      <c r="P405" s="8"/>
    </row>
    <row r="406">
      <c r="A406" s="11"/>
      <c r="B406" s="9"/>
      <c r="C406" s="8"/>
      <c r="D406" s="8"/>
      <c r="E406" s="8"/>
      <c r="F406" s="12"/>
      <c r="G406" s="11"/>
      <c r="H406" s="11"/>
      <c r="I406" s="11"/>
      <c r="J406" s="11"/>
      <c r="K406" s="12"/>
      <c r="L406" s="11"/>
      <c r="M406" s="11"/>
      <c r="N406" s="11"/>
      <c r="O406" s="11"/>
      <c r="P406" s="8"/>
    </row>
    <row r="407">
      <c r="A407" s="11"/>
      <c r="B407" s="9"/>
      <c r="C407" s="8"/>
      <c r="D407" s="8"/>
      <c r="E407" s="8"/>
      <c r="F407" s="12"/>
      <c r="G407" s="11"/>
      <c r="H407" s="11"/>
      <c r="I407" s="11"/>
      <c r="J407" s="11"/>
      <c r="K407" s="12"/>
      <c r="L407" s="11"/>
      <c r="M407" s="11"/>
      <c r="N407" s="11"/>
      <c r="O407" s="11"/>
      <c r="P407" s="8"/>
    </row>
    <row r="408">
      <c r="A408" s="11"/>
      <c r="B408" s="9"/>
      <c r="C408" s="8"/>
      <c r="D408" s="8"/>
      <c r="E408" s="8"/>
      <c r="F408" s="12"/>
      <c r="G408" s="11"/>
      <c r="H408" s="11"/>
      <c r="I408" s="11"/>
      <c r="J408" s="11"/>
      <c r="K408" s="12"/>
      <c r="L408" s="11"/>
      <c r="M408" s="11"/>
      <c r="N408" s="11"/>
      <c r="O408" s="11"/>
      <c r="P408" s="8"/>
    </row>
    <row r="409">
      <c r="A409" s="11"/>
      <c r="B409" s="9"/>
      <c r="C409" s="8"/>
      <c r="D409" s="8"/>
      <c r="E409" s="8"/>
      <c r="F409" s="12"/>
      <c r="G409" s="11"/>
      <c r="H409" s="11"/>
      <c r="I409" s="11"/>
      <c r="J409" s="11"/>
      <c r="K409" s="12"/>
      <c r="L409" s="11"/>
      <c r="M409" s="11"/>
      <c r="N409" s="11"/>
      <c r="O409" s="11"/>
      <c r="P409" s="8"/>
    </row>
    <row r="410">
      <c r="A410" s="11"/>
      <c r="B410" s="9"/>
      <c r="C410" s="8"/>
      <c r="D410" s="8"/>
      <c r="E410" s="8"/>
      <c r="F410" s="12"/>
      <c r="G410" s="11"/>
      <c r="H410" s="11"/>
      <c r="I410" s="11"/>
      <c r="J410" s="11"/>
      <c r="K410" s="12"/>
      <c r="L410" s="11"/>
      <c r="M410" s="11"/>
      <c r="N410" s="11"/>
      <c r="O410" s="11"/>
      <c r="P410" s="8"/>
    </row>
    <row r="411">
      <c r="A411" s="11"/>
      <c r="B411" s="9"/>
      <c r="C411" s="8"/>
      <c r="D411" s="8"/>
      <c r="E411" s="8"/>
      <c r="F411" s="12"/>
      <c r="G411" s="11"/>
      <c r="H411" s="11"/>
      <c r="I411" s="11"/>
      <c r="J411" s="11"/>
      <c r="K411" s="12"/>
      <c r="L411" s="11"/>
      <c r="M411" s="11"/>
      <c r="N411" s="11"/>
      <c r="O411" s="11"/>
      <c r="P411" s="8"/>
    </row>
    <row r="412">
      <c r="A412" s="11"/>
      <c r="B412" s="9"/>
      <c r="C412" s="8"/>
      <c r="D412" s="8"/>
      <c r="E412" s="8"/>
      <c r="F412" s="12"/>
      <c r="G412" s="11"/>
      <c r="H412" s="11"/>
      <c r="I412" s="11"/>
      <c r="J412" s="11"/>
      <c r="K412" s="12"/>
      <c r="L412" s="11"/>
      <c r="M412" s="11"/>
      <c r="N412" s="11"/>
      <c r="O412" s="11"/>
      <c r="P412" s="8"/>
    </row>
    <row r="413">
      <c r="A413" s="11"/>
      <c r="B413" s="9"/>
      <c r="C413" s="8"/>
      <c r="D413" s="8"/>
      <c r="E413" s="8"/>
      <c r="F413" s="12"/>
      <c r="G413" s="11"/>
      <c r="H413" s="11"/>
      <c r="I413" s="11"/>
      <c r="J413" s="11"/>
      <c r="K413" s="12"/>
      <c r="L413" s="11"/>
      <c r="M413" s="11"/>
      <c r="N413" s="11"/>
      <c r="O413" s="11"/>
      <c r="P413" s="8"/>
    </row>
    <row r="414">
      <c r="A414" s="11"/>
      <c r="B414" s="9"/>
      <c r="C414" s="8"/>
      <c r="D414" s="8"/>
      <c r="E414" s="8"/>
      <c r="F414" s="12"/>
      <c r="G414" s="11"/>
      <c r="H414" s="11"/>
      <c r="I414" s="11"/>
      <c r="J414" s="11"/>
      <c r="K414" s="12"/>
      <c r="L414" s="11"/>
      <c r="M414" s="11"/>
      <c r="N414" s="11"/>
      <c r="O414" s="11"/>
      <c r="P414" s="8"/>
    </row>
    <row r="415">
      <c r="A415" s="11"/>
      <c r="B415" s="9"/>
      <c r="C415" s="8"/>
      <c r="D415" s="8"/>
      <c r="E415" s="8"/>
      <c r="F415" s="12"/>
      <c r="G415" s="11"/>
      <c r="H415" s="11"/>
      <c r="I415" s="11"/>
      <c r="J415" s="11"/>
      <c r="K415" s="12"/>
      <c r="L415" s="11"/>
      <c r="M415" s="11"/>
      <c r="N415" s="11"/>
      <c r="O415" s="11"/>
      <c r="P415" s="8"/>
    </row>
    <row r="416">
      <c r="A416" s="11"/>
      <c r="B416" s="9"/>
      <c r="C416" s="8"/>
      <c r="D416" s="8"/>
      <c r="E416" s="8"/>
      <c r="F416" s="12"/>
      <c r="G416" s="11"/>
      <c r="H416" s="11"/>
      <c r="I416" s="11"/>
      <c r="J416" s="11"/>
      <c r="K416" s="12"/>
      <c r="L416" s="11"/>
      <c r="M416" s="11"/>
      <c r="N416" s="11"/>
      <c r="O416" s="11"/>
      <c r="P416" s="8"/>
    </row>
    <row r="417">
      <c r="A417" s="11"/>
      <c r="B417" s="9"/>
      <c r="C417" s="8"/>
      <c r="D417" s="8"/>
      <c r="E417" s="8"/>
      <c r="F417" s="12"/>
      <c r="G417" s="11"/>
      <c r="H417" s="11"/>
      <c r="I417" s="11"/>
      <c r="J417" s="11"/>
      <c r="K417" s="12"/>
      <c r="L417" s="11"/>
      <c r="M417" s="11"/>
      <c r="N417" s="11"/>
      <c r="O417" s="11"/>
      <c r="P417" s="8"/>
    </row>
    <row r="418">
      <c r="A418" s="11"/>
      <c r="B418" s="9"/>
      <c r="C418" s="8"/>
      <c r="D418" s="8"/>
      <c r="E418" s="8"/>
      <c r="F418" s="12"/>
      <c r="G418" s="11"/>
      <c r="H418" s="11"/>
      <c r="I418" s="11"/>
      <c r="J418" s="11"/>
      <c r="K418" s="12"/>
      <c r="L418" s="11"/>
      <c r="M418" s="11"/>
      <c r="N418" s="11"/>
      <c r="O418" s="11"/>
      <c r="P418" s="8"/>
    </row>
    <row r="419">
      <c r="A419" s="11"/>
      <c r="B419" s="9"/>
      <c r="C419" s="8"/>
      <c r="D419" s="8"/>
      <c r="E419" s="8"/>
      <c r="F419" s="12"/>
      <c r="G419" s="11"/>
      <c r="H419" s="11"/>
      <c r="I419" s="11"/>
      <c r="J419" s="11"/>
      <c r="K419" s="12"/>
      <c r="L419" s="11"/>
      <c r="M419" s="11"/>
      <c r="N419" s="11"/>
      <c r="O419" s="11"/>
      <c r="P419" s="8"/>
    </row>
    <row r="420">
      <c r="A420" s="11"/>
      <c r="B420" s="9"/>
      <c r="C420" s="8"/>
      <c r="D420" s="8"/>
      <c r="E420" s="8"/>
      <c r="F420" s="12"/>
      <c r="G420" s="11"/>
      <c r="H420" s="11"/>
      <c r="I420" s="11"/>
      <c r="J420" s="11"/>
      <c r="K420" s="12"/>
      <c r="L420" s="11"/>
      <c r="M420" s="11"/>
      <c r="N420" s="11"/>
      <c r="O420" s="11"/>
      <c r="P420" s="8"/>
    </row>
    <row r="421">
      <c r="A421" s="11"/>
      <c r="B421" s="9"/>
      <c r="C421" s="8"/>
      <c r="D421" s="8"/>
      <c r="E421" s="8"/>
      <c r="F421" s="12"/>
      <c r="G421" s="11"/>
      <c r="H421" s="11"/>
      <c r="I421" s="11"/>
      <c r="J421" s="11"/>
      <c r="K421" s="12"/>
      <c r="L421" s="11"/>
      <c r="M421" s="11"/>
      <c r="N421" s="11"/>
      <c r="O421" s="11"/>
      <c r="P421" s="8"/>
    </row>
    <row r="422">
      <c r="A422" s="11"/>
      <c r="B422" s="9"/>
      <c r="C422" s="8"/>
      <c r="D422" s="8"/>
      <c r="E422" s="8"/>
      <c r="F422" s="12"/>
      <c r="G422" s="11"/>
      <c r="H422" s="11"/>
      <c r="I422" s="11"/>
      <c r="J422" s="11"/>
      <c r="K422" s="12"/>
      <c r="L422" s="11"/>
      <c r="M422" s="11"/>
      <c r="N422" s="11"/>
      <c r="O422" s="11"/>
      <c r="P422" s="8"/>
    </row>
    <row r="423">
      <c r="A423" s="11"/>
      <c r="B423" s="9"/>
      <c r="C423" s="8"/>
      <c r="D423" s="8"/>
      <c r="E423" s="8"/>
      <c r="F423" s="12"/>
      <c r="G423" s="11"/>
      <c r="H423" s="11"/>
      <c r="I423" s="11"/>
      <c r="J423" s="11"/>
      <c r="K423" s="12"/>
      <c r="L423" s="11"/>
      <c r="M423" s="11"/>
      <c r="N423" s="11"/>
      <c r="O423" s="11"/>
      <c r="P423" s="8"/>
    </row>
    <row r="424">
      <c r="A424" s="11"/>
      <c r="B424" s="9"/>
      <c r="C424" s="8"/>
      <c r="D424" s="8"/>
      <c r="E424" s="8"/>
      <c r="F424" s="12"/>
      <c r="G424" s="11"/>
      <c r="H424" s="11"/>
      <c r="I424" s="11"/>
      <c r="J424" s="11"/>
      <c r="K424" s="12"/>
      <c r="L424" s="11"/>
      <c r="M424" s="11"/>
      <c r="N424" s="11"/>
      <c r="O424" s="11"/>
      <c r="P424" s="8"/>
    </row>
    <row r="425">
      <c r="A425" s="11"/>
      <c r="B425" s="9"/>
      <c r="C425" s="8"/>
      <c r="D425" s="8"/>
      <c r="E425" s="8"/>
      <c r="F425" s="12"/>
      <c r="G425" s="11"/>
      <c r="H425" s="11"/>
      <c r="I425" s="11"/>
      <c r="J425" s="11"/>
      <c r="K425" s="12"/>
      <c r="L425" s="11"/>
      <c r="M425" s="11"/>
      <c r="N425" s="11"/>
      <c r="O425" s="11"/>
      <c r="P425" s="8"/>
    </row>
    <row r="426">
      <c r="A426" s="11"/>
      <c r="B426" s="9"/>
      <c r="C426" s="8"/>
      <c r="D426" s="8"/>
      <c r="E426" s="8"/>
      <c r="F426" s="12"/>
      <c r="G426" s="11"/>
      <c r="H426" s="11"/>
      <c r="I426" s="11"/>
      <c r="J426" s="11"/>
      <c r="K426" s="12"/>
      <c r="L426" s="11"/>
      <c r="M426" s="11"/>
      <c r="N426" s="11"/>
      <c r="O426" s="11"/>
      <c r="P426" s="8"/>
    </row>
    <row r="427">
      <c r="A427" s="11"/>
      <c r="B427" s="9"/>
      <c r="C427" s="8"/>
      <c r="D427" s="8"/>
      <c r="E427" s="8"/>
      <c r="F427" s="12"/>
      <c r="G427" s="11"/>
      <c r="H427" s="11"/>
      <c r="I427" s="11"/>
      <c r="J427" s="11"/>
      <c r="K427" s="12"/>
      <c r="L427" s="11"/>
      <c r="M427" s="11"/>
      <c r="N427" s="11"/>
      <c r="O427" s="11"/>
      <c r="P427" s="8"/>
    </row>
    <row r="428">
      <c r="A428" s="11"/>
      <c r="B428" s="9"/>
      <c r="C428" s="8"/>
      <c r="D428" s="8"/>
      <c r="E428" s="8"/>
      <c r="F428" s="12"/>
      <c r="G428" s="11"/>
      <c r="H428" s="11"/>
      <c r="I428" s="11"/>
      <c r="J428" s="11"/>
      <c r="K428" s="12"/>
      <c r="L428" s="11"/>
      <c r="M428" s="11"/>
      <c r="N428" s="11"/>
      <c r="O428" s="11"/>
      <c r="P428" s="8"/>
    </row>
    <row r="429">
      <c r="A429" s="11"/>
      <c r="B429" s="9"/>
      <c r="C429" s="8"/>
      <c r="D429" s="8"/>
      <c r="E429" s="8"/>
      <c r="F429" s="12"/>
      <c r="G429" s="11"/>
      <c r="H429" s="11"/>
      <c r="I429" s="11"/>
      <c r="J429" s="11"/>
      <c r="K429" s="12"/>
      <c r="L429" s="11"/>
      <c r="M429" s="11"/>
      <c r="N429" s="11"/>
      <c r="O429" s="11"/>
      <c r="P429" s="8"/>
    </row>
    <row r="430">
      <c r="A430" s="11"/>
      <c r="B430" s="9"/>
      <c r="C430" s="8"/>
      <c r="D430" s="8"/>
      <c r="E430" s="8"/>
      <c r="F430" s="12"/>
      <c r="G430" s="11"/>
      <c r="H430" s="11"/>
      <c r="I430" s="11"/>
      <c r="J430" s="11"/>
      <c r="K430" s="12"/>
      <c r="L430" s="11"/>
      <c r="M430" s="11"/>
      <c r="N430" s="11"/>
      <c r="O430" s="11"/>
      <c r="P430" s="8"/>
    </row>
    <row r="431">
      <c r="A431" s="11"/>
      <c r="B431" s="9"/>
      <c r="C431" s="8"/>
      <c r="D431" s="8"/>
      <c r="E431" s="8"/>
      <c r="F431" s="12"/>
      <c r="G431" s="11"/>
      <c r="H431" s="11"/>
      <c r="I431" s="11"/>
      <c r="J431" s="11"/>
      <c r="K431" s="12"/>
      <c r="L431" s="11"/>
      <c r="M431" s="11"/>
      <c r="N431" s="11"/>
      <c r="O431" s="11"/>
      <c r="P431" s="8"/>
    </row>
    <row r="432">
      <c r="A432" s="11"/>
      <c r="B432" s="9"/>
      <c r="C432" s="8"/>
      <c r="D432" s="8"/>
      <c r="E432" s="8"/>
      <c r="F432" s="12"/>
      <c r="G432" s="11"/>
      <c r="H432" s="11"/>
      <c r="I432" s="11"/>
      <c r="J432" s="11"/>
      <c r="K432" s="12"/>
      <c r="L432" s="11"/>
      <c r="M432" s="11"/>
      <c r="N432" s="11"/>
      <c r="O432" s="11"/>
      <c r="P432" s="8"/>
    </row>
    <row r="433">
      <c r="A433" s="11"/>
      <c r="B433" s="9"/>
      <c r="C433" s="8"/>
      <c r="D433" s="8"/>
      <c r="E433" s="8"/>
      <c r="F433" s="12"/>
      <c r="G433" s="11"/>
      <c r="H433" s="11"/>
      <c r="I433" s="11"/>
      <c r="J433" s="11"/>
      <c r="K433" s="12"/>
      <c r="L433" s="11"/>
      <c r="M433" s="11"/>
      <c r="N433" s="11"/>
      <c r="O433" s="11"/>
      <c r="P433" s="8"/>
    </row>
    <row r="434">
      <c r="A434" s="11"/>
      <c r="B434" s="9"/>
      <c r="C434" s="8"/>
      <c r="D434" s="8"/>
      <c r="E434" s="8"/>
      <c r="F434" s="12"/>
      <c r="G434" s="11"/>
      <c r="H434" s="11"/>
      <c r="I434" s="11"/>
      <c r="J434" s="11"/>
      <c r="K434" s="12"/>
      <c r="L434" s="11"/>
      <c r="M434" s="11"/>
      <c r="N434" s="11"/>
      <c r="O434" s="11"/>
      <c r="P434" s="8"/>
    </row>
    <row r="435">
      <c r="A435" s="11"/>
      <c r="B435" s="9"/>
      <c r="C435" s="8"/>
      <c r="D435" s="8"/>
      <c r="E435" s="8"/>
      <c r="F435" s="12"/>
      <c r="G435" s="11"/>
      <c r="H435" s="11"/>
      <c r="I435" s="11"/>
      <c r="J435" s="11"/>
      <c r="K435" s="12"/>
      <c r="L435" s="11"/>
      <c r="M435" s="11"/>
      <c r="N435" s="11"/>
      <c r="O435" s="11"/>
      <c r="P435" s="8"/>
    </row>
    <row r="436">
      <c r="A436" s="11"/>
      <c r="B436" s="9"/>
      <c r="C436" s="8"/>
      <c r="D436" s="8"/>
      <c r="E436" s="8"/>
      <c r="F436" s="12"/>
      <c r="G436" s="11"/>
      <c r="H436" s="11"/>
      <c r="I436" s="11"/>
      <c r="J436" s="11"/>
      <c r="K436" s="12"/>
      <c r="L436" s="11"/>
      <c r="M436" s="11"/>
      <c r="N436" s="11"/>
      <c r="O436" s="11"/>
      <c r="P436" s="8"/>
    </row>
    <row r="437">
      <c r="A437" s="11"/>
      <c r="B437" s="9"/>
      <c r="C437" s="8"/>
      <c r="D437" s="8"/>
      <c r="E437" s="8"/>
      <c r="F437" s="12"/>
      <c r="G437" s="11"/>
      <c r="H437" s="11"/>
      <c r="I437" s="11"/>
      <c r="J437" s="11"/>
      <c r="K437" s="12"/>
      <c r="L437" s="11"/>
      <c r="M437" s="11"/>
      <c r="N437" s="11"/>
      <c r="O437" s="11"/>
      <c r="P437" s="8"/>
    </row>
    <row r="438">
      <c r="A438" s="11"/>
      <c r="B438" s="9"/>
      <c r="C438" s="8"/>
      <c r="D438" s="8"/>
      <c r="E438" s="8"/>
      <c r="F438" s="12"/>
      <c r="G438" s="11"/>
      <c r="H438" s="11"/>
      <c r="I438" s="11"/>
      <c r="J438" s="11"/>
      <c r="K438" s="12"/>
      <c r="L438" s="11"/>
      <c r="M438" s="11"/>
      <c r="N438" s="11"/>
      <c r="O438" s="11"/>
      <c r="P438" s="8"/>
    </row>
    <row r="439">
      <c r="A439" s="11"/>
      <c r="B439" s="9"/>
      <c r="C439" s="8"/>
      <c r="D439" s="8"/>
      <c r="E439" s="8"/>
      <c r="F439" s="12"/>
      <c r="G439" s="11"/>
      <c r="H439" s="11"/>
      <c r="I439" s="11"/>
      <c r="J439" s="11"/>
      <c r="K439" s="12"/>
      <c r="L439" s="11"/>
      <c r="M439" s="11"/>
      <c r="N439" s="11"/>
      <c r="O439" s="11"/>
      <c r="P439" s="8"/>
    </row>
    <row r="440">
      <c r="A440" s="11"/>
      <c r="B440" s="9"/>
      <c r="C440" s="8"/>
      <c r="D440" s="8"/>
      <c r="E440" s="8"/>
      <c r="F440" s="12"/>
      <c r="G440" s="11"/>
      <c r="H440" s="11"/>
      <c r="I440" s="11"/>
      <c r="J440" s="11"/>
      <c r="K440" s="12"/>
      <c r="L440" s="11"/>
      <c r="M440" s="11"/>
      <c r="N440" s="11"/>
      <c r="O440" s="11"/>
      <c r="P440" s="8"/>
    </row>
    <row r="441">
      <c r="A441" s="11"/>
      <c r="B441" s="9"/>
      <c r="C441" s="8"/>
      <c r="D441" s="8"/>
      <c r="E441" s="8"/>
      <c r="F441" s="12"/>
      <c r="G441" s="11"/>
      <c r="H441" s="11"/>
      <c r="I441" s="11"/>
      <c r="J441" s="11"/>
      <c r="K441" s="12"/>
      <c r="L441" s="11"/>
      <c r="M441" s="11"/>
      <c r="N441" s="11"/>
      <c r="O441" s="11"/>
      <c r="P441" s="8"/>
    </row>
    <row r="442">
      <c r="A442" s="11"/>
      <c r="B442" s="9"/>
      <c r="C442" s="8"/>
      <c r="D442" s="8"/>
      <c r="E442" s="8"/>
      <c r="F442" s="12"/>
      <c r="G442" s="11"/>
      <c r="H442" s="11"/>
      <c r="I442" s="11"/>
      <c r="J442" s="11"/>
      <c r="K442" s="12"/>
      <c r="L442" s="11"/>
      <c r="M442" s="11"/>
      <c r="N442" s="11"/>
      <c r="O442" s="11"/>
      <c r="P442" s="8"/>
    </row>
    <row r="443">
      <c r="A443" s="11"/>
      <c r="B443" s="9"/>
      <c r="C443" s="8"/>
      <c r="D443" s="8"/>
      <c r="E443" s="8"/>
      <c r="F443" s="12"/>
      <c r="G443" s="11"/>
      <c r="H443" s="11"/>
      <c r="I443" s="11"/>
      <c r="J443" s="11"/>
      <c r="K443" s="12"/>
      <c r="L443" s="11"/>
      <c r="M443" s="11"/>
      <c r="N443" s="11"/>
      <c r="O443" s="11"/>
      <c r="P443" s="8"/>
    </row>
    <row r="444">
      <c r="A444" s="11"/>
      <c r="B444" s="9"/>
      <c r="C444" s="8"/>
      <c r="D444" s="8"/>
      <c r="E444" s="8"/>
      <c r="F444" s="12"/>
      <c r="G444" s="11"/>
      <c r="H444" s="11"/>
      <c r="I444" s="11"/>
      <c r="J444" s="11"/>
      <c r="K444" s="12"/>
      <c r="L444" s="11"/>
      <c r="M444" s="11"/>
      <c r="N444" s="11"/>
      <c r="O444" s="11"/>
      <c r="P444" s="8"/>
    </row>
    <row r="445">
      <c r="A445" s="11"/>
      <c r="B445" s="9"/>
      <c r="C445" s="8"/>
      <c r="D445" s="8"/>
      <c r="E445" s="8"/>
      <c r="F445" s="12"/>
      <c r="G445" s="11"/>
      <c r="H445" s="11"/>
      <c r="I445" s="11"/>
      <c r="J445" s="11"/>
      <c r="K445" s="12"/>
      <c r="L445" s="11"/>
      <c r="M445" s="11"/>
      <c r="N445" s="11"/>
      <c r="O445" s="11"/>
      <c r="P445" s="8"/>
    </row>
    <row r="446">
      <c r="A446" s="11"/>
      <c r="B446" s="9"/>
      <c r="C446" s="8"/>
      <c r="D446" s="8"/>
      <c r="E446" s="8"/>
      <c r="F446" s="12"/>
      <c r="G446" s="11"/>
      <c r="H446" s="11"/>
      <c r="I446" s="11"/>
      <c r="J446" s="11"/>
      <c r="K446" s="12"/>
      <c r="L446" s="11"/>
      <c r="M446" s="11"/>
      <c r="N446" s="11"/>
      <c r="O446" s="11"/>
      <c r="P446" s="8"/>
    </row>
    <row r="447">
      <c r="A447" s="11"/>
      <c r="B447" s="9"/>
      <c r="C447" s="8"/>
      <c r="D447" s="8"/>
      <c r="E447" s="8"/>
      <c r="F447" s="12"/>
      <c r="G447" s="11"/>
      <c r="H447" s="11"/>
      <c r="I447" s="11"/>
      <c r="J447" s="11"/>
      <c r="K447" s="12"/>
      <c r="L447" s="11"/>
      <c r="M447" s="11"/>
      <c r="N447" s="11"/>
      <c r="O447" s="11"/>
      <c r="P447" s="8"/>
    </row>
    <row r="448">
      <c r="A448" s="11"/>
      <c r="B448" s="9"/>
      <c r="C448" s="8"/>
      <c r="D448" s="8"/>
      <c r="E448" s="8"/>
      <c r="F448" s="12"/>
      <c r="G448" s="11"/>
      <c r="H448" s="11"/>
      <c r="I448" s="11"/>
      <c r="J448" s="11"/>
      <c r="K448" s="12"/>
      <c r="L448" s="11"/>
      <c r="M448" s="11"/>
      <c r="N448" s="11"/>
      <c r="O448" s="11"/>
      <c r="P448" s="8"/>
    </row>
    <row r="449">
      <c r="A449" s="11"/>
      <c r="B449" s="9"/>
      <c r="C449" s="8"/>
      <c r="D449" s="8"/>
      <c r="E449" s="8"/>
      <c r="F449" s="12"/>
      <c r="G449" s="11"/>
      <c r="H449" s="11"/>
      <c r="I449" s="11"/>
      <c r="J449" s="11"/>
      <c r="K449" s="12"/>
      <c r="L449" s="11"/>
      <c r="M449" s="11"/>
      <c r="N449" s="11"/>
      <c r="O449" s="11"/>
      <c r="P449" s="8"/>
    </row>
    <row r="450">
      <c r="A450" s="11"/>
      <c r="B450" s="9"/>
      <c r="C450" s="8"/>
      <c r="D450" s="8"/>
      <c r="E450" s="8"/>
      <c r="F450" s="12"/>
      <c r="G450" s="11"/>
      <c r="H450" s="11"/>
      <c r="I450" s="11"/>
      <c r="J450" s="11"/>
      <c r="K450" s="12"/>
      <c r="L450" s="11"/>
      <c r="M450" s="11"/>
      <c r="N450" s="11"/>
      <c r="O450" s="11"/>
      <c r="P450" s="8"/>
    </row>
    <row r="451">
      <c r="A451" s="11"/>
      <c r="B451" s="9"/>
      <c r="C451" s="8"/>
      <c r="D451" s="8"/>
      <c r="E451" s="8"/>
      <c r="F451" s="12"/>
      <c r="G451" s="11"/>
      <c r="H451" s="11"/>
      <c r="I451" s="11"/>
      <c r="J451" s="11"/>
      <c r="K451" s="12"/>
      <c r="L451" s="11"/>
      <c r="M451" s="11"/>
      <c r="N451" s="11"/>
      <c r="O451" s="11"/>
      <c r="P451" s="8"/>
    </row>
    <row r="452">
      <c r="A452" s="11"/>
      <c r="B452" s="9"/>
      <c r="C452" s="8"/>
      <c r="D452" s="8"/>
      <c r="E452" s="8"/>
      <c r="F452" s="12"/>
      <c r="G452" s="11"/>
      <c r="H452" s="11"/>
      <c r="I452" s="11"/>
      <c r="J452" s="11"/>
      <c r="K452" s="12"/>
      <c r="L452" s="11"/>
      <c r="M452" s="11"/>
      <c r="N452" s="11"/>
      <c r="O452" s="11"/>
      <c r="P452" s="8"/>
    </row>
    <row r="453">
      <c r="A453" s="11"/>
      <c r="B453" s="9"/>
      <c r="C453" s="8"/>
      <c r="D453" s="8"/>
      <c r="E453" s="8"/>
      <c r="F453" s="12"/>
      <c r="G453" s="11"/>
      <c r="H453" s="11"/>
      <c r="I453" s="11"/>
      <c r="J453" s="11"/>
      <c r="K453" s="12"/>
      <c r="L453" s="11"/>
      <c r="M453" s="11"/>
      <c r="N453" s="11"/>
      <c r="O453" s="11"/>
      <c r="P453" s="8"/>
    </row>
    <row r="454">
      <c r="A454" s="11"/>
      <c r="B454" s="9"/>
      <c r="C454" s="8"/>
      <c r="D454" s="8"/>
      <c r="E454" s="8"/>
      <c r="F454" s="12"/>
      <c r="G454" s="11"/>
      <c r="H454" s="11"/>
      <c r="I454" s="11"/>
      <c r="J454" s="11"/>
      <c r="K454" s="12"/>
      <c r="L454" s="11"/>
      <c r="M454" s="11"/>
      <c r="N454" s="11"/>
      <c r="O454" s="11"/>
      <c r="P454" s="8"/>
    </row>
    <row r="455">
      <c r="A455" s="11"/>
      <c r="B455" s="9"/>
      <c r="C455" s="8"/>
      <c r="D455" s="8"/>
      <c r="E455" s="8"/>
      <c r="F455" s="12"/>
      <c r="G455" s="11"/>
      <c r="H455" s="11"/>
      <c r="I455" s="11"/>
      <c r="J455" s="11"/>
      <c r="K455" s="12"/>
      <c r="L455" s="11"/>
      <c r="M455" s="11"/>
      <c r="N455" s="11"/>
      <c r="O455" s="11"/>
      <c r="P455" s="8"/>
    </row>
    <row r="456">
      <c r="A456" s="11"/>
      <c r="B456" s="9"/>
      <c r="C456" s="8"/>
      <c r="D456" s="8"/>
      <c r="E456" s="8"/>
      <c r="F456" s="12"/>
      <c r="G456" s="11"/>
      <c r="H456" s="11"/>
      <c r="I456" s="11"/>
      <c r="J456" s="11"/>
      <c r="K456" s="12"/>
      <c r="L456" s="11"/>
      <c r="M456" s="11"/>
      <c r="N456" s="11"/>
      <c r="O456" s="11"/>
      <c r="P456" s="8"/>
    </row>
    <row r="457">
      <c r="A457" s="11"/>
      <c r="B457" s="9"/>
      <c r="C457" s="8"/>
      <c r="D457" s="8"/>
      <c r="E457" s="8"/>
      <c r="F457" s="12"/>
      <c r="G457" s="11"/>
      <c r="H457" s="11"/>
      <c r="I457" s="11"/>
      <c r="J457" s="11"/>
      <c r="K457" s="12"/>
      <c r="L457" s="11"/>
      <c r="M457" s="11"/>
      <c r="N457" s="11"/>
      <c r="O457" s="11"/>
      <c r="P457" s="8"/>
    </row>
    <row r="458">
      <c r="A458" s="11"/>
      <c r="B458" s="9"/>
      <c r="C458" s="8"/>
      <c r="D458" s="8"/>
      <c r="E458" s="8"/>
      <c r="F458" s="12"/>
      <c r="G458" s="11"/>
      <c r="H458" s="11"/>
      <c r="I458" s="11"/>
      <c r="J458" s="11"/>
      <c r="K458" s="12"/>
      <c r="L458" s="11"/>
      <c r="M458" s="11"/>
      <c r="N458" s="11"/>
      <c r="O458" s="11"/>
      <c r="P458" s="8"/>
    </row>
    <row r="459">
      <c r="A459" s="11"/>
      <c r="B459" s="9"/>
      <c r="C459" s="8"/>
      <c r="D459" s="8"/>
      <c r="E459" s="8"/>
      <c r="F459" s="12"/>
      <c r="G459" s="11"/>
      <c r="H459" s="11"/>
      <c r="I459" s="11"/>
      <c r="J459" s="11"/>
      <c r="K459" s="12"/>
      <c r="L459" s="11"/>
      <c r="M459" s="11"/>
      <c r="N459" s="11"/>
      <c r="O459" s="11"/>
      <c r="P459" s="8"/>
    </row>
    <row r="460">
      <c r="A460" s="11"/>
      <c r="B460" s="9"/>
      <c r="C460" s="8"/>
      <c r="D460" s="8"/>
      <c r="E460" s="8"/>
      <c r="F460" s="12"/>
      <c r="G460" s="11"/>
      <c r="H460" s="11"/>
      <c r="I460" s="11"/>
      <c r="J460" s="11"/>
      <c r="K460" s="12"/>
      <c r="L460" s="11"/>
      <c r="M460" s="11"/>
      <c r="N460" s="11"/>
      <c r="O460" s="11"/>
      <c r="P460" s="8"/>
    </row>
    <row r="461">
      <c r="A461" s="11"/>
      <c r="B461" s="9"/>
      <c r="C461" s="8"/>
      <c r="D461" s="8"/>
      <c r="E461" s="8"/>
      <c r="F461" s="12"/>
      <c r="G461" s="11"/>
      <c r="H461" s="11"/>
      <c r="I461" s="11"/>
      <c r="J461" s="11"/>
      <c r="K461" s="12"/>
      <c r="L461" s="11"/>
      <c r="M461" s="11"/>
      <c r="N461" s="11"/>
      <c r="O461" s="11"/>
      <c r="P461" s="8"/>
    </row>
    <row r="462">
      <c r="A462" s="11"/>
      <c r="B462" s="9"/>
      <c r="C462" s="8"/>
      <c r="D462" s="8"/>
      <c r="E462" s="8"/>
      <c r="F462" s="12"/>
      <c r="G462" s="11"/>
      <c r="H462" s="11"/>
      <c r="I462" s="11"/>
      <c r="J462" s="11"/>
      <c r="K462" s="12"/>
      <c r="L462" s="11"/>
      <c r="M462" s="11"/>
      <c r="N462" s="11"/>
      <c r="O462" s="11"/>
      <c r="P462" s="8"/>
    </row>
    <row r="463">
      <c r="A463" s="11"/>
      <c r="B463" s="9"/>
      <c r="C463" s="8"/>
      <c r="D463" s="8"/>
      <c r="E463" s="8"/>
      <c r="F463" s="12"/>
      <c r="G463" s="11"/>
      <c r="H463" s="11"/>
      <c r="I463" s="11"/>
      <c r="J463" s="11"/>
      <c r="K463" s="12"/>
      <c r="L463" s="11"/>
      <c r="M463" s="11"/>
      <c r="N463" s="11"/>
      <c r="O463" s="11"/>
      <c r="P463" s="8"/>
    </row>
    <row r="464">
      <c r="A464" s="11"/>
      <c r="B464" s="9"/>
      <c r="C464" s="8"/>
      <c r="D464" s="8"/>
      <c r="E464" s="8"/>
      <c r="F464" s="12"/>
      <c r="G464" s="11"/>
      <c r="H464" s="11"/>
      <c r="I464" s="11"/>
      <c r="J464" s="11"/>
      <c r="K464" s="12"/>
      <c r="L464" s="11"/>
      <c r="M464" s="11"/>
      <c r="N464" s="11"/>
      <c r="O464" s="11"/>
      <c r="P464" s="8"/>
    </row>
    <row r="465">
      <c r="A465" s="11"/>
      <c r="B465" s="9"/>
      <c r="C465" s="8"/>
      <c r="D465" s="8"/>
      <c r="E465" s="8"/>
      <c r="F465" s="12"/>
      <c r="G465" s="11"/>
      <c r="H465" s="11"/>
      <c r="I465" s="11"/>
      <c r="J465" s="11"/>
      <c r="K465" s="12"/>
      <c r="L465" s="11"/>
      <c r="M465" s="11"/>
      <c r="N465" s="11"/>
      <c r="O465" s="11"/>
      <c r="P465" s="8"/>
    </row>
    <row r="466">
      <c r="A466" s="11"/>
      <c r="B466" s="9"/>
      <c r="C466" s="8"/>
      <c r="D466" s="8"/>
      <c r="E466" s="8"/>
      <c r="F466" s="12"/>
      <c r="G466" s="11"/>
      <c r="H466" s="11"/>
      <c r="I466" s="11"/>
      <c r="J466" s="11"/>
      <c r="K466" s="12"/>
      <c r="L466" s="11"/>
      <c r="M466" s="11"/>
      <c r="N466" s="11"/>
      <c r="O466" s="11"/>
      <c r="P466" s="8"/>
    </row>
    <row r="467">
      <c r="A467" s="11"/>
      <c r="B467" s="9"/>
      <c r="C467" s="8"/>
      <c r="D467" s="8"/>
      <c r="E467" s="8"/>
      <c r="F467" s="12"/>
      <c r="G467" s="11"/>
      <c r="H467" s="11"/>
      <c r="I467" s="11"/>
      <c r="J467" s="11"/>
      <c r="K467" s="12"/>
      <c r="L467" s="11"/>
      <c r="M467" s="11"/>
      <c r="N467" s="11"/>
      <c r="O467" s="11"/>
      <c r="P467" s="8"/>
    </row>
    <row r="468">
      <c r="A468" s="11"/>
      <c r="B468" s="9"/>
      <c r="C468" s="8"/>
      <c r="D468" s="8"/>
      <c r="E468" s="8"/>
      <c r="F468" s="12"/>
      <c r="G468" s="11"/>
      <c r="H468" s="11"/>
      <c r="I468" s="11"/>
      <c r="J468" s="11"/>
      <c r="K468" s="12"/>
      <c r="L468" s="11"/>
      <c r="M468" s="11"/>
      <c r="N468" s="11"/>
      <c r="O468" s="11"/>
      <c r="P468" s="8"/>
    </row>
    <row r="469">
      <c r="A469" s="11"/>
      <c r="B469" s="9"/>
      <c r="C469" s="8"/>
      <c r="D469" s="8"/>
      <c r="E469" s="8"/>
      <c r="F469" s="12"/>
      <c r="G469" s="11"/>
      <c r="H469" s="11"/>
      <c r="I469" s="11"/>
      <c r="J469" s="11"/>
      <c r="K469" s="12"/>
      <c r="L469" s="11"/>
      <c r="M469" s="11"/>
      <c r="N469" s="11"/>
      <c r="O469" s="11"/>
      <c r="P469" s="8"/>
    </row>
    <row r="470">
      <c r="A470" s="11"/>
      <c r="B470" s="9"/>
      <c r="C470" s="8"/>
      <c r="D470" s="8"/>
      <c r="E470" s="8"/>
      <c r="F470" s="12"/>
      <c r="G470" s="11"/>
      <c r="H470" s="11"/>
      <c r="I470" s="11"/>
      <c r="J470" s="11"/>
      <c r="K470" s="12"/>
      <c r="L470" s="11"/>
      <c r="M470" s="11"/>
      <c r="N470" s="11"/>
      <c r="O470" s="11"/>
      <c r="P470" s="8"/>
    </row>
    <row r="471">
      <c r="A471" s="11"/>
      <c r="B471" s="9"/>
      <c r="C471" s="8"/>
      <c r="D471" s="8"/>
      <c r="E471" s="8"/>
      <c r="F471" s="12"/>
      <c r="G471" s="11"/>
      <c r="H471" s="11"/>
      <c r="I471" s="11"/>
      <c r="J471" s="11"/>
      <c r="K471" s="12"/>
      <c r="L471" s="11"/>
      <c r="M471" s="11"/>
      <c r="N471" s="11"/>
      <c r="O471" s="11"/>
      <c r="P471" s="8"/>
    </row>
    <row r="472">
      <c r="A472" s="11"/>
      <c r="B472" s="9"/>
      <c r="C472" s="8"/>
      <c r="D472" s="8"/>
      <c r="E472" s="8"/>
      <c r="F472" s="12"/>
      <c r="G472" s="11"/>
      <c r="H472" s="11"/>
      <c r="I472" s="11"/>
      <c r="J472" s="11"/>
      <c r="K472" s="12"/>
      <c r="L472" s="11"/>
      <c r="M472" s="11"/>
      <c r="N472" s="11"/>
      <c r="O472" s="11"/>
      <c r="P472" s="8"/>
    </row>
    <row r="473">
      <c r="A473" s="11"/>
      <c r="B473" s="9"/>
      <c r="C473" s="8"/>
      <c r="D473" s="8"/>
      <c r="E473" s="8"/>
      <c r="F473" s="12"/>
      <c r="G473" s="11"/>
      <c r="H473" s="11"/>
      <c r="I473" s="11"/>
      <c r="J473" s="11"/>
      <c r="K473" s="12"/>
      <c r="L473" s="11"/>
      <c r="M473" s="11"/>
      <c r="N473" s="11"/>
      <c r="O473" s="11"/>
      <c r="P473" s="8"/>
    </row>
    <row r="474">
      <c r="A474" s="11"/>
      <c r="B474" s="9"/>
      <c r="C474" s="8"/>
      <c r="D474" s="8"/>
      <c r="E474" s="8"/>
      <c r="F474" s="12"/>
      <c r="G474" s="11"/>
      <c r="H474" s="11"/>
      <c r="I474" s="11"/>
      <c r="J474" s="11"/>
      <c r="K474" s="12"/>
      <c r="L474" s="11"/>
      <c r="M474" s="11"/>
      <c r="N474" s="11"/>
      <c r="O474" s="11"/>
      <c r="P474" s="8"/>
    </row>
    <row r="475">
      <c r="A475" s="11"/>
      <c r="B475" s="9"/>
      <c r="C475" s="8"/>
      <c r="D475" s="8"/>
      <c r="E475" s="8"/>
      <c r="F475" s="12"/>
      <c r="G475" s="11"/>
      <c r="H475" s="11"/>
      <c r="I475" s="11"/>
      <c r="J475" s="11"/>
      <c r="K475" s="12"/>
      <c r="L475" s="11"/>
      <c r="M475" s="11"/>
      <c r="N475" s="11"/>
      <c r="O475" s="11"/>
      <c r="P475" s="8"/>
    </row>
    <row r="476">
      <c r="A476" s="11"/>
      <c r="B476" s="9"/>
      <c r="C476" s="8"/>
      <c r="D476" s="8"/>
      <c r="E476" s="8"/>
      <c r="F476" s="12"/>
      <c r="G476" s="11"/>
      <c r="H476" s="11"/>
      <c r="I476" s="11"/>
      <c r="J476" s="11"/>
      <c r="K476" s="12"/>
      <c r="L476" s="11"/>
      <c r="M476" s="11"/>
      <c r="N476" s="11"/>
      <c r="O476" s="11"/>
      <c r="P476" s="8"/>
    </row>
    <row r="477">
      <c r="A477" s="11"/>
      <c r="B477" s="9"/>
      <c r="C477" s="8"/>
      <c r="D477" s="8"/>
      <c r="E477" s="8"/>
      <c r="F477" s="12"/>
      <c r="G477" s="11"/>
      <c r="H477" s="11"/>
      <c r="I477" s="11"/>
      <c r="J477" s="11"/>
      <c r="K477" s="12"/>
      <c r="L477" s="11"/>
      <c r="M477" s="11"/>
      <c r="N477" s="11"/>
      <c r="O477" s="11"/>
      <c r="P477" s="8"/>
    </row>
    <row r="478">
      <c r="A478" s="11"/>
      <c r="B478" s="9"/>
      <c r="C478" s="8"/>
      <c r="D478" s="8"/>
      <c r="E478" s="8"/>
      <c r="F478" s="12"/>
      <c r="G478" s="11"/>
      <c r="H478" s="11"/>
      <c r="I478" s="11"/>
      <c r="J478" s="11"/>
      <c r="K478" s="12"/>
      <c r="L478" s="11"/>
      <c r="M478" s="11"/>
      <c r="N478" s="11"/>
      <c r="O478" s="11"/>
      <c r="P478" s="8"/>
    </row>
    <row r="479">
      <c r="A479" s="11"/>
      <c r="B479" s="9"/>
      <c r="C479" s="8"/>
      <c r="D479" s="8"/>
      <c r="E479" s="8"/>
      <c r="F479" s="12"/>
      <c r="G479" s="11"/>
      <c r="H479" s="11"/>
      <c r="I479" s="11"/>
      <c r="J479" s="11"/>
      <c r="K479" s="12"/>
      <c r="L479" s="11"/>
      <c r="M479" s="11"/>
      <c r="N479" s="11"/>
      <c r="O479" s="11"/>
      <c r="P479" s="8"/>
    </row>
    <row r="480">
      <c r="A480" s="11"/>
      <c r="B480" s="9"/>
      <c r="C480" s="8"/>
      <c r="D480" s="8"/>
      <c r="E480" s="8"/>
      <c r="F480" s="12"/>
      <c r="G480" s="11"/>
      <c r="H480" s="11"/>
      <c r="I480" s="11"/>
      <c r="J480" s="11"/>
      <c r="K480" s="12"/>
      <c r="L480" s="11"/>
      <c r="M480" s="11"/>
      <c r="N480" s="11"/>
      <c r="O480" s="11"/>
      <c r="P480" s="8"/>
    </row>
    <row r="481">
      <c r="A481" s="11"/>
      <c r="B481" s="9"/>
      <c r="C481" s="8"/>
      <c r="D481" s="8"/>
      <c r="E481" s="8"/>
      <c r="F481" s="12"/>
      <c r="G481" s="11"/>
      <c r="H481" s="11"/>
      <c r="I481" s="11"/>
      <c r="J481" s="11"/>
      <c r="K481" s="12"/>
      <c r="L481" s="11"/>
      <c r="M481" s="11"/>
      <c r="N481" s="11"/>
      <c r="O481" s="11"/>
      <c r="P481" s="8"/>
    </row>
    <row r="482">
      <c r="A482" s="11"/>
      <c r="B482" s="9"/>
      <c r="C482" s="8"/>
      <c r="D482" s="8"/>
      <c r="E482" s="8"/>
      <c r="F482" s="12"/>
      <c r="G482" s="11"/>
      <c r="H482" s="11"/>
      <c r="I482" s="11"/>
      <c r="J482" s="11"/>
      <c r="K482" s="12"/>
      <c r="L482" s="11"/>
      <c r="M482" s="11"/>
      <c r="N482" s="11"/>
      <c r="O482" s="11"/>
      <c r="P482" s="8"/>
    </row>
    <row r="483">
      <c r="A483" s="11"/>
      <c r="B483" s="9"/>
      <c r="C483" s="8"/>
      <c r="D483" s="8"/>
      <c r="E483" s="8"/>
      <c r="F483" s="12"/>
      <c r="G483" s="11"/>
      <c r="H483" s="11"/>
      <c r="I483" s="11"/>
      <c r="J483" s="11"/>
      <c r="K483" s="12"/>
      <c r="L483" s="11"/>
      <c r="M483" s="11"/>
      <c r="N483" s="11"/>
      <c r="O483" s="11"/>
      <c r="P483" s="8"/>
    </row>
    <row r="484">
      <c r="A484" s="11"/>
      <c r="B484" s="9"/>
      <c r="C484" s="8"/>
      <c r="D484" s="8"/>
      <c r="E484" s="8"/>
      <c r="F484" s="12"/>
      <c r="G484" s="11"/>
      <c r="H484" s="11"/>
      <c r="I484" s="11"/>
      <c r="J484" s="11"/>
      <c r="K484" s="12"/>
      <c r="L484" s="11"/>
      <c r="M484" s="11"/>
      <c r="N484" s="11"/>
      <c r="O484" s="11"/>
      <c r="P484" s="8"/>
    </row>
    <row r="485">
      <c r="A485" s="11"/>
      <c r="B485" s="9"/>
      <c r="C485" s="8"/>
      <c r="D485" s="8"/>
      <c r="E485" s="8"/>
      <c r="F485" s="12"/>
      <c r="G485" s="11"/>
      <c r="H485" s="11"/>
      <c r="I485" s="11"/>
      <c r="J485" s="11"/>
      <c r="K485" s="12"/>
      <c r="L485" s="11"/>
      <c r="M485" s="11"/>
      <c r="N485" s="11"/>
      <c r="O485" s="11"/>
      <c r="P485" s="8"/>
    </row>
    <row r="486">
      <c r="A486" s="11"/>
      <c r="B486" s="9"/>
      <c r="C486" s="8"/>
      <c r="D486" s="8"/>
      <c r="E486" s="8"/>
      <c r="F486" s="12"/>
      <c r="G486" s="11"/>
      <c r="H486" s="11"/>
      <c r="I486" s="11"/>
      <c r="J486" s="11"/>
      <c r="K486" s="12"/>
      <c r="L486" s="11"/>
      <c r="M486" s="11"/>
      <c r="N486" s="11"/>
      <c r="O486" s="11"/>
      <c r="P486" s="8"/>
    </row>
    <row r="487">
      <c r="A487" s="11"/>
      <c r="B487" s="9"/>
      <c r="C487" s="8"/>
      <c r="D487" s="8"/>
      <c r="E487" s="8"/>
      <c r="F487" s="12"/>
      <c r="G487" s="11"/>
      <c r="H487" s="11"/>
      <c r="I487" s="11"/>
      <c r="J487" s="11"/>
      <c r="K487" s="12"/>
      <c r="L487" s="11"/>
      <c r="M487" s="11"/>
      <c r="N487" s="11"/>
      <c r="O487" s="11"/>
      <c r="P487" s="8"/>
    </row>
    <row r="488">
      <c r="A488" s="11"/>
      <c r="B488" s="9"/>
      <c r="C488" s="8"/>
      <c r="D488" s="8"/>
      <c r="E488" s="8"/>
      <c r="F488" s="12"/>
      <c r="G488" s="11"/>
      <c r="H488" s="11"/>
      <c r="I488" s="11"/>
      <c r="J488" s="11"/>
      <c r="K488" s="12"/>
      <c r="L488" s="11"/>
      <c r="M488" s="11"/>
      <c r="N488" s="11"/>
      <c r="O488" s="11"/>
      <c r="P488" s="8"/>
    </row>
    <row r="489">
      <c r="A489" s="11"/>
      <c r="B489" s="9"/>
      <c r="C489" s="8"/>
      <c r="D489" s="8"/>
      <c r="E489" s="8"/>
      <c r="F489" s="12"/>
      <c r="G489" s="11"/>
      <c r="H489" s="11"/>
      <c r="I489" s="11"/>
      <c r="J489" s="11"/>
      <c r="K489" s="12"/>
      <c r="L489" s="11"/>
      <c r="M489" s="11"/>
      <c r="N489" s="11"/>
      <c r="O489" s="11"/>
      <c r="P489" s="8"/>
    </row>
    <row r="490">
      <c r="A490" s="11"/>
      <c r="B490" s="9"/>
      <c r="C490" s="8"/>
      <c r="D490" s="8"/>
      <c r="E490" s="8"/>
      <c r="F490" s="12"/>
      <c r="G490" s="11"/>
      <c r="H490" s="11"/>
      <c r="I490" s="11"/>
      <c r="J490" s="11"/>
      <c r="K490" s="12"/>
      <c r="L490" s="11"/>
      <c r="M490" s="11"/>
      <c r="N490" s="11"/>
      <c r="O490" s="11"/>
      <c r="P490" s="8"/>
    </row>
    <row r="491">
      <c r="A491" s="11"/>
      <c r="B491" s="9"/>
      <c r="C491" s="8"/>
      <c r="D491" s="8"/>
      <c r="E491" s="8"/>
      <c r="F491" s="12"/>
      <c r="G491" s="11"/>
      <c r="H491" s="11"/>
      <c r="I491" s="11"/>
      <c r="J491" s="11"/>
      <c r="K491" s="12"/>
      <c r="L491" s="11"/>
      <c r="M491" s="11"/>
      <c r="N491" s="11"/>
      <c r="O491" s="11"/>
      <c r="P491" s="8"/>
    </row>
    <row r="492">
      <c r="A492" s="11"/>
      <c r="B492" s="9"/>
      <c r="C492" s="8"/>
      <c r="D492" s="8"/>
      <c r="E492" s="8"/>
      <c r="F492" s="12"/>
      <c r="G492" s="11"/>
      <c r="H492" s="11"/>
      <c r="I492" s="11"/>
      <c r="J492" s="11"/>
      <c r="K492" s="12"/>
      <c r="L492" s="11"/>
      <c r="M492" s="11"/>
      <c r="N492" s="11"/>
      <c r="O492" s="11"/>
      <c r="P492" s="8"/>
    </row>
    <row r="493">
      <c r="A493" s="11"/>
      <c r="B493" s="9"/>
      <c r="C493" s="8"/>
      <c r="D493" s="8"/>
      <c r="E493" s="8"/>
      <c r="F493" s="12"/>
      <c r="G493" s="11"/>
      <c r="H493" s="11"/>
      <c r="I493" s="11"/>
      <c r="J493" s="11"/>
      <c r="K493" s="12"/>
      <c r="L493" s="11"/>
      <c r="M493" s="11"/>
      <c r="N493" s="11"/>
      <c r="O493" s="11"/>
      <c r="P493" s="8"/>
    </row>
    <row r="494">
      <c r="A494" s="11"/>
      <c r="B494" s="9"/>
      <c r="C494" s="8"/>
      <c r="D494" s="8"/>
      <c r="E494" s="8"/>
      <c r="F494" s="12"/>
      <c r="G494" s="11"/>
      <c r="H494" s="11"/>
      <c r="I494" s="11"/>
      <c r="J494" s="11"/>
      <c r="K494" s="12"/>
      <c r="L494" s="11"/>
      <c r="M494" s="11"/>
      <c r="N494" s="11"/>
      <c r="O494" s="11"/>
      <c r="P494" s="8"/>
    </row>
    <row r="495">
      <c r="A495" s="11"/>
      <c r="B495" s="9"/>
      <c r="C495" s="8"/>
      <c r="D495" s="8"/>
      <c r="E495" s="8"/>
      <c r="F495" s="12"/>
      <c r="G495" s="11"/>
      <c r="H495" s="11"/>
      <c r="I495" s="11"/>
      <c r="J495" s="11"/>
      <c r="K495" s="12"/>
      <c r="L495" s="11"/>
      <c r="M495" s="11"/>
      <c r="N495" s="11"/>
      <c r="O495" s="11"/>
      <c r="P495" s="8"/>
    </row>
    <row r="496">
      <c r="A496" s="11"/>
      <c r="B496" s="9"/>
      <c r="C496" s="8"/>
      <c r="D496" s="8"/>
      <c r="E496" s="8"/>
      <c r="F496" s="12"/>
      <c r="G496" s="11"/>
      <c r="H496" s="11"/>
      <c r="I496" s="11"/>
      <c r="J496" s="11"/>
      <c r="K496" s="12"/>
      <c r="L496" s="11"/>
      <c r="M496" s="11"/>
      <c r="N496" s="11"/>
      <c r="O496" s="11"/>
      <c r="P496" s="8"/>
    </row>
    <row r="497">
      <c r="A497" s="11"/>
      <c r="B497" s="9"/>
      <c r="C497" s="8"/>
      <c r="D497" s="8"/>
      <c r="E497" s="8"/>
      <c r="F497" s="12"/>
      <c r="G497" s="11"/>
      <c r="H497" s="11"/>
      <c r="I497" s="11"/>
      <c r="J497" s="11"/>
      <c r="K497" s="12"/>
      <c r="L497" s="11"/>
      <c r="M497" s="11"/>
      <c r="N497" s="11"/>
      <c r="O497" s="11"/>
      <c r="P497" s="8"/>
    </row>
    <row r="498">
      <c r="A498" s="11"/>
      <c r="B498" s="9"/>
      <c r="C498" s="8"/>
      <c r="D498" s="8"/>
      <c r="E498" s="8"/>
      <c r="F498" s="12"/>
      <c r="G498" s="11"/>
      <c r="H498" s="11"/>
      <c r="I498" s="11"/>
      <c r="J498" s="11"/>
      <c r="K498" s="12"/>
      <c r="L498" s="11"/>
      <c r="M498" s="11"/>
      <c r="N498" s="11"/>
      <c r="O498" s="11"/>
      <c r="P498" s="8"/>
    </row>
    <row r="499">
      <c r="A499" s="11"/>
      <c r="B499" s="9"/>
      <c r="C499" s="8"/>
      <c r="D499" s="8"/>
      <c r="E499" s="8"/>
      <c r="F499" s="12"/>
      <c r="G499" s="11"/>
      <c r="H499" s="11"/>
      <c r="I499" s="11"/>
      <c r="J499" s="11"/>
      <c r="K499" s="12"/>
      <c r="L499" s="11"/>
      <c r="M499" s="11"/>
      <c r="N499" s="11"/>
      <c r="O499" s="11"/>
      <c r="P499" s="8"/>
    </row>
    <row r="500">
      <c r="A500" s="11"/>
      <c r="B500" s="9"/>
      <c r="C500" s="8"/>
      <c r="D500" s="8"/>
      <c r="E500" s="8"/>
      <c r="F500" s="12"/>
      <c r="G500" s="11"/>
      <c r="H500" s="11"/>
      <c r="I500" s="11"/>
      <c r="J500" s="11"/>
      <c r="K500" s="12"/>
      <c r="L500" s="11"/>
      <c r="M500" s="11"/>
      <c r="N500" s="11"/>
      <c r="O500" s="11"/>
      <c r="P500" s="8"/>
    </row>
    <row r="501">
      <c r="A501" s="11"/>
      <c r="B501" s="9"/>
      <c r="C501" s="8"/>
      <c r="D501" s="8"/>
      <c r="E501" s="8"/>
      <c r="F501" s="12"/>
      <c r="G501" s="11"/>
      <c r="H501" s="11"/>
      <c r="I501" s="11"/>
      <c r="J501" s="11"/>
      <c r="K501" s="12"/>
      <c r="L501" s="11"/>
      <c r="M501" s="11"/>
      <c r="N501" s="11"/>
      <c r="O501" s="11"/>
      <c r="P501" s="8"/>
    </row>
    <row r="502">
      <c r="A502" s="11"/>
      <c r="B502" s="9"/>
      <c r="C502" s="8"/>
      <c r="D502" s="8"/>
      <c r="E502" s="8"/>
      <c r="F502" s="12"/>
      <c r="G502" s="11"/>
      <c r="H502" s="11"/>
      <c r="I502" s="11"/>
      <c r="J502" s="11"/>
      <c r="K502" s="12"/>
      <c r="L502" s="11"/>
      <c r="M502" s="11"/>
      <c r="N502" s="11"/>
      <c r="O502" s="11"/>
      <c r="P502" s="8"/>
    </row>
    <row r="503">
      <c r="A503" s="11"/>
      <c r="B503" s="9"/>
      <c r="C503" s="8"/>
      <c r="D503" s="8"/>
      <c r="E503" s="8"/>
      <c r="F503" s="12"/>
      <c r="G503" s="11"/>
      <c r="H503" s="11"/>
      <c r="I503" s="11"/>
      <c r="J503" s="11"/>
      <c r="K503" s="12"/>
      <c r="L503" s="11"/>
      <c r="M503" s="11"/>
      <c r="N503" s="11"/>
      <c r="O503" s="11"/>
      <c r="P503" s="8"/>
    </row>
    <row r="504">
      <c r="A504" s="11"/>
      <c r="B504" s="9"/>
      <c r="C504" s="8"/>
      <c r="D504" s="8"/>
      <c r="E504" s="8"/>
      <c r="F504" s="12"/>
      <c r="G504" s="11"/>
      <c r="H504" s="11"/>
      <c r="I504" s="11"/>
      <c r="J504" s="11"/>
      <c r="K504" s="12"/>
      <c r="L504" s="11"/>
      <c r="M504" s="11"/>
      <c r="N504" s="11"/>
      <c r="O504" s="11"/>
      <c r="P504" s="8"/>
    </row>
    <row r="505">
      <c r="A505" s="11"/>
      <c r="B505" s="9"/>
      <c r="C505" s="8"/>
      <c r="D505" s="8"/>
      <c r="E505" s="8"/>
      <c r="F505" s="12"/>
      <c r="G505" s="11"/>
      <c r="H505" s="11"/>
      <c r="I505" s="11"/>
      <c r="J505" s="11"/>
      <c r="K505" s="12"/>
      <c r="L505" s="11"/>
      <c r="M505" s="11"/>
      <c r="N505" s="11"/>
      <c r="O505" s="11"/>
      <c r="P505" s="8"/>
    </row>
    <row r="506">
      <c r="A506" s="11"/>
      <c r="B506" s="9"/>
      <c r="C506" s="8"/>
      <c r="D506" s="8"/>
      <c r="E506" s="8"/>
      <c r="F506" s="12"/>
      <c r="G506" s="11"/>
      <c r="H506" s="11"/>
      <c r="I506" s="11"/>
      <c r="J506" s="11"/>
      <c r="K506" s="12"/>
      <c r="L506" s="11"/>
      <c r="M506" s="11"/>
      <c r="N506" s="11"/>
      <c r="O506" s="11"/>
      <c r="P506" s="8"/>
    </row>
    <row r="507">
      <c r="A507" s="11"/>
      <c r="B507" s="9"/>
      <c r="C507" s="8"/>
      <c r="D507" s="8"/>
      <c r="E507" s="8"/>
      <c r="F507" s="12"/>
      <c r="G507" s="11"/>
      <c r="H507" s="11"/>
      <c r="I507" s="11"/>
      <c r="J507" s="11"/>
      <c r="K507" s="12"/>
      <c r="L507" s="11"/>
      <c r="M507" s="11"/>
      <c r="N507" s="11"/>
      <c r="O507" s="11"/>
      <c r="P507" s="8"/>
    </row>
    <row r="508">
      <c r="A508" s="11"/>
      <c r="B508" s="9"/>
      <c r="C508" s="8"/>
      <c r="D508" s="8"/>
      <c r="E508" s="8"/>
      <c r="F508" s="12"/>
      <c r="G508" s="11"/>
      <c r="H508" s="11"/>
      <c r="I508" s="11"/>
      <c r="J508" s="11"/>
      <c r="K508" s="12"/>
      <c r="L508" s="11"/>
      <c r="M508" s="11"/>
      <c r="N508" s="11"/>
      <c r="O508" s="11"/>
      <c r="P508" s="8"/>
    </row>
    <row r="509">
      <c r="A509" s="11"/>
      <c r="B509" s="9"/>
      <c r="C509" s="8"/>
      <c r="D509" s="8"/>
      <c r="E509" s="8"/>
      <c r="F509" s="12"/>
      <c r="G509" s="11"/>
      <c r="H509" s="11"/>
      <c r="I509" s="11"/>
      <c r="J509" s="11"/>
      <c r="K509" s="12"/>
      <c r="L509" s="11"/>
      <c r="M509" s="11"/>
      <c r="N509" s="11"/>
      <c r="O509" s="11"/>
      <c r="P509" s="8"/>
    </row>
    <row r="510">
      <c r="A510" s="11"/>
      <c r="B510" s="9"/>
      <c r="C510" s="8"/>
      <c r="D510" s="8"/>
      <c r="E510" s="8"/>
      <c r="F510" s="12"/>
      <c r="G510" s="11"/>
      <c r="H510" s="11"/>
      <c r="I510" s="11"/>
      <c r="J510" s="11"/>
      <c r="K510" s="12"/>
      <c r="L510" s="11"/>
      <c r="M510" s="11"/>
      <c r="N510" s="11"/>
      <c r="O510" s="11"/>
      <c r="P510" s="8"/>
    </row>
    <row r="511">
      <c r="A511" s="11"/>
      <c r="B511" s="9"/>
      <c r="C511" s="8"/>
      <c r="D511" s="8"/>
      <c r="E511" s="8"/>
      <c r="F511" s="12"/>
      <c r="G511" s="11"/>
      <c r="H511" s="11"/>
      <c r="I511" s="11"/>
      <c r="J511" s="11"/>
      <c r="K511" s="12"/>
      <c r="L511" s="11"/>
      <c r="M511" s="11"/>
      <c r="N511" s="11"/>
      <c r="O511" s="11"/>
      <c r="P511" s="8"/>
    </row>
    <row r="512">
      <c r="A512" s="11"/>
      <c r="B512" s="9"/>
      <c r="C512" s="8"/>
      <c r="D512" s="8"/>
      <c r="E512" s="8"/>
      <c r="F512" s="12"/>
      <c r="G512" s="11"/>
      <c r="H512" s="11"/>
      <c r="I512" s="11"/>
      <c r="J512" s="11"/>
      <c r="K512" s="12"/>
      <c r="L512" s="11"/>
      <c r="M512" s="11"/>
      <c r="N512" s="11"/>
      <c r="O512" s="11"/>
      <c r="P512" s="8"/>
    </row>
    <row r="513">
      <c r="A513" s="11"/>
      <c r="B513" s="9"/>
      <c r="C513" s="8"/>
      <c r="D513" s="8"/>
      <c r="E513" s="8"/>
      <c r="F513" s="12"/>
      <c r="G513" s="11"/>
      <c r="H513" s="11"/>
      <c r="I513" s="11"/>
      <c r="J513" s="11"/>
      <c r="K513" s="12"/>
      <c r="L513" s="11"/>
      <c r="M513" s="11"/>
      <c r="N513" s="11"/>
      <c r="O513" s="11"/>
      <c r="P513" s="8"/>
    </row>
    <row r="514">
      <c r="A514" s="11"/>
      <c r="B514" s="9"/>
      <c r="C514" s="8"/>
      <c r="D514" s="8"/>
      <c r="E514" s="8"/>
      <c r="F514" s="12"/>
      <c r="G514" s="11"/>
      <c r="H514" s="11"/>
      <c r="I514" s="11"/>
      <c r="J514" s="11"/>
      <c r="K514" s="12"/>
      <c r="L514" s="11"/>
      <c r="M514" s="11"/>
      <c r="N514" s="11"/>
      <c r="O514" s="11"/>
      <c r="P514" s="8"/>
    </row>
    <row r="515">
      <c r="A515" s="11"/>
      <c r="B515" s="9"/>
      <c r="C515" s="8"/>
      <c r="D515" s="8"/>
      <c r="E515" s="8"/>
      <c r="F515" s="12"/>
      <c r="G515" s="11"/>
      <c r="H515" s="11"/>
      <c r="I515" s="11"/>
      <c r="J515" s="11"/>
      <c r="K515" s="12"/>
      <c r="L515" s="11"/>
      <c r="M515" s="11"/>
      <c r="N515" s="11"/>
      <c r="O515" s="11"/>
      <c r="P515" s="8"/>
    </row>
    <row r="516">
      <c r="A516" s="11"/>
      <c r="B516" s="9"/>
      <c r="C516" s="8"/>
      <c r="D516" s="8"/>
      <c r="E516" s="8"/>
      <c r="F516" s="12"/>
      <c r="G516" s="11"/>
      <c r="H516" s="11"/>
      <c r="I516" s="11"/>
      <c r="J516" s="11"/>
      <c r="K516" s="12"/>
      <c r="L516" s="11"/>
      <c r="M516" s="11"/>
      <c r="N516" s="11"/>
      <c r="O516" s="11"/>
      <c r="P516" s="8"/>
    </row>
    <row r="517">
      <c r="A517" s="11"/>
      <c r="B517" s="9"/>
      <c r="C517" s="8"/>
      <c r="D517" s="8"/>
      <c r="E517" s="8"/>
      <c r="F517" s="12"/>
      <c r="G517" s="11"/>
      <c r="H517" s="11"/>
      <c r="I517" s="11"/>
      <c r="J517" s="11"/>
      <c r="K517" s="12"/>
      <c r="L517" s="11"/>
      <c r="M517" s="11"/>
      <c r="N517" s="11"/>
      <c r="O517" s="11"/>
      <c r="P517" s="8"/>
    </row>
    <row r="518">
      <c r="A518" s="11"/>
      <c r="B518" s="9"/>
      <c r="C518" s="8"/>
      <c r="D518" s="8"/>
      <c r="E518" s="8"/>
      <c r="F518" s="12"/>
      <c r="G518" s="11"/>
      <c r="H518" s="11"/>
      <c r="I518" s="11"/>
      <c r="J518" s="11"/>
      <c r="K518" s="12"/>
      <c r="L518" s="11"/>
      <c r="M518" s="11"/>
      <c r="N518" s="11"/>
      <c r="O518" s="11"/>
      <c r="P518" s="8"/>
    </row>
    <row r="519">
      <c r="A519" s="11"/>
      <c r="B519" s="9"/>
      <c r="C519" s="8"/>
      <c r="D519" s="8"/>
      <c r="E519" s="8"/>
      <c r="F519" s="12"/>
      <c r="G519" s="11"/>
      <c r="H519" s="11"/>
      <c r="I519" s="11"/>
      <c r="J519" s="11"/>
      <c r="K519" s="12"/>
      <c r="L519" s="11"/>
      <c r="M519" s="11"/>
      <c r="N519" s="11"/>
      <c r="O519" s="11"/>
      <c r="P519" s="8"/>
    </row>
    <row r="520">
      <c r="A520" s="11"/>
      <c r="B520" s="9"/>
      <c r="C520" s="8"/>
      <c r="D520" s="8"/>
      <c r="E520" s="8"/>
      <c r="F520" s="12"/>
      <c r="G520" s="11"/>
      <c r="H520" s="11"/>
      <c r="I520" s="11"/>
      <c r="J520" s="11"/>
      <c r="K520" s="12"/>
      <c r="L520" s="11"/>
      <c r="M520" s="11"/>
      <c r="N520" s="11"/>
      <c r="O520" s="11"/>
      <c r="P520" s="8"/>
    </row>
    <row r="521">
      <c r="A521" s="11"/>
      <c r="B521" s="9"/>
      <c r="C521" s="8"/>
      <c r="D521" s="8"/>
      <c r="E521" s="8"/>
      <c r="F521" s="12"/>
      <c r="G521" s="11"/>
      <c r="H521" s="11"/>
      <c r="I521" s="11"/>
      <c r="J521" s="11"/>
      <c r="K521" s="12"/>
      <c r="L521" s="11"/>
      <c r="M521" s="11"/>
      <c r="N521" s="11"/>
      <c r="O521" s="11"/>
      <c r="P521" s="8"/>
    </row>
    <row r="522">
      <c r="A522" s="11"/>
      <c r="B522" s="9"/>
      <c r="C522" s="8"/>
      <c r="D522" s="8"/>
      <c r="E522" s="8"/>
      <c r="F522" s="12"/>
      <c r="G522" s="11"/>
      <c r="H522" s="11"/>
      <c r="I522" s="11"/>
      <c r="J522" s="11"/>
      <c r="K522" s="12"/>
      <c r="L522" s="11"/>
      <c r="M522" s="11"/>
      <c r="N522" s="11"/>
      <c r="O522" s="11"/>
      <c r="P522" s="8"/>
    </row>
    <row r="523">
      <c r="A523" s="11"/>
      <c r="B523" s="9"/>
      <c r="C523" s="8"/>
      <c r="D523" s="8"/>
      <c r="E523" s="8"/>
      <c r="F523" s="12"/>
      <c r="G523" s="11"/>
      <c r="H523" s="11"/>
      <c r="I523" s="11"/>
      <c r="J523" s="11"/>
      <c r="K523" s="12"/>
      <c r="L523" s="11"/>
      <c r="M523" s="11"/>
      <c r="N523" s="11"/>
      <c r="O523" s="11"/>
      <c r="P523" s="8"/>
    </row>
    <row r="524">
      <c r="A524" s="11"/>
      <c r="B524" s="9"/>
      <c r="C524" s="8"/>
      <c r="D524" s="8"/>
      <c r="E524" s="8"/>
      <c r="F524" s="12"/>
      <c r="G524" s="11"/>
      <c r="H524" s="11"/>
      <c r="I524" s="11"/>
      <c r="J524" s="11"/>
      <c r="K524" s="12"/>
      <c r="L524" s="11"/>
      <c r="M524" s="11"/>
      <c r="N524" s="11"/>
      <c r="O524" s="11"/>
      <c r="P524" s="8"/>
    </row>
    <row r="525">
      <c r="A525" s="11"/>
      <c r="B525" s="9"/>
      <c r="C525" s="8"/>
      <c r="D525" s="8"/>
      <c r="E525" s="8"/>
      <c r="F525" s="12"/>
      <c r="G525" s="11"/>
      <c r="H525" s="11"/>
      <c r="I525" s="11"/>
      <c r="J525" s="11"/>
      <c r="K525" s="12"/>
      <c r="L525" s="11"/>
      <c r="M525" s="11"/>
      <c r="N525" s="11"/>
      <c r="O525" s="11"/>
      <c r="P525" s="8"/>
    </row>
    <row r="526">
      <c r="A526" s="11"/>
      <c r="B526" s="9"/>
      <c r="C526" s="8"/>
      <c r="D526" s="8"/>
      <c r="E526" s="8"/>
      <c r="F526" s="12"/>
      <c r="G526" s="11"/>
      <c r="H526" s="11"/>
      <c r="I526" s="11"/>
      <c r="J526" s="11"/>
      <c r="K526" s="12"/>
      <c r="L526" s="11"/>
      <c r="M526" s="11"/>
      <c r="N526" s="11"/>
      <c r="O526" s="11"/>
      <c r="P526" s="8"/>
    </row>
    <row r="527">
      <c r="A527" s="11"/>
      <c r="B527" s="9"/>
      <c r="C527" s="8"/>
      <c r="D527" s="8"/>
      <c r="E527" s="8"/>
      <c r="F527" s="12"/>
      <c r="G527" s="11"/>
      <c r="H527" s="11"/>
      <c r="I527" s="11"/>
      <c r="J527" s="11"/>
      <c r="K527" s="12"/>
      <c r="L527" s="11"/>
      <c r="M527" s="11"/>
      <c r="N527" s="11"/>
      <c r="O527" s="11"/>
      <c r="P527" s="8"/>
    </row>
    <row r="528">
      <c r="A528" s="11"/>
      <c r="B528" s="9"/>
      <c r="C528" s="8"/>
      <c r="D528" s="8"/>
      <c r="E528" s="8"/>
      <c r="F528" s="12"/>
      <c r="G528" s="11"/>
      <c r="H528" s="11"/>
      <c r="I528" s="11"/>
      <c r="J528" s="11"/>
      <c r="K528" s="12"/>
      <c r="L528" s="11"/>
      <c r="M528" s="11"/>
      <c r="N528" s="11"/>
      <c r="O528" s="11"/>
      <c r="P528" s="8"/>
    </row>
    <row r="529">
      <c r="A529" s="11"/>
      <c r="B529" s="9"/>
      <c r="C529" s="8"/>
      <c r="D529" s="8"/>
      <c r="E529" s="8"/>
      <c r="F529" s="12"/>
      <c r="G529" s="11"/>
      <c r="H529" s="11"/>
      <c r="I529" s="11"/>
      <c r="J529" s="11"/>
      <c r="K529" s="12"/>
      <c r="L529" s="11"/>
      <c r="M529" s="11"/>
      <c r="N529" s="11"/>
      <c r="O529" s="11"/>
      <c r="P529" s="8"/>
    </row>
    <row r="530">
      <c r="A530" s="11"/>
      <c r="B530" s="9"/>
      <c r="C530" s="8"/>
      <c r="D530" s="8"/>
      <c r="E530" s="8"/>
      <c r="F530" s="12"/>
      <c r="G530" s="11"/>
      <c r="H530" s="11"/>
      <c r="I530" s="11"/>
      <c r="J530" s="11"/>
      <c r="K530" s="12"/>
      <c r="L530" s="11"/>
      <c r="M530" s="11"/>
      <c r="N530" s="11"/>
      <c r="O530" s="11"/>
      <c r="P530" s="8"/>
    </row>
    <row r="531">
      <c r="A531" s="11"/>
      <c r="B531" s="9"/>
      <c r="C531" s="8"/>
      <c r="D531" s="8"/>
      <c r="E531" s="8"/>
      <c r="F531" s="12"/>
      <c r="G531" s="11"/>
      <c r="H531" s="11"/>
      <c r="I531" s="11"/>
      <c r="J531" s="11"/>
      <c r="K531" s="12"/>
      <c r="L531" s="11"/>
      <c r="M531" s="11"/>
      <c r="N531" s="11"/>
      <c r="O531" s="11"/>
      <c r="P531" s="8"/>
    </row>
    <row r="532">
      <c r="A532" s="11"/>
      <c r="B532" s="9"/>
      <c r="C532" s="8"/>
      <c r="D532" s="8"/>
      <c r="E532" s="8"/>
      <c r="F532" s="12"/>
      <c r="G532" s="11"/>
      <c r="H532" s="11"/>
      <c r="I532" s="11"/>
      <c r="J532" s="11"/>
      <c r="K532" s="12"/>
      <c r="L532" s="11"/>
      <c r="M532" s="11"/>
      <c r="N532" s="11"/>
      <c r="O532" s="11"/>
      <c r="P532" s="8"/>
    </row>
    <row r="533">
      <c r="A533" s="11"/>
      <c r="B533" s="9"/>
      <c r="C533" s="8"/>
      <c r="D533" s="8"/>
      <c r="E533" s="8"/>
      <c r="F533" s="12"/>
      <c r="G533" s="11"/>
      <c r="H533" s="11"/>
      <c r="I533" s="11"/>
      <c r="J533" s="11"/>
      <c r="K533" s="12"/>
      <c r="L533" s="11"/>
      <c r="M533" s="11"/>
      <c r="N533" s="11"/>
      <c r="O533" s="11"/>
      <c r="P533" s="8"/>
    </row>
    <row r="534">
      <c r="A534" s="11"/>
      <c r="B534" s="9"/>
      <c r="C534" s="8"/>
      <c r="D534" s="8"/>
      <c r="E534" s="8"/>
      <c r="F534" s="12"/>
      <c r="G534" s="11"/>
      <c r="H534" s="11"/>
      <c r="I534" s="11"/>
      <c r="J534" s="11"/>
      <c r="K534" s="12"/>
      <c r="L534" s="11"/>
      <c r="M534" s="11"/>
      <c r="N534" s="11"/>
      <c r="O534" s="11"/>
      <c r="P534" s="8"/>
    </row>
    <row r="535">
      <c r="A535" s="11"/>
      <c r="B535" s="9"/>
      <c r="C535" s="8"/>
      <c r="D535" s="8"/>
      <c r="E535" s="8"/>
      <c r="F535" s="12"/>
      <c r="G535" s="11"/>
      <c r="H535" s="11"/>
      <c r="I535" s="11"/>
      <c r="J535" s="11"/>
      <c r="K535" s="12"/>
      <c r="L535" s="11"/>
      <c r="M535" s="11"/>
      <c r="N535" s="11"/>
      <c r="O535" s="11"/>
      <c r="P535" s="8"/>
    </row>
    <row r="536">
      <c r="A536" s="11"/>
      <c r="B536" s="9"/>
      <c r="C536" s="8"/>
      <c r="D536" s="8"/>
      <c r="E536" s="8"/>
      <c r="F536" s="12"/>
      <c r="G536" s="11"/>
      <c r="H536" s="11"/>
      <c r="I536" s="11"/>
      <c r="J536" s="11"/>
      <c r="K536" s="12"/>
      <c r="L536" s="11"/>
      <c r="M536" s="11"/>
      <c r="N536" s="11"/>
      <c r="O536" s="11"/>
      <c r="P536" s="8"/>
    </row>
    <row r="537">
      <c r="A537" s="11"/>
      <c r="B537" s="9"/>
      <c r="C537" s="8"/>
      <c r="D537" s="8"/>
      <c r="E537" s="8"/>
      <c r="F537" s="12"/>
      <c r="G537" s="11"/>
      <c r="H537" s="11"/>
      <c r="I537" s="11"/>
      <c r="J537" s="11"/>
      <c r="K537" s="12"/>
      <c r="L537" s="11"/>
      <c r="M537" s="11"/>
      <c r="N537" s="11"/>
      <c r="O537" s="11"/>
      <c r="P537" s="8"/>
    </row>
    <row r="538">
      <c r="A538" s="11"/>
      <c r="B538" s="9"/>
      <c r="C538" s="8"/>
      <c r="D538" s="8"/>
      <c r="E538" s="8"/>
      <c r="F538" s="12"/>
      <c r="G538" s="11"/>
      <c r="H538" s="11"/>
      <c r="I538" s="11"/>
      <c r="J538" s="11"/>
      <c r="K538" s="12"/>
      <c r="L538" s="11"/>
      <c r="M538" s="11"/>
      <c r="N538" s="11"/>
      <c r="O538" s="11"/>
      <c r="P538" s="8"/>
    </row>
    <row r="539">
      <c r="A539" s="11"/>
      <c r="B539" s="9"/>
      <c r="C539" s="8"/>
      <c r="D539" s="8"/>
      <c r="E539" s="8"/>
      <c r="F539" s="12"/>
      <c r="G539" s="11"/>
      <c r="H539" s="11"/>
      <c r="I539" s="11"/>
      <c r="J539" s="11"/>
      <c r="K539" s="12"/>
      <c r="L539" s="11"/>
      <c r="M539" s="11"/>
      <c r="N539" s="11"/>
      <c r="O539" s="11"/>
      <c r="P539" s="8"/>
    </row>
    <row r="540">
      <c r="A540" s="11"/>
      <c r="B540" s="9"/>
      <c r="C540" s="8"/>
      <c r="D540" s="8"/>
      <c r="E540" s="8"/>
      <c r="F540" s="12"/>
      <c r="G540" s="11"/>
      <c r="H540" s="11"/>
      <c r="I540" s="11"/>
      <c r="J540" s="11"/>
      <c r="K540" s="12"/>
      <c r="L540" s="11"/>
      <c r="M540" s="11"/>
      <c r="N540" s="11"/>
      <c r="O540" s="11"/>
      <c r="P540" s="8"/>
    </row>
    <row r="541">
      <c r="A541" s="11"/>
      <c r="B541" s="9"/>
      <c r="C541" s="8"/>
      <c r="D541" s="8"/>
      <c r="E541" s="8"/>
      <c r="F541" s="12"/>
      <c r="G541" s="11"/>
      <c r="H541" s="11"/>
      <c r="I541" s="11"/>
      <c r="J541" s="11"/>
      <c r="K541" s="12"/>
      <c r="L541" s="11"/>
      <c r="M541" s="11"/>
      <c r="N541" s="11"/>
      <c r="O541" s="11"/>
      <c r="P541" s="8"/>
    </row>
    <row r="542">
      <c r="A542" s="11"/>
      <c r="B542" s="9"/>
      <c r="C542" s="8"/>
      <c r="D542" s="8"/>
      <c r="E542" s="8"/>
      <c r="F542" s="12"/>
      <c r="G542" s="11"/>
      <c r="H542" s="11"/>
      <c r="I542" s="11"/>
      <c r="J542" s="11"/>
      <c r="K542" s="12"/>
      <c r="L542" s="11"/>
      <c r="M542" s="11"/>
      <c r="N542" s="11"/>
      <c r="O542" s="11"/>
      <c r="P542" s="8"/>
    </row>
    <row r="543">
      <c r="A543" s="11"/>
      <c r="B543" s="9"/>
      <c r="C543" s="8"/>
      <c r="D543" s="8"/>
      <c r="E543" s="8"/>
      <c r="F543" s="12"/>
      <c r="G543" s="11"/>
      <c r="H543" s="11"/>
      <c r="I543" s="11"/>
      <c r="J543" s="11"/>
      <c r="K543" s="12"/>
      <c r="L543" s="11"/>
      <c r="M543" s="11"/>
      <c r="N543" s="11"/>
      <c r="O543" s="11"/>
      <c r="P543" s="8"/>
    </row>
    <row r="544">
      <c r="A544" s="11"/>
      <c r="B544" s="9"/>
      <c r="C544" s="8"/>
      <c r="D544" s="8"/>
      <c r="E544" s="8"/>
      <c r="F544" s="12"/>
      <c r="G544" s="11"/>
      <c r="H544" s="11"/>
      <c r="I544" s="11"/>
      <c r="J544" s="11"/>
      <c r="K544" s="12"/>
      <c r="L544" s="11"/>
      <c r="M544" s="11"/>
      <c r="N544" s="11"/>
      <c r="O544" s="11"/>
      <c r="P544" s="8"/>
    </row>
    <row r="545">
      <c r="A545" s="11"/>
      <c r="B545" s="9"/>
      <c r="C545" s="8"/>
      <c r="D545" s="8"/>
      <c r="E545" s="8"/>
      <c r="F545" s="12"/>
      <c r="G545" s="11"/>
      <c r="H545" s="11"/>
      <c r="I545" s="11"/>
      <c r="J545" s="11"/>
      <c r="K545" s="12"/>
      <c r="L545" s="11"/>
      <c r="M545" s="11"/>
      <c r="N545" s="11"/>
      <c r="O545" s="11"/>
      <c r="P545" s="8"/>
    </row>
    <row r="546">
      <c r="A546" s="11"/>
      <c r="B546" s="9"/>
      <c r="C546" s="8"/>
      <c r="D546" s="8"/>
      <c r="E546" s="8"/>
      <c r="F546" s="12"/>
      <c r="G546" s="11"/>
      <c r="H546" s="11"/>
      <c r="I546" s="11"/>
      <c r="J546" s="11"/>
      <c r="K546" s="12"/>
      <c r="L546" s="11"/>
      <c r="M546" s="11"/>
      <c r="N546" s="11"/>
      <c r="O546" s="11"/>
      <c r="P546" s="8"/>
    </row>
    <row r="547">
      <c r="A547" s="11"/>
      <c r="B547" s="9"/>
      <c r="C547" s="8"/>
      <c r="D547" s="8"/>
      <c r="E547" s="8"/>
      <c r="F547" s="12"/>
      <c r="G547" s="11"/>
      <c r="H547" s="11"/>
      <c r="I547" s="11"/>
      <c r="J547" s="11"/>
      <c r="K547" s="12"/>
      <c r="L547" s="11"/>
      <c r="M547" s="11"/>
      <c r="N547" s="11"/>
      <c r="O547" s="11"/>
      <c r="P547" s="8"/>
    </row>
    <row r="548">
      <c r="A548" s="11"/>
      <c r="B548" s="9"/>
      <c r="C548" s="8"/>
      <c r="D548" s="8"/>
      <c r="E548" s="8"/>
      <c r="F548" s="12"/>
      <c r="G548" s="11"/>
      <c r="H548" s="11"/>
      <c r="I548" s="11"/>
      <c r="J548" s="11"/>
      <c r="K548" s="12"/>
      <c r="L548" s="11"/>
      <c r="M548" s="11"/>
      <c r="N548" s="11"/>
      <c r="O548" s="11"/>
      <c r="P548" s="8"/>
    </row>
    <row r="549">
      <c r="A549" s="11"/>
      <c r="B549" s="9"/>
      <c r="C549" s="8"/>
      <c r="D549" s="8"/>
      <c r="E549" s="8"/>
      <c r="F549" s="12"/>
      <c r="G549" s="11"/>
      <c r="H549" s="11"/>
      <c r="I549" s="11"/>
      <c r="J549" s="11"/>
      <c r="K549" s="12"/>
      <c r="L549" s="11"/>
      <c r="M549" s="11"/>
      <c r="N549" s="11"/>
      <c r="O549" s="11"/>
      <c r="P549" s="8"/>
    </row>
    <row r="550">
      <c r="A550" s="11"/>
      <c r="B550" s="9"/>
      <c r="C550" s="8"/>
      <c r="D550" s="8"/>
      <c r="E550" s="8"/>
      <c r="F550" s="12"/>
      <c r="G550" s="11"/>
      <c r="H550" s="11"/>
      <c r="I550" s="11"/>
      <c r="J550" s="11"/>
      <c r="K550" s="12"/>
      <c r="L550" s="11"/>
      <c r="M550" s="11"/>
      <c r="N550" s="11"/>
      <c r="O550" s="11"/>
      <c r="P550" s="8"/>
    </row>
    <row r="551">
      <c r="A551" s="11"/>
      <c r="B551" s="9"/>
      <c r="C551" s="8"/>
      <c r="D551" s="8"/>
      <c r="E551" s="8"/>
      <c r="F551" s="12"/>
      <c r="G551" s="11"/>
      <c r="H551" s="11"/>
      <c r="I551" s="11"/>
      <c r="J551" s="11"/>
      <c r="K551" s="12"/>
      <c r="L551" s="11"/>
      <c r="M551" s="11"/>
      <c r="N551" s="11"/>
      <c r="O551" s="11"/>
      <c r="P551" s="8"/>
    </row>
    <row r="552">
      <c r="A552" s="11"/>
      <c r="B552" s="9"/>
      <c r="C552" s="8"/>
      <c r="D552" s="8"/>
      <c r="E552" s="8"/>
      <c r="F552" s="12"/>
      <c r="G552" s="11"/>
      <c r="H552" s="11"/>
      <c r="I552" s="11"/>
      <c r="J552" s="11"/>
      <c r="K552" s="12"/>
      <c r="L552" s="11"/>
      <c r="M552" s="11"/>
      <c r="N552" s="11"/>
      <c r="O552" s="11"/>
      <c r="P552" s="8"/>
    </row>
    <row r="553">
      <c r="A553" s="11"/>
      <c r="B553" s="9"/>
      <c r="C553" s="8"/>
      <c r="D553" s="8"/>
      <c r="E553" s="8"/>
      <c r="F553" s="12"/>
      <c r="G553" s="11"/>
      <c r="H553" s="11"/>
      <c r="I553" s="11"/>
      <c r="J553" s="11"/>
      <c r="K553" s="12"/>
      <c r="L553" s="11"/>
      <c r="M553" s="11"/>
      <c r="N553" s="11"/>
      <c r="O553" s="11"/>
      <c r="P553" s="8"/>
    </row>
    <row r="554">
      <c r="A554" s="11"/>
      <c r="B554" s="9"/>
      <c r="C554" s="8"/>
      <c r="D554" s="8"/>
      <c r="E554" s="8"/>
      <c r="F554" s="12"/>
      <c r="G554" s="11"/>
      <c r="H554" s="11"/>
      <c r="I554" s="11"/>
      <c r="J554" s="11"/>
      <c r="K554" s="12"/>
      <c r="L554" s="11"/>
      <c r="M554" s="11"/>
      <c r="N554" s="11"/>
      <c r="O554" s="11"/>
      <c r="P554" s="8"/>
    </row>
    <row r="555">
      <c r="A555" s="11"/>
      <c r="B555" s="9"/>
      <c r="C555" s="8"/>
      <c r="D555" s="8"/>
      <c r="E555" s="8"/>
      <c r="F555" s="12"/>
      <c r="G555" s="11"/>
      <c r="H555" s="11"/>
      <c r="I555" s="11"/>
      <c r="J555" s="11"/>
      <c r="K555" s="12"/>
      <c r="L555" s="11"/>
      <c r="M555" s="11"/>
      <c r="N555" s="11"/>
      <c r="O555" s="11"/>
      <c r="P555" s="8"/>
    </row>
    <row r="556">
      <c r="A556" s="11"/>
      <c r="B556" s="9"/>
      <c r="C556" s="8"/>
      <c r="D556" s="8"/>
      <c r="E556" s="8"/>
      <c r="F556" s="12"/>
      <c r="G556" s="11"/>
      <c r="H556" s="11"/>
      <c r="I556" s="11"/>
      <c r="J556" s="11"/>
      <c r="K556" s="12"/>
      <c r="L556" s="11"/>
      <c r="M556" s="11"/>
      <c r="N556" s="11"/>
      <c r="O556" s="11"/>
      <c r="P556" s="8"/>
    </row>
    <row r="557">
      <c r="A557" s="11"/>
      <c r="B557" s="9"/>
      <c r="C557" s="8"/>
      <c r="D557" s="8"/>
      <c r="E557" s="8"/>
      <c r="F557" s="12"/>
      <c r="G557" s="11"/>
      <c r="H557" s="11"/>
      <c r="I557" s="11"/>
      <c r="J557" s="11"/>
      <c r="K557" s="12"/>
      <c r="L557" s="11"/>
      <c r="M557" s="11"/>
      <c r="N557" s="11"/>
      <c r="O557" s="11"/>
      <c r="P557" s="8"/>
    </row>
    <row r="558">
      <c r="A558" s="11"/>
      <c r="B558" s="9"/>
      <c r="C558" s="8"/>
      <c r="D558" s="8"/>
      <c r="E558" s="8"/>
      <c r="F558" s="12"/>
      <c r="G558" s="11"/>
      <c r="H558" s="11"/>
      <c r="I558" s="11"/>
      <c r="J558" s="11"/>
      <c r="K558" s="12"/>
      <c r="L558" s="11"/>
      <c r="M558" s="11"/>
      <c r="N558" s="11"/>
      <c r="O558" s="11"/>
      <c r="P558" s="8"/>
    </row>
    <row r="559">
      <c r="A559" s="11"/>
      <c r="B559" s="9"/>
      <c r="C559" s="8"/>
      <c r="D559" s="8"/>
      <c r="E559" s="8"/>
      <c r="F559" s="12"/>
      <c r="G559" s="11"/>
      <c r="H559" s="11"/>
      <c r="I559" s="11"/>
      <c r="J559" s="11"/>
      <c r="K559" s="12"/>
      <c r="L559" s="11"/>
      <c r="M559" s="11"/>
      <c r="N559" s="11"/>
      <c r="O559" s="11"/>
      <c r="P559" s="8"/>
    </row>
    <row r="560">
      <c r="A560" s="11"/>
      <c r="B560" s="9"/>
      <c r="C560" s="8"/>
      <c r="D560" s="8"/>
      <c r="E560" s="8"/>
      <c r="F560" s="12"/>
      <c r="G560" s="11"/>
      <c r="H560" s="11"/>
      <c r="I560" s="11"/>
      <c r="J560" s="11"/>
      <c r="K560" s="12"/>
      <c r="L560" s="11"/>
      <c r="M560" s="11"/>
      <c r="N560" s="11"/>
      <c r="O560" s="11"/>
      <c r="P560" s="8"/>
    </row>
    <row r="561">
      <c r="A561" s="11"/>
      <c r="B561" s="9"/>
      <c r="C561" s="8"/>
      <c r="D561" s="8"/>
      <c r="E561" s="8"/>
      <c r="F561" s="12"/>
      <c r="G561" s="11"/>
      <c r="H561" s="11"/>
      <c r="I561" s="11"/>
      <c r="J561" s="11"/>
      <c r="K561" s="12"/>
      <c r="L561" s="11"/>
      <c r="M561" s="11"/>
      <c r="N561" s="11"/>
      <c r="O561" s="11"/>
      <c r="P561" s="8"/>
    </row>
    <row r="562">
      <c r="A562" s="11"/>
      <c r="B562" s="9"/>
      <c r="C562" s="8"/>
      <c r="D562" s="8"/>
      <c r="E562" s="8"/>
      <c r="F562" s="12"/>
      <c r="G562" s="11"/>
      <c r="H562" s="11"/>
      <c r="I562" s="11"/>
      <c r="J562" s="11"/>
      <c r="K562" s="12"/>
      <c r="L562" s="11"/>
      <c r="M562" s="11"/>
      <c r="N562" s="11"/>
      <c r="O562" s="11"/>
      <c r="P562" s="8"/>
    </row>
    <row r="563">
      <c r="A563" s="11"/>
      <c r="B563" s="9"/>
      <c r="C563" s="8"/>
      <c r="D563" s="8"/>
      <c r="E563" s="8"/>
      <c r="F563" s="12"/>
      <c r="G563" s="11"/>
      <c r="H563" s="11"/>
      <c r="I563" s="11"/>
      <c r="J563" s="11"/>
      <c r="K563" s="12"/>
      <c r="L563" s="11"/>
      <c r="M563" s="11"/>
      <c r="N563" s="11"/>
      <c r="O563" s="11"/>
      <c r="P563" s="8"/>
    </row>
    <row r="564">
      <c r="A564" s="11"/>
      <c r="B564" s="9"/>
      <c r="C564" s="8"/>
      <c r="D564" s="8"/>
      <c r="E564" s="8"/>
      <c r="F564" s="12"/>
      <c r="G564" s="11"/>
      <c r="H564" s="11"/>
      <c r="I564" s="11"/>
      <c r="J564" s="11"/>
      <c r="K564" s="12"/>
      <c r="L564" s="11"/>
      <c r="M564" s="11"/>
      <c r="N564" s="11"/>
      <c r="O564" s="11"/>
      <c r="P564" s="8"/>
    </row>
    <row r="565">
      <c r="A565" s="11"/>
      <c r="B565" s="9"/>
      <c r="C565" s="8"/>
      <c r="D565" s="8"/>
      <c r="E565" s="8"/>
      <c r="F565" s="12"/>
      <c r="G565" s="11"/>
      <c r="H565" s="11"/>
      <c r="I565" s="11"/>
      <c r="J565" s="11"/>
      <c r="K565" s="12"/>
      <c r="L565" s="11"/>
      <c r="M565" s="11"/>
      <c r="N565" s="11"/>
      <c r="O565" s="11"/>
      <c r="P565" s="8"/>
    </row>
    <row r="566">
      <c r="A566" s="11"/>
      <c r="B566" s="9"/>
      <c r="C566" s="8"/>
      <c r="D566" s="8"/>
      <c r="E566" s="8"/>
      <c r="F566" s="12"/>
      <c r="G566" s="11"/>
      <c r="H566" s="11"/>
      <c r="I566" s="11"/>
      <c r="J566" s="11"/>
      <c r="K566" s="12"/>
      <c r="L566" s="11"/>
      <c r="M566" s="11"/>
      <c r="N566" s="11"/>
      <c r="O566" s="11"/>
      <c r="P566" s="8"/>
    </row>
    <row r="567">
      <c r="A567" s="11"/>
      <c r="B567" s="9"/>
      <c r="C567" s="8"/>
      <c r="D567" s="8"/>
      <c r="E567" s="8"/>
      <c r="F567" s="12"/>
      <c r="G567" s="11"/>
      <c r="H567" s="11"/>
      <c r="I567" s="11"/>
      <c r="J567" s="11"/>
      <c r="K567" s="12"/>
      <c r="L567" s="11"/>
      <c r="M567" s="11"/>
      <c r="N567" s="11"/>
      <c r="O567" s="11"/>
      <c r="P567" s="8"/>
    </row>
    <row r="568">
      <c r="A568" s="11"/>
      <c r="B568" s="9"/>
      <c r="C568" s="8"/>
      <c r="D568" s="8"/>
      <c r="E568" s="8"/>
      <c r="F568" s="12"/>
      <c r="G568" s="11"/>
      <c r="H568" s="11"/>
      <c r="I568" s="11"/>
      <c r="J568" s="11"/>
      <c r="K568" s="12"/>
      <c r="L568" s="11"/>
      <c r="M568" s="11"/>
      <c r="N568" s="11"/>
      <c r="O568" s="11"/>
      <c r="P568" s="8"/>
    </row>
    <row r="569">
      <c r="A569" s="11"/>
      <c r="B569" s="9"/>
      <c r="C569" s="8"/>
      <c r="D569" s="8"/>
      <c r="E569" s="8"/>
      <c r="F569" s="12"/>
      <c r="G569" s="11"/>
      <c r="H569" s="11"/>
      <c r="I569" s="11"/>
      <c r="J569" s="11"/>
      <c r="K569" s="12"/>
      <c r="L569" s="11"/>
      <c r="M569" s="11"/>
      <c r="N569" s="11"/>
      <c r="O569" s="11"/>
      <c r="P569" s="8"/>
    </row>
    <row r="570">
      <c r="A570" s="11"/>
      <c r="B570" s="9"/>
      <c r="C570" s="8"/>
      <c r="D570" s="8"/>
      <c r="E570" s="8"/>
      <c r="F570" s="12"/>
      <c r="G570" s="11"/>
      <c r="H570" s="11"/>
      <c r="I570" s="11"/>
      <c r="J570" s="11"/>
      <c r="K570" s="12"/>
      <c r="L570" s="11"/>
      <c r="M570" s="11"/>
      <c r="N570" s="11"/>
      <c r="O570" s="11"/>
      <c r="P570" s="8"/>
    </row>
    <row r="571">
      <c r="A571" s="11"/>
      <c r="B571" s="9"/>
      <c r="C571" s="8"/>
      <c r="D571" s="8"/>
      <c r="E571" s="8"/>
      <c r="F571" s="12"/>
      <c r="G571" s="11"/>
      <c r="H571" s="11"/>
      <c r="I571" s="11"/>
      <c r="J571" s="11"/>
      <c r="K571" s="12"/>
      <c r="L571" s="11"/>
      <c r="M571" s="11"/>
      <c r="N571" s="11"/>
      <c r="O571" s="11"/>
      <c r="P571" s="8"/>
    </row>
    <row r="572">
      <c r="A572" s="11"/>
      <c r="B572" s="9"/>
      <c r="C572" s="8"/>
      <c r="D572" s="8"/>
      <c r="E572" s="8"/>
      <c r="F572" s="12"/>
      <c r="G572" s="11"/>
      <c r="H572" s="11"/>
      <c r="I572" s="11"/>
      <c r="J572" s="11"/>
      <c r="K572" s="12"/>
      <c r="L572" s="11"/>
      <c r="M572" s="11"/>
      <c r="N572" s="11"/>
      <c r="O572" s="11"/>
      <c r="P572" s="8"/>
    </row>
    <row r="573">
      <c r="A573" s="11"/>
      <c r="B573" s="9"/>
      <c r="C573" s="8"/>
      <c r="D573" s="8"/>
      <c r="E573" s="8"/>
      <c r="F573" s="12"/>
      <c r="G573" s="11"/>
      <c r="H573" s="11"/>
      <c r="I573" s="11"/>
      <c r="J573" s="11"/>
      <c r="K573" s="12"/>
      <c r="L573" s="11"/>
      <c r="M573" s="11"/>
      <c r="N573" s="11"/>
      <c r="O573" s="11"/>
      <c r="P573" s="8"/>
    </row>
    <row r="574">
      <c r="A574" s="11"/>
      <c r="B574" s="9"/>
      <c r="C574" s="8"/>
      <c r="D574" s="8"/>
      <c r="E574" s="8"/>
      <c r="F574" s="12"/>
      <c r="G574" s="11"/>
      <c r="H574" s="11"/>
      <c r="I574" s="11"/>
      <c r="J574" s="11"/>
      <c r="K574" s="12"/>
      <c r="L574" s="11"/>
      <c r="M574" s="11"/>
      <c r="N574" s="11"/>
      <c r="O574" s="11"/>
      <c r="P574" s="8"/>
    </row>
    <row r="575">
      <c r="A575" s="11"/>
      <c r="B575" s="9"/>
      <c r="C575" s="8"/>
      <c r="D575" s="8"/>
      <c r="E575" s="8"/>
      <c r="F575" s="12"/>
      <c r="G575" s="11"/>
      <c r="H575" s="11"/>
      <c r="I575" s="11"/>
      <c r="J575" s="11"/>
      <c r="K575" s="12"/>
      <c r="L575" s="11"/>
      <c r="M575" s="11"/>
      <c r="N575" s="11"/>
      <c r="O575" s="11"/>
      <c r="P575" s="8"/>
    </row>
    <row r="576">
      <c r="A576" s="11"/>
      <c r="B576" s="9"/>
      <c r="C576" s="8"/>
      <c r="D576" s="8"/>
      <c r="E576" s="8"/>
      <c r="F576" s="12"/>
      <c r="G576" s="11"/>
      <c r="H576" s="11"/>
      <c r="I576" s="11"/>
      <c r="J576" s="11"/>
      <c r="K576" s="12"/>
      <c r="L576" s="11"/>
      <c r="M576" s="11"/>
      <c r="N576" s="11"/>
      <c r="O576" s="11"/>
      <c r="P576" s="8"/>
    </row>
    <row r="577">
      <c r="A577" s="11"/>
      <c r="B577" s="9"/>
      <c r="C577" s="8"/>
      <c r="D577" s="8"/>
      <c r="E577" s="8"/>
      <c r="F577" s="12"/>
      <c r="G577" s="11"/>
      <c r="H577" s="11"/>
      <c r="I577" s="11"/>
      <c r="J577" s="11"/>
      <c r="K577" s="12"/>
      <c r="L577" s="11"/>
      <c r="M577" s="11"/>
      <c r="N577" s="11"/>
      <c r="O577" s="11"/>
      <c r="P577" s="8"/>
    </row>
    <row r="578">
      <c r="A578" s="11"/>
      <c r="B578" s="9"/>
      <c r="C578" s="8"/>
      <c r="D578" s="8"/>
      <c r="E578" s="8"/>
      <c r="F578" s="12"/>
      <c r="G578" s="11"/>
      <c r="H578" s="11"/>
      <c r="I578" s="11"/>
      <c r="J578" s="11"/>
      <c r="K578" s="12"/>
      <c r="L578" s="11"/>
      <c r="M578" s="11"/>
      <c r="N578" s="11"/>
      <c r="O578" s="11"/>
      <c r="P578" s="8"/>
    </row>
    <row r="579">
      <c r="A579" s="11"/>
      <c r="B579" s="9"/>
      <c r="C579" s="8"/>
      <c r="D579" s="8"/>
      <c r="E579" s="8"/>
      <c r="F579" s="12"/>
      <c r="G579" s="11"/>
      <c r="H579" s="11"/>
      <c r="I579" s="11"/>
      <c r="J579" s="11"/>
      <c r="K579" s="12"/>
      <c r="L579" s="11"/>
      <c r="M579" s="11"/>
      <c r="N579" s="11"/>
      <c r="O579" s="11"/>
      <c r="P579" s="8"/>
    </row>
    <row r="580">
      <c r="A580" s="11"/>
      <c r="B580" s="9"/>
      <c r="C580" s="8"/>
      <c r="D580" s="8"/>
      <c r="E580" s="8"/>
      <c r="F580" s="12"/>
      <c r="G580" s="11"/>
      <c r="H580" s="11"/>
      <c r="I580" s="11"/>
      <c r="J580" s="11"/>
      <c r="K580" s="12"/>
      <c r="L580" s="11"/>
      <c r="M580" s="11"/>
      <c r="N580" s="11"/>
      <c r="O580" s="11"/>
      <c r="P580" s="8"/>
    </row>
    <row r="581">
      <c r="A581" s="11"/>
      <c r="B581" s="9"/>
      <c r="C581" s="8"/>
      <c r="D581" s="8"/>
      <c r="E581" s="8"/>
      <c r="F581" s="12"/>
      <c r="G581" s="11"/>
      <c r="H581" s="11"/>
      <c r="I581" s="11"/>
      <c r="J581" s="11"/>
      <c r="K581" s="12"/>
      <c r="L581" s="11"/>
      <c r="M581" s="11"/>
      <c r="N581" s="11"/>
      <c r="O581" s="11"/>
      <c r="P581" s="8"/>
    </row>
    <row r="582">
      <c r="A582" s="11"/>
      <c r="B582" s="9"/>
      <c r="C582" s="8"/>
      <c r="D582" s="8"/>
      <c r="E582" s="8"/>
      <c r="F582" s="12"/>
      <c r="G582" s="11"/>
      <c r="H582" s="11"/>
      <c r="I582" s="11"/>
      <c r="J582" s="11"/>
      <c r="K582" s="12"/>
      <c r="L582" s="11"/>
      <c r="M582" s="11"/>
      <c r="N582" s="11"/>
      <c r="O582" s="11"/>
      <c r="P582" s="8"/>
    </row>
    <row r="583">
      <c r="A583" s="11"/>
      <c r="B583" s="9"/>
      <c r="C583" s="8"/>
      <c r="D583" s="8"/>
      <c r="E583" s="8"/>
      <c r="F583" s="12"/>
      <c r="G583" s="11"/>
      <c r="H583" s="11"/>
      <c r="I583" s="11"/>
      <c r="J583" s="11"/>
      <c r="K583" s="12"/>
      <c r="L583" s="11"/>
      <c r="M583" s="11"/>
      <c r="N583" s="11"/>
      <c r="O583" s="11"/>
      <c r="P583" s="8"/>
    </row>
    <row r="584">
      <c r="A584" s="11"/>
      <c r="B584" s="9"/>
      <c r="C584" s="8"/>
      <c r="D584" s="8"/>
      <c r="E584" s="8"/>
      <c r="F584" s="12"/>
      <c r="G584" s="11"/>
      <c r="H584" s="11"/>
      <c r="I584" s="11"/>
      <c r="J584" s="11"/>
      <c r="K584" s="12"/>
      <c r="L584" s="11"/>
      <c r="M584" s="11"/>
      <c r="N584" s="11"/>
      <c r="O584" s="11"/>
      <c r="P584" s="8"/>
    </row>
    <row r="585">
      <c r="A585" s="11"/>
      <c r="B585" s="9"/>
      <c r="C585" s="8"/>
      <c r="D585" s="8"/>
      <c r="E585" s="8"/>
      <c r="F585" s="12"/>
      <c r="G585" s="11"/>
      <c r="H585" s="11"/>
      <c r="I585" s="11"/>
      <c r="J585" s="11"/>
      <c r="K585" s="12"/>
      <c r="L585" s="11"/>
      <c r="M585" s="11"/>
      <c r="N585" s="11"/>
      <c r="O585" s="11"/>
      <c r="P585" s="8"/>
    </row>
    <row r="586">
      <c r="A586" s="11"/>
      <c r="B586" s="9"/>
      <c r="C586" s="8"/>
      <c r="D586" s="8"/>
      <c r="E586" s="8"/>
      <c r="F586" s="12"/>
      <c r="G586" s="11"/>
      <c r="H586" s="11"/>
      <c r="I586" s="11"/>
      <c r="J586" s="11"/>
      <c r="K586" s="12"/>
      <c r="L586" s="11"/>
      <c r="M586" s="11"/>
      <c r="N586" s="11"/>
      <c r="O586" s="11"/>
      <c r="P586" s="8"/>
    </row>
    <row r="587">
      <c r="A587" s="11"/>
      <c r="B587" s="9"/>
      <c r="C587" s="8"/>
      <c r="D587" s="8"/>
      <c r="E587" s="8"/>
      <c r="F587" s="12"/>
      <c r="G587" s="11"/>
      <c r="H587" s="11"/>
      <c r="I587" s="11"/>
      <c r="J587" s="11"/>
      <c r="K587" s="12"/>
      <c r="L587" s="11"/>
      <c r="M587" s="11"/>
      <c r="N587" s="11"/>
      <c r="O587" s="11"/>
      <c r="P587" s="8"/>
    </row>
    <row r="588">
      <c r="A588" s="11"/>
      <c r="B588" s="9"/>
      <c r="C588" s="8"/>
      <c r="D588" s="8"/>
      <c r="E588" s="8"/>
      <c r="F588" s="12"/>
      <c r="G588" s="11"/>
      <c r="H588" s="11"/>
      <c r="I588" s="11"/>
      <c r="J588" s="11"/>
      <c r="K588" s="12"/>
      <c r="L588" s="11"/>
      <c r="M588" s="11"/>
      <c r="N588" s="11"/>
      <c r="O588" s="11"/>
      <c r="P588" s="8"/>
    </row>
    <row r="589">
      <c r="A589" s="11"/>
      <c r="B589" s="9"/>
      <c r="C589" s="8"/>
      <c r="D589" s="8"/>
      <c r="E589" s="8"/>
      <c r="F589" s="12"/>
      <c r="G589" s="11"/>
      <c r="H589" s="11"/>
      <c r="I589" s="11"/>
      <c r="J589" s="11"/>
      <c r="K589" s="12"/>
      <c r="L589" s="11"/>
      <c r="M589" s="11"/>
      <c r="N589" s="11"/>
      <c r="O589" s="11"/>
      <c r="P589" s="8"/>
    </row>
    <row r="590">
      <c r="A590" s="11"/>
      <c r="B590" s="9"/>
      <c r="C590" s="8"/>
      <c r="D590" s="8"/>
      <c r="E590" s="8"/>
      <c r="F590" s="12"/>
      <c r="G590" s="11"/>
      <c r="H590" s="11"/>
      <c r="I590" s="11"/>
      <c r="J590" s="11"/>
      <c r="K590" s="12"/>
      <c r="L590" s="11"/>
      <c r="M590" s="11"/>
      <c r="N590" s="11"/>
      <c r="O590" s="11"/>
      <c r="P590" s="8"/>
    </row>
    <row r="591">
      <c r="A591" s="11"/>
      <c r="B591" s="9"/>
      <c r="C591" s="8"/>
      <c r="D591" s="8"/>
      <c r="E591" s="8"/>
      <c r="F591" s="12"/>
      <c r="G591" s="11"/>
      <c r="H591" s="11"/>
      <c r="I591" s="11"/>
      <c r="J591" s="11"/>
      <c r="K591" s="12"/>
      <c r="L591" s="11"/>
      <c r="M591" s="11"/>
      <c r="N591" s="11"/>
      <c r="O591" s="11"/>
      <c r="P591" s="8"/>
    </row>
    <row r="592">
      <c r="A592" s="11"/>
      <c r="B592" s="9"/>
      <c r="C592" s="8"/>
      <c r="D592" s="8"/>
      <c r="E592" s="8"/>
      <c r="F592" s="12"/>
      <c r="G592" s="11"/>
      <c r="H592" s="11"/>
      <c r="I592" s="11"/>
      <c r="J592" s="11"/>
      <c r="K592" s="12"/>
      <c r="L592" s="11"/>
      <c r="M592" s="11"/>
      <c r="N592" s="11"/>
      <c r="O592" s="11"/>
      <c r="P592" s="8"/>
    </row>
    <row r="593">
      <c r="A593" s="11"/>
      <c r="B593" s="9"/>
      <c r="C593" s="8"/>
      <c r="D593" s="8"/>
      <c r="E593" s="8"/>
      <c r="F593" s="12"/>
      <c r="G593" s="11"/>
      <c r="H593" s="11"/>
      <c r="I593" s="11"/>
      <c r="J593" s="11"/>
      <c r="K593" s="12"/>
      <c r="L593" s="11"/>
      <c r="M593" s="11"/>
      <c r="N593" s="11"/>
      <c r="O593" s="11"/>
      <c r="P593" s="8"/>
    </row>
    <row r="594">
      <c r="A594" s="11"/>
      <c r="B594" s="9"/>
      <c r="C594" s="8"/>
      <c r="D594" s="8"/>
      <c r="E594" s="8"/>
      <c r="F594" s="12"/>
      <c r="G594" s="11"/>
      <c r="H594" s="11"/>
      <c r="I594" s="11"/>
      <c r="J594" s="11"/>
      <c r="K594" s="12"/>
      <c r="L594" s="11"/>
      <c r="M594" s="11"/>
      <c r="N594" s="11"/>
      <c r="O594" s="11"/>
      <c r="P594" s="8"/>
    </row>
    <row r="595">
      <c r="A595" s="11"/>
      <c r="B595" s="9"/>
      <c r="C595" s="8"/>
      <c r="D595" s="8"/>
      <c r="E595" s="8"/>
      <c r="F595" s="12"/>
      <c r="G595" s="11"/>
      <c r="H595" s="11"/>
      <c r="I595" s="11"/>
      <c r="J595" s="11"/>
      <c r="K595" s="12"/>
      <c r="L595" s="11"/>
      <c r="M595" s="11"/>
      <c r="N595" s="11"/>
      <c r="O595" s="11"/>
      <c r="P595" s="8"/>
    </row>
    <row r="596">
      <c r="A596" s="11"/>
      <c r="B596" s="9"/>
      <c r="C596" s="8"/>
      <c r="D596" s="8"/>
      <c r="E596" s="8"/>
      <c r="F596" s="12"/>
      <c r="G596" s="11"/>
      <c r="H596" s="11"/>
      <c r="I596" s="11"/>
      <c r="J596" s="11"/>
      <c r="K596" s="12"/>
      <c r="L596" s="11"/>
      <c r="M596" s="11"/>
      <c r="N596" s="11"/>
      <c r="O596" s="11"/>
      <c r="P596" s="8"/>
    </row>
    <row r="597">
      <c r="A597" s="11"/>
      <c r="B597" s="9"/>
      <c r="C597" s="8"/>
      <c r="D597" s="8"/>
      <c r="E597" s="8"/>
      <c r="F597" s="12"/>
      <c r="G597" s="11"/>
      <c r="H597" s="11"/>
      <c r="I597" s="11"/>
      <c r="J597" s="11"/>
      <c r="K597" s="12"/>
      <c r="L597" s="11"/>
      <c r="M597" s="11"/>
      <c r="N597" s="11"/>
      <c r="O597" s="11"/>
      <c r="P597" s="8"/>
    </row>
    <row r="598">
      <c r="A598" s="11"/>
      <c r="B598" s="9"/>
      <c r="C598" s="8"/>
      <c r="D598" s="8"/>
      <c r="E598" s="8"/>
      <c r="F598" s="12"/>
      <c r="G598" s="11"/>
      <c r="H598" s="11"/>
      <c r="I598" s="11"/>
      <c r="J598" s="11"/>
      <c r="K598" s="12"/>
      <c r="L598" s="11"/>
      <c r="M598" s="11"/>
      <c r="N598" s="11"/>
      <c r="O598" s="11"/>
      <c r="P598" s="8"/>
    </row>
    <row r="599">
      <c r="A599" s="11"/>
      <c r="B599" s="9"/>
      <c r="C599" s="8"/>
      <c r="D599" s="8"/>
      <c r="E599" s="8"/>
      <c r="F599" s="12"/>
      <c r="G599" s="11"/>
      <c r="H599" s="11"/>
      <c r="I599" s="11"/>
      <c r="J599" s="11"/>
      <c r="K599" s="12"/>
      <c r="L599" s="11"/>
      <c r="M599" s="11"/>
      <c r="N599" s="11"/>
      <c r="O599" s="11"/>
      <c r="P599" s="8"/>
    </row>
    <row r="600">
      <c r="A600" s="11"/>
      <c r="B600" s="9"/>
      <c r="C600" s="8"/>
      <c r="D600" s="8"/>
      <c r="E600" s="8"/>
      <c r="F600" s="12"/>
      <c r="G600" s="11"/>
      <c r="H600" s="11"/>
      <c r="I600" s="11"/>
      <c r="J600" s="11"/>
      <c r="K600" s="12"/>
      <c r="L600" s="11"/>
      <c r="M600" s="11"/>
      <c r="N600" s="11"/>
      <c r="O600" s="11"/>
      <c r="P600" s="8"/>
    </row>
    <row r="601">
      <c r="A601" s="11"/>
      <c r="B601" s="9"/>
      <c r="C601" s="8"/>
      <c r="D601" s="8"/>
      <c r="E601" s="8"/>
      <c r="F601" s="12"/>
      <c r="G601" s="11"/>
      <c r="H601" s="11"/>
      <c r="I601" s="11"/>
      <c r="J601" s="11"/>
      <c r="K601" s="12"/>
      <c r="L601" s="11"/>
      <c r="M601" s="11"/>
      <c r="N601" s="11"/>
      <c r="O601" s="11"/>
      <c r="P601" s="8"/>
    </row>
    <row r="602">
      <c r="A602" s="11"/>
      <c r="B602" s="9"/>
      <c r="C602" s="8"/>
      <c r="D602" s="8"/>
      <c r="E602" s="8"/>
      <c r="F602" s="12"/>
      <c r="G602" s="11"/>
      <c r="H602" s="11"/>
      <c r="I602" s="11"/>
      <c r="J602" s="11"/>
      <c r="K602" s="12"/>
      <c r="L602" s="11"/>
      <c r="M602" s="11"/>
      <c r="N602" s="11"/>
      <c r="O602" s="11"/>
      <c r="P602" s="8"/>
    </row>
    <row r="603">
      <c r="A603" s="11"/>
      <c r="B603" s="9"/>
      <c r="C603" s="8"/>
      <c r="D603" s="8"/>
      <c r="E603" s="8"/>
      <c r="F603" s="12"/>
      <c r="G603" s="11"/>
      <c r="H603" s="11"/>
      <c r="I603" s="11"/>
      <c r="J603" s="11"/>
      <c r="K603" s="12"/>
      <c r="L603" s="11"/>
      <c r="M603" s="11"/>
      <c r="N603" s="11"/>
      <c r="O603" s="11"/>
      <c r="P603" s="8"/>
    </row>
    <row r="604">
      <c r="A604" s="11"/>
      <c r="B604" s="9"/>
      <c r="C604" s="8"/>
      <c r="D604" s="8"/>
      <c r="E604" s="8"/>
      <c r="F604" s="12"/>
      <c r="G604" s="11"/>
      <c r="H604" s="11"/>
      <c r="I604" s="11"/>
      <c r="J604" s="11"/>
      <c r="K604" s="12"/>
      <c r="L604" s="11"/>
      <c r="M604" s="11"/>
      <c r="N604" s="11"/>
      <c r="O604" s="11"/>
      <c r="P604" s="8"/>
    </row>
    <row r="605">
      <c r="A605" s="11"/>
      <c r="B605" s="9"/>
      <c r="C605" s="8"/>
      <c r="D605" s="8"/>
      <c r="E605" s="8"/>
      <c r="F605" s="12"/>
      <c r="G605" s="11"/>
      <c r="H605" s="11"/>
      <c r="I605" s="11"/>
      <c r="J605" s="11"/>
      <c r="K605" s="12"/>
      <c r="L605" s="11"/>
      <c r="M605" s="11"/>
      <c r="N605" s="11"/>
      <c r="O605" s="11"/>
      <c r="P605" s="8"/>
    </row>
    <row r="606">
      <c r="A606" s="11"/>
      <c r="B606" s="9"/>
      <c r="C606" s="8"/>
      <c r="D606" s="8"/>
      <c r="E606" s="8"/>
      <c r="F606" s="12"/>
      <c r="G606" s="11"/>
      <c r="H606" s="11"/>
      <c r="I606" s="11"/>
      <c r="J606" s="11"/>
      <c r="K606" s="12"/>
      <c r="L606" s="11"/>
      <c r="M606" s="11"/>
      <c r="N606" s="11"/>
      <c r="O606" s="11"/>
      <c r="P606" s="8"/>
    </row>
    <row r="607">
      <c r="A607" s="11"/>
      <c r="B607" s="9"/>
      <c r="C607" s="8"/>
      <c r="D607" s="8"/>
      <c r="E607" s="8"/>
      <c r="F607" s="12"/>
      <c r="G607" s="11"/>
      <c r="H607" s="11"/>
      <c r="I607" s="11"/>
      <c r="J607" s="11"/>
      <c r="K607" s="12"/>
      <c r="L607" s="11"/>
      <c r="M607" s="11"/>
      <c r="N607" s="11"/>
      <c r="O607" s="11"/>
      <c r="P607" s="8"/>
    </row>
    <row r="608">
      <c r="A608" s="11"/>
      <c r="B608" s="9"/>
      <c r="C608" s="8"/>
      <c r="D608" s="8"/>
      <c r="E608" s="8"/>
      <c r="F608" s="12"/>
      <c r="G608" s="11"/>
      <c r="H608" s="11"/>
      <c r="I608" s="11"/>
      <c r="J608" s="11"/>
      <c r="K608" s="12"/>
      <c r="L608" s="11"/>
      <c r="M608" s="11"/>
      <c r="N608" s="11"/>
      <c r="O608" s="11"/>
      <c r="P608" s="8"/>
    </row>
    <row r="609">
      <c r="A609" s="11"/>
      <c r="B609" s="9"/>
      <c r="C609" s="8"/>
      <c r="D609" s="8"/>
      <c r="E609" s="8"/>
      <c r="F609" s="12"/>
      <c r="G609" s="11"/>
      <c r="H609" s="11"/>
      <c r="I609" s="11"/>
      <c r="J609" s="11"/>
      <c r="K609" s="12"/>
      <c r="L609" s="11"/>
      <c r="M609" s="11"/>
      <c r="N609" s="11"/>
      <c r="O609" s="11"/>
      <c r="P609" s="8"/>
    </row>
    <row r="610">
      <c r="A610" s="11"/>
      <c r="B610" s="9"/>
      <c r="C610" s="8"/>
      <c r="D610" s="8"/>
      <c r="E610" s="8"/>
      <c r="F610" s="12"/>
      <c r="G610" s="11"/>
      <c r="H610" s="11"/>
      <c r="I610" s="11"/>
      <c r="J610" s="11"/>
      <c r="K610" s="12"/>
      <c r="L610" s="11"/>
      <c r="M610" s="11"/>
      <c r="N610" s="11"/>
      <c r="O610" s="11"/>
      <c r="P610" s="8"/>
    </row>
    <row r="611">
      <c r="A611" s="11"/>
      <c r="B611" s="9"/>
      <c r="C611" s="8"/>
      <c r="D611" s="8"/>
      <c r="E611" s="8"/>
      <c r="F611" s="12"/>
      <c r="G611" s="11"/>
      <c r="H611" s="11"/>
      <c r="I611" s="11"/>
      <c r="J611" s="11"/>
      <c r="K611" s="12"/>
      <c r="L611" s="11"/>
      <c r="M611" s="11"/>
      <c r="N611" s="11"/>
      <c r="O611" s="11"/>
      <c r="P611" s="8"/>
    </row>
    <row r="612">
      <c r="A612" s="11"/>
      <c r="B612" s="9"/>
      <c r="C612" s="8"/>
      <c r="D612" s="8"/>
      <c r="E612" s="8"/>
      <c r="F612" s="12"/>
      <c r="G612" s="11"/>
      <c r="H612" s="11"/>
      <c r="I612" s="11"/>
      <c r="J612" s="11"/>
      <c r="K612" s="12"/>
      <c r="L612" s="11"/>
      <c r="M612" s="11"/>
      <c r="N612" s="11"/>
      <c r="O612" s="11"/>
      <c r="P612" s="8"/>
    </row>
    <row r="613">
      <c r="A613" s="11"/>
      <c r="B613" s="9"/>
      <c r="C613" s="8"/>
      <c r="D613" s="8"/>
      <c r="E613" s="8"/>
      <c r="F613" s="12"/>
      <c r="G613" s="11"/>
      <c r="H613" s="11"/>
      <c r="I613" s="11"/>
      <c r="J613" s="11"/>
      <c r="K613" s="12"/>
      <c r="L613" s="11"/>
      <c r="M613" s="11"/>
      <c r="N613" s="11"/>
      <c r="O613" s="11"/>
      <c r="P613" s="8"/>
    </row>
    <row r="614">
      <c r="A614" s="11"/>
      <c r="B614" s="9"/>
      <c r="C614" s="8"/>
      <c r="D614" s="8"/>
      <c r="E614" s="8"/>
      <c r="F614" s="12"/>
      <c r="G614" s="11"/>
      <c r="H614" s="11"/>
      <c r="I614" s="11"/>
      <c r="J614" s="11"/>
      <c r="K614" s="12"/>
      <c r="L614" s="11"/>
      <c r="M614" s="11"/>
      <c r="N614" s="11"/>
      <c r="O614" s="11"/>
      <c r="P614" s="8"/>
    </row>
    <row r="615">
      <c r="A615" s="11"/>
      <c r="B615" s="9"/>
      <c r="C615" s="8"/>
      <c r="D615" s="8"/>
      <c r="E615" s="8"/>
      <c r="F615" s="12"/>
      <c r="G615" s="11"/>
      <c r="H615" s="11"/>
      <c r="I615" s="11"/>
      <c r="J615" s="11"/>
      <c r="K615" s="12"/>
      <c r="L615" s="11"/>
      <c r="M615" s="11"/>
      <c r="N615" s="11"/>
      <c r="O615" s="11"/>
      <c r="P615" s="8"/>
    </row>
    <row r="616">
      <c r="A616" s="11"/>
      <c r="B616" s="9"/>
      <c r="C616" s="8"/>
      <c r="D616" s="8"/>
      <c r="E616" s="8"/>
      <c r="F616" s="12"/>
      <c r="G616" s="11"/>
      <c r="H616" s="11"/>
      <c r="I616" s="11"/>
      <c r="J616" s="11"/>
      <c r="K616" s="12"/>
      <c r="L616" s="11"/>
      <c r="M616" s="11"/>
      <c r="N616" s="11"/>
      <c r="O616" s="11"/>
      <c r="P616" s="8"/>
    </row>
    <row r="617">
      <c r="A617" s="11"/>
      <c r="B617" s="9"/>
      <c r="C617" s="8"/>
      <c r="D617" s="8"/>
      <c r="E617" s="8"/>
      <c r="F617" s="12"/>
      <c r="G617" s="11"/>
      <c r="H617" s="11"/>
      <c r="I617" s="11"/>
      <c r="J617" s="11"/>
      <c r="K617" s="12"/>
      <c r="L617" s="11"/>
      <c r="M617" s="11"/>
      <c r="N617" s="11"/>
      <c r="O617" s="11"/>
      <c r="P617" s="8"/>
    </row>
    <row r="618">
      <c r="A618" s="11"/>
      <c r="B618" s="9"/>
      <c r="C618" s="8"/>
      <c r="D618" s="8"/>
      <c r="E618" s="8"/>
      <c r="F618" s="12"/>
      <c r="G618" s="11"/>
      <c r="H618" s="11"/>
      <c r="I618" s="11"/>
      <c r="J618" s="11"/>
      <c r="K618" s="12"/>
      <c r="L618" s="11"/>
      <c r="M618" s="11"/>
      <c r="N618" s="11"/>
      <c r="O618" s="11"/>
      <c r="P618" s="8"/>
    </row>
    <row r="619">
      <c r="A619" s="11"/>
      <c r="B619" s="9"/>
      <c r="C619" s="8"/>
      <c r="D619" s="8"/>
      <c r="E619" s="8"/>
      <c r="F619" s="12"/>
      <c r="G619" s="11"/>
      <c r="H619" s="11"/>
      <c r="I619" s="11"/>
      <c r="J619" s="11"/>
      <c r="K619" s="12"/>
      <c r="L619" s="11"/>
      <c r="M619" s="11"/>
      <c r="N619" s="11"/>
      <c r="O619" s="11"/>
      <c r="P619" s="8"/>
    </row>
    <row r="620">
      <c r="A620" s="11"/>
      <c r="B620" s="9"/>
      <c r="C620" s="8"/>
      <c r="D620" s="8"/>
      <c r="E620" s="8"/>
      <c r="F620" s="12"/>
      <c r="G620" s="11"/>
      <c r="H620" s="11"/>
      <c r="I620" s="11"/>
      <c r="J620" s="11"/>
      <c r="K620" s="12"/>
      <c r="L620" s="11"/>
      <c r="M620" s="11"/>
      <c r="N620" s="11"/>
      <c r="O620" s="11"/>
      <c r="P620" s="8"/>
    </row>
    <row r="621">
      <c r="A621" s="11"/>
      <c r="B621" s="9"/>
      <c r="C621" s="8"/>
      <c r="D621" s="8"/>
      <c r="E621" s="8"/>
      <c r="F621" s="12"/>
      <c r="G621" s="11"/>
      <c r="H621" s="11"/>
      <c r="I621" s="11"/>
      <c r="J621" s="11"/>
      <c r="K621" s="12"/>
      <c r="L621" s="11"/>
      <c r="M621" s="11"/>
      <c r="N621" s="11"/>
      <c r="O621" s="11"/>
      <c r="P621" s="8"/>
    </row>
    <row r="622">
      <c r="A622" s="11"/>
      <c r="B622" s="9"/>
      <c r="C622" s="8"/>
      <c r="D622" s="8"/>
      <c r="E622" s="8"/>
      <c r="F622" s="12"/>
      <c r="G622" s="11"/>
      <c r="H622" s="11"/>
      <c r="I622" s="11"/>
      <c r="J622" s="11"/>
      <c r="K622" s="12"/>
      <c r="L622" s="11"/>
      <c r="M622" s="11"/>
      <c r="N622" s="11"/>
      <c r="O622" s="11"/>
      <c r="P622" s="8"/>
    </row>
    <row r="623">
      <c r="A623" s="11"/>
      <c r="B623" s="9"/>
      <c r="C623" s="8"/>
      <c r="D623" s="8"/>
      <c r="E623" s="8"/>
      <c r="F623" s="12"/>
      <c r="G623" s="11"/>
      <c r="H623" s="11"/>
      <c r="I623" s="11"/>
      <c r="J623" s="11"/>
      <c r="K623" s="12"/>
      <c r="L623" s="11"/>
      <c r="M623" s="11"/>
      <c r="N623" s="11"/>
      <c r="O623" s="11"/>
      <c r="P623" s="8"/>
    </row>
    <row r="624">
      <c r="A624" s="11"/>
      <c r="B624" s="9"/>
      <c r="C624" s="8"/>
      <c r="D624" s="8"/>
      <c r="E624" s="8"/>
      <c r="F624" s="12"/>
      <c r="G624" s="11"/>
      <c r="H624" s="11"/>
      <c r="I624" s="11"/>
      <c r="J624" s="11"/>
      <c r="K624" s="12"/>
      <c r="L624" s="11"/>
      <c r="M624" s="11"/>
      <c r="N624" s="11"/>
      <c r="O624" s="11"/>
      <c r="P624" s="8"/>
    </row>
    <row r="625">
      <c r="A625" s="11"/>
      <c r="B625" s="9"/>
      <c r="C625" s="8"/>
      <c r="D625" s="8"/>
      <c r="E625" s="8"/>
      <c r="F625" s="12"/>
      <c r="G625" s="11"/>
      <c r="H625" s="11"/>
      <c r="I625" s="11"/>
      <c r="J625" s="11"/>
      <c r="K625" s="12"/>
      <c r="L625" s="11"/>
      <c r="M625" s="11"/>
      <c r="N625" s="11"/>
      <c r="O625" s="11"/>
      <c r="P625" s="8"/>
    </row>
    <row r="626">
      <c r="A626" s="11"/>
      <c r="B626" s="9"/>
      <c r="C626" s="8"/>
      <c r="D626" s="8"/>
      <c r="E626" s="8"/>
      <c r="F626" s="12"/>
      <c r="G626" s="11"/>
      <c r="H626" s="11"/>
      <c r="I626" s="11"/>
      <c r="J626" s="11"/>
      <c r="K626" s="12"/>
      <c r="L626" s="11"/>
      <c r="M626" s="11"/>
      <c r="N626" s="11"/>
      <c r="O626" s="11"/>
      <c r="P626" s="8"/>
    </row>
    <row r="627">
      <c r="A627" s="11"/>
      <c r="B627" s="9"/>
      <c r="C627" s="8"/>
      <c r="D627" s="8"/>
      <c r="E627" s="8"/>
      <c r="F627" s="12"/>
      <c r="G627" s="11"/>
      <c r="H627" s="11"/>
      <c r="I627" s="11"/>
      <c r="J627" s="11"/>
      <c r="K627" s="12"/>
      <c r="L627" s="11"/>
      <c r="M627" s="11"/>
      <c r="N627" s="11"/>
      <c r="O627" s="11"/>
      <c r="P627" s="8"/>
    </row>
    <row r="628">
      <c r="A628" s="11"/>
      <c r="B628" s="9"/>
      <c r="C628" s="8"/>
      <c r="D628" s="8"/>
      <c r="E628" s="8"/>
      <c r="F628" s="12"/>
      <c r="G628" s="11"/>
      <c r="H628" s="11"/>
      <c r="I628" s="11"/>
      <c r="J628" s="11"/>
      <c r="K628" s="12"/>
      <c r="L628" s="11"/>
      <c r="M628" s="11"/>
      <c r="N628" s="11"/>
      <c r="O628" s="11"/>
      <c r="P628" s="8"/>
    </row>
    <row r="629">
      <c r="A629" s="11"/>
      <c r="B629" s="9"/>
      <c r="C629" s="8"/>
      <c r="D629" s="8"/>
      <c r="E629" s="8"/>
      <c r="F629" s="12"/>
      <c r="G629" s="11"/>
      <c r="H629" s="11"/>
      <c r="I629" s="11"/>
      <c r="J629" s="11"/>
      <c r="K629" s="12"/>
      <c r="L629" s="11"/>
      <c r="M629" s="11"/>
      <c r="N629" s="11"/>
      <c r="O629" s="11"/>
      <c r="P629" s="8"/>
    </row>
    <row r="630">
      <c r="A630" s="11"/>
      <c r="B630" s="9"/>
      <c r="C630" s="8"/>
      <c r="D630" s="8"/>
      <c r="E630" s="8"/>
      <c r="F630" s="12"/>
      <c r="G630" s="11"/>
      <c r="H630" s="11"/>
      <c r="I630" s="11"/>
      <c r="J630" s="11"/>
      <c r="K630" s="12"/>
      <c r="L630" s="11"/>
      <c r="M630" s="11"/>
      <c r="N630" s="11"/>
      <c r="O630" s="11"/>
      <c r="P630" s="8"/>
    </row>
    <row r="631">
      <c r="A631" s="11"/>
      <c r="B631" s="9"/>
      <c r="C631" s="8"/>
      <c r="D631" s="8"/>
      <c r="E631" s="8"/>
      <c r="F631" s="12"/>
      <c r="G631" s="11"/>
      <c r="H631" s="11"/>
      <c r="I631" s="11"/>
      <c r="J631" s="11"/>
      <c r="K631" s="12"/>
      <c r="L631" s="11"/>
      <c r="M631" s="11"/>
      <c r="N631" s="11"/>
      <c r="O631" s="11"/>
      <c r="P631" s="8"/>
    </row>
    <row r="632">
      <c r="A632" s="11"/>
      <c r="B632" s="9"/>
      <c r="C632" s="8"/>
      <c r="D632" s="8"/>
      <c r="E632" s="8"/>
      <c r="F632" s="12"/>
      <c r="G632" s="11"/>
      <c r="H632" s="11"/>
      <c r="I632" s="11"/>
      <c r="J632" s="11"/>
      <c r="K632" s="12"/>
      <c r="L632" s="11"/>
      <c r="M632" s="11"/>
      <c r="N632" s="11"/>
      <c r="O632" s="11"/>
      <c r="P632" s="8"/>
    </row>
    <row r="633">
      <c r="A633" s="11"/>
      <c r="B633" s="9"/>
      <c r="C633" s="8"/>
      <c r="D633" s="8"/>
      <c r="E633" s="8"/>
      <c r="F633" s="12"/>
      <c r="G633" s="11"/>
      <c r="H633" s="11"/>
      <c r="I633" s="11"/>
      <c r="J633" s="11"/>
      <c r="K633" s="12"/>
      <c r="L633" s="11"/>
      <c r="M633" s="11"/>
      <c r="N633" s="11"/>
      <c r="O633" s="11"/>
      <c r="P633" s="8"/>
    </row>
    <row r="634">
      <c r="A634" s="11"/>
      <c r="B634" s="9"/>
      <c r="C634" s="8"/>
      <c r="D634" s="8"/>
      <c r="E634" s="8"/>
      <c r="F634" s="12"/>
      <c r="G634" s="11"/>
      <c r="H634" s="11"/>
      <c r="I634" s="11"/>
      <c r="J634" s="11"/>
      <c r="K634" s="12"/>
      <c r="L634" s="11"/>
      <c r="M634" s="11"/>
      <c r="N634" s="11"/>
      <c r="O634" s="11"/>
      <c r="P634" s="8"/>
    </row>
    <row r="635">
      <c r="A635" s="11"/>
      <c r="B635" s="9"/>
      <c r="C635" s="8"/>
      <c r="D635" s="8"/>
      <c r="E635" s="8"/>
      <c r="F635" s="12"/>
      <c r="G635" s="11"/>
      <c r="H635" s="11"/>
      <c r="I635" s="11"/>
      <c r="J635" s="11"/>
      <c r="K635" s="12"/>
      <c r="L635" s="11"/>
      <c r="M635" s="11"/>
      <c r="N635" s="11"/>
      <c r="O635" s="11"/>
      <c r="P635" s="8"/>
    </row>
    <row r="636">
      <c r="A636" s="11"/>
      <c r="B636" s="9"/>
      <c r="C636" s="8"/>
      <c r="D636" s="8"/>
      <c r="E636" s="8"/>
      <c r="F636" s="12"/>
      <c r="G636" s="11"/>
      <c r="H636" s="11"/>
      <c r="I636" s="11"/>
      <c r="J636" s="11"/>
      <c r="K636" s="12"/>
      <c r="L636" s="11"/>
      <c r="M636" s="11"/>
      <c r="N636" s="11"/>
      <c r="O636" s="11"/>
      <c r="P636" s="8"/>
    </row>
    <row r="637">
      <c r="A637" s="11"/>
      <c r="B637" s="9"/>
      <c r="C637" s="8"/>
      <c r="D637" s="8"/>
      <c r="E637" s="8"/>
      <c r="F637" s="12"/>
      <c r="G637" s="11"/>
      <c r="H637" s="11"/>
      <c r="I637" s="11"/>
      <c r="J637" s="11"/>
      <c r="K637" s="12"/>
      <c r="L637" s="11"/>
      <c r="M637" s="11"/>
      <c r="N637" s="11"/>
      <c r="O637" s="11"/>
      <c r="P637" s="8"/>
    </row>
    <row r="638">
      <c r="A638" s="11"/>
      <c r="B638" s="9"/>
      <c r="C638" s="8"/>
      <c r="D638" s="8"/>
      <c r="E638" s="8"/>
      <c r="F638" s="12"/>
      <c r="G638" s="11"/>
      <c r="H638" s="11"/>
      <c r="I638" s="11"/>
      <c r="J638" s="11"/>
      <c r="K638" s="12"/>
      <c r="L638" s="11"/>
      <c r="M638" s="11"/>
      <c r="N638" s="11"/>
      <c r="O638" s="11"/>
      <c r="P638" s="8"/>
    </row>
    <row r="639">
      <c r="A639" s="11"/>
      <c r="B639" s="9"/>
      <c r="C639" s="8"/>
      <c r="D639" s="8"/>
      <c r="E639" s="8"/>
      <c r="F639" s="12"/>
      <c r="G639" s="11"/>
      <c r="H639" s="11"/>
      <c r="I639" s="11"/>
      <c r="J639" s="11"/>
      <c r="K639" s="12"/>
      <c r="L639" s="11"/>
      <c r="M639" s="11"/>
      <c r="N639" s="11"/>
      <c r="O639" s="11"/>
      <c r="P639" s="8"/>
    </row>
    <row r="640">
      <c r="A640" s="11"/>
      <c r="B640" s="9"/>
      <c r="C640" s="8"/>
      <c r="D640" s="8"/>
      <c r="E640" s="8"/>
      <c r="F640" s="12"/>
      <c r="G640" s="11"/>
      <c r="H640" s="11"/>
      <c r="I640" s="11"/>
      <c r="J640" s="11"/>
      <c r="K640" s="12"/>
      <c r="L640" s="11"/>
      <c r="M640" s="11"/>
      <c r="N640" s="11"/>
      <c r="O640" s="11"/>
      <c r="P640" s="8"/>
    </row>
    <row r="641">
      <c r="A641" s="11"/>
      <c r="B641" s="9"/>
      <c r="C641" s="8"/>
      <c r="D641" s="8"/>
      <c r="E641" s="8"/>
      <c r="F641" s="12"/>
      <c r="G641" s="11"/>
      <c r="H641" s="11"/>
      <c r="I641" s="11"/>
      <c r="J641" s="11"/>
      <c r="K641" s="12"/>
      <c r="L641" s="11"/>
      <c r="M641" s="11"/>
      <c r="N641" s="11"/>
      <c r="O641" s="11"/>
      <c r="P641" s="8"/>
    </row>
    <row r="642">
      <c r="A642" s="11"/>
      <c r="B642" s="9"/>
      <c r="C642" s="8"/>
      <c r="D642" s="8"/>
      <c r="E642" s="8"/>
      <c r="F642" s="12"/>
      <c r="G642" s="11"/>
      <c r="H642" s="11"/>
      <c r="I642" s="11"/>
      <c r="J642" s="11"/>
      <c r="K642" s="12"/>
      <c r="L642" s="11"/>
      <c r="M642" s="11"/>
      <c r="N642" s="11"/>
      <c r="O642" s="11"/>
      <c r="P642" s="8"/>
    </row>
    <row r="643">
      <c r="A643" s="11"/>
      <c r="B643" s="9"/>
      <c r="C643" s="8"/>
      <c r="D643" s="8"/>
      <c r="E643" s="8"/>
      <c r="F643" s="12"/>
      <c r="G643" s="11"/>
      <c r="H643" s="11"/>
      <c r="I643" s="11"/>
      <c r="J643" s="11"/>
      <c r="K643" s="12"/>
      <c r="L643" s="11"/>
      <c r="M643" s="11"/>
      <c r="N643" s="11"/>
      <c r="O643" s="11"/>
      <c r="P643" s="8"/>
    </row>
    <row r="644">
      <c r="A644" s="11"/>
      <c r="B644" s="9"/>
      <c r="C644" s="8"/>
      <c r="D644" s="8"/>
      <c r="E644" s="8"/>
      <c r="F644" s="12"/>
      <c r="G644" s="11"/>
      <c r="H644" s="11"/>
      <c r="I644" s="11"/>
      <c r="J644" s="11"/>
      <c r="K644" s="12"/>
      <c r="L644" s="11"/>
      <c r="M644" s="11"/>
      <c r="N644" s="11"/>
      <c r="O644" s="11"/>
      <c r="P644" s="8"/>
    </row>
    <row r="645">
      <c r="A645" s="11"/>
      <c r="B645" s="9"/>
      <c r="C645" s="8"/>
      <c r="D645" s="8"/>
      <c r="E645" s="8"/>
      <c r="F645" s="12"/>
      <c r="G645" s="11"/>
      <c r="H645" s="11"/>
      <c r="I645" s="11"/>
      <c r="J645" s="11"/>
      <c r="K645" s="12"/>
      <c r="L645" s="11"/>
      <c r="M645" s="11"/>
      <c r="N645" s="11"/>
      <c r="O645" s="11"/>
      <c r="P645" s="8"/>
    </row>
    <row r="646">
      <c r="A646" s="11"/>
      <c r="B646" s="9"/>
      <c r="C646" s="8"/>
      <c r="D646" s="8"/>
      <c r="E646" s="8"/>
      <c r="F646" s="12"/>
      <c r="G646" s="11"/>
      <c r="H646" s="11"/>
      <c r="I646" s="11"/>
      <c r="J646" s="11"/>
      <c r="K646" s="12"/>
      <c r="L646" s="11"/>
      <c r="M646" s="11"/>
      <c r="N646" s="11"/>
      <c r="O646" s="11"/>
      <c r="P646" s="8"/>
    </row>
    <row r="647">
      <c r="A647" s="11"/>
      <c r="B647" s="9"/>
      <c r="C647" s="8"/>
      <c r="D647" s="8"/>
      <c r="E647" s="8"/>
      <c r="F647" s="12"/>
      <c r="G647" s="11"/>
      <c r="H647" s="11"/>
      <c r="I647" s="11"/>
      <c r="J647" s="11"/>
      <c r="K647" s="12"/>
      <c r="L647" s="11"/>
      <c r="M647" s="11"/>
      <c r="N647" s="11"/>
      <c r="O647" s="11"/>
      <c r="P647" s="8"/>
    </row>
    <row r="648">
      <c r="A648" s="11"/>
      <c r="B648" s="9"/>
      <c r="C648" s="8"/>
      <c r="D648" s="8"/>
      <c r="E648" s="8"/>
      <c r="F648" s="12"/>
      <c r="G648" s="11"/>
      <c r="H648" s="11"/>
      <c r="I648" s="11"/>
      <c r="J648" s="11"/>
      <c r="K648" s="12"/>
      <c r="L648" s="11"/>
      <c r="M648" s="11"/>
      <c r="N648" s="11"/>
      <c r="O648" s="11"/>
      <c r="P648" s="8"/>
    </row>
    <row r="649">
      <c r="A649" s="11"/>
      <c r="B649" s="9"/>
      <c r="C649" s="8"/>
      <c r="D649" s="8"/>
      <c r="E649" s="8"/>
      <c r="F649" s="12"/>
      <c r="G649" s="11"/>
      <c r="H649" s="11"/>
      <c r="I649" s="11"/>
      <c r="J649" s="11"/>
      <c r="K649" s="12"/>
      <c r="L649" s="11"/>
      <c r="M649" s="11"/>
      <c r="N649" s="11"/>
      <c r="O649" s="11"/>
      <c r="P649" s="8"/>
    </row>
    <row r="650">
      <c r="A650" s="11"/>
      <c r="B650" s="9"/>
      <c r="C650" s="8"/>
      <c r="D650" s="8"/>
      <c r="E650" s="8"/>
      <c r="F650" s="12"/>
      <c r="G650" s="11"/>
      <c r="H650" s="11"/>
      <c r="I650" s="11"/>
      <c r="J650" s="11"/>
      <c r="K650" s="12"/>
      <c r="L650" s="11"/>
      <c r="M650" s="11"/>
      <c r="N650" s="11"/>
      <c r="O650" s="11"/>
      <c r="P650" s="8"/>
    </row>
    <row r="651">
      <c r="A651" s="11"/>
      <c r="B651" s="9"/>
      <c r="C651" s="8"/>
      <c r="D651" s="8"/>
      <c r="E651" s="8"/>
      <c r="F651" s="12"/>
      <c r="G651" s="11"/>
      <c r="H651" s="11"/>
      <c r="I651" s="11"/>
      <c r="J651" s="11"/>
      <c r="K651" s="12"/>
      <c r="L651" s="11"/>
      <c r="M651" s="11"/>
      <c r="N651" s="11"/>
      <c r="O651" s="11"/>
      <c r="P651" s="8"/>
    </row>
    <row r="652">
      <c r="A652" s="11"/>
      <c r="B652" s="9"/>
      <c r="C652" s="8"/>
      <c r="D652" s="8"/>
      <c r="E652" s="8"/>
      <c r="F652" s="12"/>
      <c r="G652" s="11"/>
      <c r="H652" s="11"/>
      <c r="I652" s="11"/>
      <c r="J652" s="11"/>
      <c r="K652" s="12"/>
      <c r="L652" s="11"/>
      <c r="M652" s="11"/>
      <c r="N652" s="11"/>
      <c r="O652" s="11"/>
      <c r="P652" s="8"/>
    </row>
    <row r="653">
      <c r="A653" s="11"/>
      <c r="B653" s="9"/>
      <c r="C653" s="8"/>
      <c r="D653" s="8"/>
      <c r="E653" s="8"/>
      <c r="F653" s="12"/>
      <c r="G653" s="11"/>
      <c r="H653" s="11"/>
      <c r="I653" s="11"/>
      <c r="J653" s="11"/>
      <c r="K653" s="12"/>
      <c r="L653" s="11"/>
      <c r="M653" s="11"/>
      <c r="N653" s="11"/>
      <c r="O653" s="11"/>
      <c r="P653" s="8"/>
    </row>
    <row r="654">
      <c r="A654" s="11"/>
      <c r="B654" s="9"/>
      <c r="C654" s="8"/>
      <c r="D654" s="8"/>
      <c r="E654" s="8"/>
      <c r="F654" s="12"/>
      <c r="G654" s="11"/>
      <c r="H654" s="11"/>
      <c r="I654" s="11"/>
      <c r="J654" s="11"/>
      <c r="K654" s="12"/>
      <c r="L654" s="11"/>
      <c r="M654" s="11"/>
      <c r="N654" s="11"/>
      <c r="O654" s="11"/>
      <c r="P654" s="8"/>
    </row>
    <row r="655">
      <c r="A655" s="11"/>
      <c r="B655" s="9"/>
      <c r="C655" s="8"/>
      <c r="D655" s="8"/>
      <c r="E655" s="8"/>
      <c r="F655" s="12"/>
      <c r="G655" s="11"/>
      <c r="H655" s="11"/>
      <c r="I655" s="11"/>
      <c r="J655" s="11"/>
      <c r="K655" s="12"/>
      <c r="L655" s="11"/>
      <c r="M655" s="11"/>
      <c r="N655" s="11"/>
      <c r="O655" s="11"/>
      <c r="P655" s="8"/>
    </row>
    <row r="656">
      <c r="A656" s="11"/>
      <c r="B656" s="9"/>
      <c r="C656" s="8"/>
      <c r="D656" s="8"/>
      <c r="E656" s="8"/>
      <c r="F656" s="12"/>
      <c r="G656" s="11"/>
      <c r="H656" s="11"/>
      <c r="I656" s="11"/>
      <c r="J656" s="11"/>
      <c r="K656" s="12"/>
      <c r="L656" s="11"/>
      <c r="M656" s="11"/>
      <c r="N656" s="11"/>
      <c r="O656" s="11"/>
      <c r="P656" s="8"/>
    </row>
    <row r="657">
      <c r="A657" s="11"/>
      <c r="B657" s="9"/>
      <c r="C657" s="8"/>
      <c r="D657" s="8"/>
      <c r="E657" s="8"/>
      <c r="F657" s="12"/>
      <c r="G657" s="11"/>
      <c r="H657" s="11"/>
      <c r="I657" s="11"/>
      <c r="J657" s="11"/>
      <c r="K657" s="12"/>
      <c r="L657" s="11"/>
      <c r="M657" s="11"/>
      <c r="N657" s="11"/>
      <c r="O657" s="11"/>
      <c r="P657" s="8"/>
    </row>
    <row r="658">
      <c r="A658" s="11"/>
      <c r="B658" s="9"/>
      <c r="C658" s="8"/>
      <c r="D658" s="8"/>
      <c r="E658" s="8"/>
      <c r="F658" s="12"/>
      <c r="G658" s="11"/>
      <c r="H658" s="11"/>
      <c r="I658" s="11"/>
      <c r="J658" s="11"/>
      <c r="K658" s="12"/>
      <c r="L658" s="11"/>
      <c r="M658" s="11"/>
      <c r="N658" s="11"/>
      <c r="O658" s="11"/>
      <c r="P658" s="8"/>
    </row>
    <row r="659">
      <c r="A659" s="11"/>
      <c r="B659" s="9"/>
      <c r="C659" s="8"/>
      <c r="D659" s="8"/>
      <c r="E659" s="8"/>
      <c r="F659" s="12"/>
      <c r="G659" s="11"/>
      <c r="H659" s="11"/>
      <c r="I659" s="11"/>
      <c r="J659" s="11"/>
      <c r="K659" s="12"/>
      <c r="L659" s="11"/>
      <c r="M659" s="11"/>
      <c r="N659" s="11"/>
      <c r="O659" s="11"/>
      <c r="P659" s="8"/>
    </row>
    <row r="660">
      <c r="A660" s="11"/>
      <c r="B660" s="9"/>
      <c r="C660" s="8"/>
      <c r="D660" s="8"/>
      <c r="E660" s="8"/>
      <c r="F660" s="12"/>
      <c r="G660" s="11"/>
      <c r="H660" s="11"/>
      <c r="I660" s="11"/>
      <c r="J660" s="11"/>
      <c r="K660" s="12"/>
      <c r="L660" s="11"/>
      <c r="M660" s="11"/>
      <c r="N660" s="11"/>
      <c r="O660" s="11"/>
      <c r="P660" s="8"/>
    </row>
    <row r="661">
      <c r="A661" s="11"/>
      <c r="B661" s="9"/>
      <c r="C661" s="8"/>
      <c r="D661" s="8"/>
      <c r="E661" s="8"/>
      <c r="F661" s="12"/>
      <c r="G661" s="11"/>
      <c r="H661" s="11"/>
      <c r="I661" s="11"/>
      <c r="J661" s="11"/>
      <c r="K661" s="12"/>
      <c r="L661" s="11"/>
      <c r="M661" s="11"/>
      <c r="N661" s="11"/>
      <c r="O661" s="11"/>
      <c r="P661" s="8"/>
    </row>
    <row r="662">
      <c r="A662" s="11"/>
      <c r="B662" s="9"/>
      <c r="C662" s="8"/>
      <c r="D662" s="8"/>
      <c r="E662" s="8"/>
      <c r="F662" s="12"/>
      <c r="G662" s="11"/>
      <c r="H662" s="11"/>
      <c r="I662" s="11"/>
      <c r="J662" s="11"/>
      <c r="K662" s="12"/>
      <c r="L662" s="11"/>
      <c r="M662" s="11"/>
      <c r="N662" s="11"/>
      <c r="O662" s="11"/>
      <c r="P662" s="8"/>
    </row>
    <row r="663">
      <c r="A663" s="11"/>
      <c r="B663" s="9"/>
      <c r="C663" s="8"/>
      <c r="D663" s="8"/>
      <c r="E663" s="8"/>
      <c r="F663" s="12"/>
      <c r="G663" s="11"/>
      <c r="H663" s="11"/>
      <c r="I663" s="11"/>
      <c r="J663" s="11"/>
      <c r="K663" s="12"/>
      <c r="L663" s="11"/>
      <c r="M663" s="11"/>
      <c r="N663" s="11"/>
      <c r="O663" s="11"/>
      <c r="P663" s="8"/>
    </row>
    <row r="664">
      <c r="A664" s="11"/>
      <c r="B664" s="9"/>
      <c r="C664" s="8"/>
      <c r="D664" s="8"/>
      <c r="E664" s="8"/>
      <c r="F664" s="12"/>
      <c r="G664" s="11"/>
      <c r="H664" s="11"/>
      <c r="I664" s="11"/>
      <c r="J664" s="11"/>
      <c r="K664" s="12"/>
      <c r="L664" s="11"/>
      <c r="M664" s="11"/>
      <c r="N664" s="11"/>
      <c r="O664" s="11"/>
      <c r="P664" s="8"/>
    </row>
    <row r="665">
      <c r="A665" s="11"/>
      <c r="B665" s="9"/>
      <c r="C665" s="8"/>
      <c r="D665" s="8"/>
      <c r="E665" s="8"/>
      <c r="F665" s="12"/>
      <c r="G665" s="11"/>
      <c r="H665" s="11"/>
      <c r="I665" s="11"/>
      <c r="J665" s="11"/>
      <c r="K665" s="12"/>
      <c r="L665" s="11"/>
      <c r="M665" s="11"/>
      <c r="N665" s="11"/>
      <c r="O665" s="11"/>
      <c r="P665" s="8"/>
    </row>
    <row r="666">
      <c r="A666" s="11"/>
      <c r="B666" s="9"/>
      <c r="C666" s="8"/>
      <c r="D666" s="8"/>
      <c r="E666" s="8"/>
      <c r="F666" s="12"/>
      <c r="G666" s="11"/>
      <c r="H666" s="11"/>
      <c r="I666" s="11"/>
      <c r="J666" s="11"/>
      <c r="K666" s="12"/>
      <c r="L666" s="11"/>
      <c r="M666" s="11"/>
      <c r="N666" s="11"/>
      <c r="O666" s="11"/>
      <c r="P666" s="8"/>
    </row>
    <row r="667">
      <c r="A667" s="11"/>
      <c r="B667" s="9"/>
      <c r="C667" s="8"/>
      <c r="D667" s="8"/>
      <c r="E667" s="8"/>
      <c r="F667" s="12"/>
      <c r="G667" s="11"/>
      <c r="H667" s="11"/>
      <c r="I667" s="11"/>
      <c r="J667" s="11"/>
      <c r="K667" s="12"/>
      <c r="L667" s="11"/>
      <c r="M667" s="11"/>
      <c r="N667" s="11"/>
      <c r="O667" s="11"/>
      <c r="P667" s="8"/>
    </row>
    <row r="668">
      <c r="A668" s="11"/>
      <c r="B668" s="9"/>
      <c r="C668" s="8"/>
      <c r="D668" s="8"/>
      <c r="E668" s="8"/>
      <c r="F668" s="12"/>
      <c r="G668" s="11"/>
      <c r="H668" s="11"/>
      <c r="I668" s="11"/>
      <c r="J668" s="11"/>
      <c r="K668" s="12"/>
      <c r="L668" s="11"/>
      <c r="M668" s="11"/>
      <c r="N668" s="11"/>
      <c r="O668" s="11"/>
      <c r="P668" s="8"/>
    </row>
    <row r="669">
      <c r="A669" s="11"/>
      <c r="B669" s="9"/>
      <c r="C669" s="8"/>
      <c r="D669" s="8"/>
      <c r="E669" s="8"/>
      <c r="F669" s="12"/>
      <c r="G669" s="11"/>
      <c r="H669" s="11"/>
      <c r="I669" s="11"/>
      <c r="J669" s="11"/>
      <c r="K669" s="12"/>
      <c r="L669" s="11"/>
      <c r="M669" s="11"/>
      <c r="N669" s="11"/>
      <c r="O669" s="11"/>
      <c r="P669" s="8"/>
    </row>
    <row r="670">
      <c r="A670" s="11"/>
      <c r="B670" s="9"/>
      <c r="C670" s="8"/>
      <c r="D670" s="8"/>
      <c r="E670" s="8"/>
      <c r="F670" s="12"/>
      <c r="G670" s="11"/>
      <c r="H670" s="11"/>
      <c r="I670" s="11"/>
      <c r="J670" s="11"/>
      <c r="K670" s="12"/>
      <c r="L670" s="11"/>
      <c r="M670" s="11"/>
      <c r="N670" s="11"/>
      <c r="O670" s="11"/>
      <c r="P670" s="8"/>
    </row>
    <row r="671">
      <c r="A671" s="11"/>
      <c r="B671" s="9"/>
      <c r="C671" s="8"/>
      <c r="D671" s="8"/>
      <c r="E671" s="8"/>
      <c r="F671" s="12"/>
      <c r="G671" s="11"/>
      <c r="H671" s="11"/>
      <c r="I671" s="11"/>
      <c r="J671" s="11"/>
      <c r="K671" s="12"/>
      <c r="L671" s="11"/>
      <c r="M671" s="11"/>
      <c r="N671" s="11"/>
      <c r="O671" s="11"/>
      <c r="P671" s="8"/>
    </row>
    <row r="672">
      <c r="A672" s="11"/>
      <c r="B672" s="9"/>
      <c r="C672" s="8"/>
      <c r="D672" s="8"/>
      <c r="E672" s="8"/>
      <c r="F672" s="12"/>
      <c r="G672" s="11"/>
      <c r="H672" s="11"/>
      <c r="I672" s="11"/>
      <c r="J672" s="11"/>
      <c r="K672" s="12"/>
      <c r="L672" s="11"/>
      <c r="M672" s="11"/>
      <c r="N672" s="11"/>
      <c r="O672" s="11"/>
      <c r="P672" s="8"/>
    </row>
    <row r="673">
      <c r="A673" s="11"/>
      <c r="B673" s="9"/>
      <c r="C673" s="8"/>
      <c r="D673" s="8"/>
      <c r="E673" s="8"/>
      <c r="F673" s="12"/>
      <c r="G673" s="11"/>
      <c r="H673" s="11"/>
      <c r="I673" s="11"/>
      <c r="J673" s="11"/>
      <c r="K673" s="12"/>
      <c r="L673" s="11"/>
      <c r="M673" s="11"/>
      <c r="N673" s="11"/>
      <c r="O673" s="11"/>
      <c r="P673" s="8"/>
    </row>
    <row r="674">
      <c r="A674" s="11"/>
      <c r="B674" s="9"/>
      <c r="C674" s="8"/>
      <c r="D674" s="8"/>
      <c r="E674" s="8"/>
      <c r="F674" s="12"/>
      <c r="G674" s="11"/>
      <c r="H674" s="11"/>
      <c r="I674" s="11"/>
      <c r="J674" s="11"/>
      <c r="K674" s="12"/>
      <c r="L674" s="11"/>
      <c r="M674" s="11"/>
      <c r="N674" s="11"/>
      <c r="O674" s="11"/>
      <c r="P674" s="8"/>
    </row>
    <row r="675">
      <c r="A675" s="11"/>
      <c r="B675" s="9"/>
      <c r="C675" s="8"/>
      <c r="D675" s="8"/>
      <c r="E675" s="8"/>
      <c r="F675" s="12"/>
      <c r="G675" s="11"/>
      <c r="H675" s="11"/>
      <c r="I675" s="11"/>
      <c r="J675" s="11"/>
      <c r="K675" s="12"/>
      <c r="L675" s="11"/>
      <c r="M675" s="11"/>
      <c r="N675" s="11"/>
      <c r="O675" s="11"/>
      <c r="P675" s="8"/>
    </row>
    <row r="676">
      <c r="A676" s="11"/>
      <c r="B676" s="9"/>
      <c r="C676" s="8"/>
      <c r="D676" s="8"/>
      <c r="E676" s="8"/>
      <c r="F676" s="12"/>
      <c r="G676" s="11"/>
      <c r="H676" s="11"/>
      <c r="I676" s="11"/>
      <c r="J676" s="11"/>
      <c r="K676" s="12"/>
      <c r="L676" s="11"/>
      <c r="M676" s="11"/>
      <c r="N676" s="11"/>
      <c r="O676" s="11"/>
      <c r="P676" s="8"/>
    </row>
    <row r="677">
      <c r="A677" s="11"/>
      <c r="B677" s="9"/>
      <c r="C677" s="8"/>
      <c r="D677" s="8"/>
      <c r="E677" s="8"/>
      <c r="F677" s="12"/>
      <c r="G677" s="11"/>
      <c r="H677" s="11"/>
      <c r="I677" s="11"/>
      <c r="J677" s="11"/>
      <c r="K677" s="12"/>
      <c r="L677" s="11"/>
      <c r="M677" s="11"/>
      <c r="N677" s="11"/>
      <c r="O677" s="11"/>
      <c r="P677" s="8"/>
    </row>
    <row r="678">
      <c r="A678" s="11"/>
      <c r="B678" s="9"/>
      <c r="C678" s="8"/>
      <c r="D678" s="8"/>
      <c r="E678" s="8"/>
      <c r="F678" s="12"/>
      <c r="G678" s="11"/>
      <c r="H678" s="11"/>
      <c r="I678" s="11"/>
      <c r="J678" s="11"/>
      <c r="K678" s="12"/>
      <c r="L678" s="11"/>
      <c r="M678" s="11"/>
      <c r="N678" s="11"/>
      <c r="O678" s="11"/>
      <c r="P678" s="8"/>
    </row>
    <row r="679">
      <c r="A679" s="11"/>
      <c r="B679" s="9"/>
      <c r="C679" s="8"/>
      <c r="D679" s="8"/>
      <c r="E679" s="8"/>
      <c r="F679" s="12"/>
      <c r="G679" s="11"/>
      <c r="H679" s="11"/>
      <c r="I679" s="11"/>
      <c r="J679" s="11"/>
      <c r="K679" s="12"/>
      <c r="L679" s="11"/>
      <c r="M679" s="11"/>
      <c r="N679" s="11"/>
      <c r="O679" s="11"/>
      <c r="P679" s="8"/>
    </row>
    <row r="680">
      <c r="A680" s="11"/>
      <c r="B680" s="9"/>
      <c r="C680" s="8"/>
      <c r="D680" s="8"/>
      <c r="E680" s="8"/>
      <c r="F680" s="12"/>
      <c r="G680" s="11"/>
      <c r="H680" s="11"/>
      <c r="I680" s="11"/>
      <c r="J680" s="11"/>
      <c r="K680" s="12"/>
      <c r="L680" s="11"/>
      <c r="M680" s="11"/>
      <c r="N680" s="11"/>
      <c r="O680" s="11"/>
      <c r="P680" s="8"/>
    </row>
    <row r="681">
      <c r="A681" s="11"/>
      <c r="B681" s="9"/>
      <c r="C681" s="8"/>
      <c r="D681" s="8"/>
      <c r="E681" s="8"/>
      <c r="F681" s="12"/>
      <c r="G681" s="11"/>
      <c r="H681" s="11"/>
      <c r="I681" s="11"/>
      <c r="J681" s="11"/>
      <c r="K681" s="12"/>
      <c r="L681" s="11"/>
      <c r="M681" s="11"/>
      <c r="N681" s="11"/>
      <c r="O681" s="11"/>
      <c r="P681" s="8"/>
    </row>
    <row r="682">
      <c r="A682" s="11"/>
      <c r="B682" s="9"/>
      <c r="C682" s="8"/>
      <c r="D682" s="8"/>
      <c r="E682" s="8"/>
      <c r="F682" s="12"/>
      <c r="G682" s="11"/>
      <c r="H682" s="11"/>
      <c r="I682" s="11"/>
      <c r="J682" s="11"/>
      <c r="K682" s="12"/>
      <c r="L682" s="11"/>
      <c r="M682" s="11"/>
      <c r="N682" s="11"/>
      <c r="O682" s="11"/>
      <c r="P682" s="8"/>
    </row>
    <row r="683">
      <c r="A683" s="11"/>
      <c r="B683" s="9"/>
      <c r="C683" s="8"/>
      <c r="D683" s="8"/>
      <c r="E683" s="8"/>
      <c r="F683" s="12"/>
      <c r="G683" s="11"/>
      <c r="H683" s="11"/>
      <c r="I683" s="11"/>
      <c r="J683" s="11"/>
      <c r="K683" s="12"/>
      <c r="L683" s="11"/>
      <c r="M683" s="11"/>
      <c r="N683" s="11"/>
      <c r="O683" s="11"/>
      <c r="P683" s="8"/>
    </row>
    <row r="684">
      <c r="A684" s="11"/>
      <c r="B684" s="9"/>
      <c r="C684" s="8"/>
      <c r="D684" s="8"/>
      <c r="E684" s="8"/>
      <c r="F684" s="12"/>
      <c r="G684" s="11"/>
      <c r="H684" s="11"/>
      <c r="I684" s="11"/>
      <c r="J684" s="11"/>
      <c r="K684" s="12"/>
      <c r="L684" s="11"/>
      <c r="M684" s="11"/>
      <c r="N684" s="11"/>
      <c r="O684" s="11"/>
      <c r="P684" s="8"/>
    </row>
    <row r="685">
      <c r="A685" s="11"/>
      <c r="B685" s="9"/>
      <c r="C685" s="8"/>
      <c r="D685" s="8"/>
      <c r="E685" s="8"/>
      <c r="F685" s="12"/>
      <c r="G685" s="11"/>
      <c r="H685" s="11"/>
      <c r="I685" s="11"/>
      <c r="J685" s="11"/>
      <c r="K685" s="12"/>
      <c r="L685" s="11"/>
      <c r="M685" s="11"/>
      <c r="N685" s="11"/>
      <c r="O685" s="11"/>
      <c r="P685" s="8"/>
    </row>
    <row r="686">
      <c r="A686" s="11"/>
      <c r="B686" s="9"/>
      <c r="C686" s="8"/>
      <c r="D686" s="8"/>
      <c r="E686" s="8"/>
      <c r="F686" s="12"/>
      <c r="G686" s="11"/>
      <c r="H686" s="11"/>
      <c r="I686" s="11"/>
      <c r="J686" s="11"/>
      <c r="K686" s="12"/>
      <c r="L686" s="11"/>
      <c r="M686" s="11"/>
      <c r="N686" s="11"/>
      <c r="O686" s="11"/>
      <c r="P686" s="8"/>
    </row>
    <row r="687">
      <c r="A687" s="11"/>
      <c r="B687" s="9"/>
      <c r="C687" s="8"/>
      <c r="D687" s="8"/>
      <c r="E687" s="8"/>
      <c r="F687" s="12"/>
      <c r="G687" s="11"/>
      <c r="H687" s="11"/>
      <c r="I687" s="11"/>
      <c r="J687" s="11"/>
      <c r="K687" s="12"/>
      <c r="L687" s="11"/>
      <c r="M687" s="11"/>
      <c r="N687" s="11"/>
      <c r="O687" s="11"/>
      <c r="P687" s="8"/>
    </row>
    <row r="688">
      <c r="A688" s="11"/>
      <c r="B688" s="9"/>
      <c r="C688" s="8"/>
      <c r="D688" s="8"/>
      <c r="E688" s="8"/>
      <c r="F688" s="12"/>
      <c r="G688" s="11"/>
      <c r="H688" s="11"/>
      <c r="I688" s="11"/>
      <c r="J688" s="11"/>
      <c r="K688" s="12"/>
      <c r="L688" s="11"/>
      <c r="M688" s="11"/>
      <c r="N688" s="11"/>
      <c r="O688" s="11"/>
      <c r="P688" s="8"/>
    </row>
    <row r="689">
      <c r="A689" s="11"/>
      <c r="B689" s="9"/>
      <c r="C689" s="8"/>
      <c r="D689" s="8"/>
      <c r="E689" s="8"/>
      <c r="F689" s="12"/>
      <c r="G689" s="11"/>
      <c r="H689" s="11"/>
      <c r="I689" s="11"/>
      <c r="J689" s="11"/>
      <c r="K689" s="12"/>
      <c r="L689" s="11"/>
      <c r="M689" s="11"/>
      <c r="N689" s="11"/>
      <c r="O689" s="11"/>
      <c r="P689" s="8"/>
    </row>
    <row r="690">
      <c r="A690" s="11"/>
      <c r="B690" s="9"/>
      <c r="C690" s="8"/>
      <c r="D690" s="8"/>
      <c r="E690" s="8"/>
      <c r="F690" s="12"/>
      <c r="G690" s="11"/>
      <c r="H690" s="11"/>
      <c r="I690" s="11"/>
      <c r="J690" s="11"/>
      <c r="K690" s="12"/>
      <c r="L690" s="11"/>
      <c r="M690" s="11"/>
      <c r="N690" s="11"/>
      <c r="O690" s="11"/>
      <c r="P690" s="8"/>
    </row>
    <row r="691">
      <c r="A691" s="11"/>
      <c r="B691" s="9"/>
      <c r="C691" s="8"/>
      <c r="D691" s="8"/>
      <c r="E691" s="8"/>
      <c r="F691" s="12"/>
      <c r="G691" s="11"/>
      <c r="H691" s="11"/>
      <c r="I691" s="11"/>
      <c r="J691" s="11"/>
      <c r="K691" s="12"/>
      <c r="L691" s="11"/>
      <c r="M691" s="11"/>
      <c r="N691" s="11"/>
      <c r="O691" s="11"/>
      <c r="P691" s="8"/>
    </row>
    <row r="692">
      <c r="A692" s="11"/>
      <c r="B692" s="9"/>
      <c r="C692" s="8"/>
      <c r="D692" s="8"/>
      <c r="E692" s="8"/>
      <c r="F692" s="12"/>
      <c r="G692" s="11"/>
      <c r="H692" s="11"/>
      <c r="I692" s="11"/>
      <c r="J692" s="11"/>
      <c r="K692" s="12"/>
      <c r="L692" s="11"/>
      <c r="M692" s="11"/>
      <c r="N692" s="11"/>
      <c r="O692" s="11"/>
      <c r="P692" s="8"/>
    </row>
    <row r="693">
      <c r="A693" s="11"/>
      <c r="B693" s="9"/>
      <c r="C693" s="8"/>
      <c r="D693" s="8"/>
      <c r="E693" s="8"/>
      <c r="F693" s="12"/>
      <c r="G693" s="11"/>
      <c r="H693" s="11"/>
      <c r="I693" s="11"/>
      <c r="J693" s="11"/>
      <c r="K693" s="12"/>
      <c r="L693" s="11"/>
      <c r="M693" s="11"/>
      <c r="N693" s="11"/>
      <c r="O693" s="11"/>
      <c r="P693" s="8"/>
    </row>
    <row r="694">
      <c r="A694" s="11"/>
      <c r="B694" s="9"/>
      <c r="C694" s="8"/>
      <c r="D694" s="8"/>
      <c r="E694" s="8"/>
      <c r="F694" s="12"/>
      <c r="G694" s="11"/>
      <c r="H694" s="11"/>
      <c r="I694" s="11"/>
      <c r="J694" s="11"/>
      <c r="K694" s="12"/>
      <c r="L694" s="11"/>
      <c r="M694" s="11"/>
      <c r="N694" s="11"/>
      <c r="O694" s="11"/>
      <c r="P694" s="8"/>
    </row>
    <row r="695">
      <c r="A695" s="11"/>
      <c r="B695" s="9"/>
      <c r="C695" s="8"/>
      <c r="D695" s="8"/>
      <c r="E695" s="8"/>
      <c r="F695" s="12"/>
      <c r="G695" s="11"/>
      <c r="H695" s="11"/>
      <c r="I695" s="11"/>
      <c r="J695" s="11"/>
      <c r="K695" s="12"/>
      <c r="L695" s="11"/>
      <c r="M695" s="11"/>
      <c r="N695" s="11"/>
      <c r="O695" s="11"/>
      <c r="P695" s="8"/>
    </row>
    <row r="696">
      <c r="A696" s="11"/>
      <c r="B696" s="9"/>
      <c r="C696" s="8"/>
      <c r="D696" s="8"/>
      <c r="E696" s="8"/>
      <c r="F696" s="12"/>
      <c r="G696" s="11"/>
      <c r="H696" s="11"/>
      <c r="I696" s="11"/>
      <c r="J696" s="11"/>
      <c r="K696" s="12"/>
      <c r="L696" s="11"/>
      <c r="M696" s="11"/>
      <c r="N696" s="11"/>
      <c r="O696" s="11"/>
      <c r="P696" s="8"/>
    </row>
    <row r="697">
      <c r="A697" s="11"/>
      <c r="B697" s="9"/>
      <c r="C697" s="8"/>
      <c r="D697" s="8"/>
      <c r="E697" s="8"/>
      <c r="F697" s="12"/>
      <c r="G697" s="11"/>
      <c r="H697" s="11"/>
      <c r="I697" s="11"/>
      <c r="J697" s="11"/>
      <c r="K697" s="12"/>
      <c r="L697" s="11"/>
      <c r="M697" s="11"/>
      <c r="N697" s="11"/>
      <c r="O697" s="11"/>
      <c r="P697" s="8"/>
    </row>
    <row r="698">
      <c r="A698" s="11"/>
      <c r="B698" s="9"/>
      <c r="C698" s="8"/>
      <c r="D698" s="8"/>
      <c r="E698" s="8"/>
      <c r="F698" s="12"/>
      <c r="G698" s="11"/>
      <c r="H698" s="11"/>
      <c r="I698" s="11"/>
      <c r="J698" s="11"/>
      <c r="K698" s="12"/>
      <c r="L698" s="11"/>
      <c r="M698" s="11"/>
      <c r="N698" s="11"/>
      <c r="O698" s="11"/>
      <c r="P698" s="8"/>
    </row>
    <row r="699">
      <c r="A699" s="11"/>
      <c r="B699" s="9"/>
      <c r="C699" s="8"/>
      <c r="D699" s="8"/>
      <c r="E699" s="8"/>
      <c r="F699" s="12"/>
      <c r="G699" s="11"/>
      <c r="H699" s="11"/>
      <c r="I699" s="11"/>
      <c r="J699" s="11"/>
      <c r="K699" s="12"/>
      <c r="L699" s="11"/>
      <c r="M699" s="11"/>
      <c r="N699" s="11"/>
      <c r="O699" s="11"/>
      <c r="P699" s="8"/>
    </row>
    <row r="700">
      <c r="A700" s="11"/>
      <c r="B700" s="9"/>
      <c r="C700" s="8"/>
      <c r="D700" s="8"/>
      <c r="E700" s="8"/>
      <c r="F700" s="12"/>
      <c r="G700" s="11"/>
      <c r="H700" s="11"/>
      <c r="I700" s="11"/>
      <c r="J700" s="11"/>
      <c r="K700" s="12"/>
      <c r="L700" s="11"/>
      <c r="M700" s="11"/>
      <c r="N700" s="11"/>
      <c r="O700" s="11"/>
      <c r="P700" s="8"/>
    </row>
    <row r="701">
      <c r="A701" s="11"/>
      <c r="B701" s="9"/>
      <c r="C701" s="8"/>
      <c r="D701" s="8"/>
      <c r="E701" s="8"/>
      <c r="F701" s="12"/>
      <c r="G701" s="11"/>
      <c r="H701" s="11"/>
      <c r="I701" s="11"/>
      <c r="J701" s="11"/>
      <c r="K701" s="12"/>
      <c r="L701" s="11"/>
      <c r="M701" s="11"/>
      <c r="N701" s="11"/>
      <c r="O701" s="11"/>
      <c r="P701" s="8"/>
    </row>
    <row r="702">
      <c r="A702" s="11"/>
      <c r="B702" s="9"/>
      <c r="C702" s="8"/>
      <c r="D702" s="8"/>
      <c r="E702" s="8"/>
      <c r="F702" s="12"/>
      <c r="G702" s="11"/>
      <c r="H702" s="11"/>
      <c r="I702" s="11"/>
      <c r="J702" s="11"/>
      <c r="K702" s="12"/>
      <c r="L702" s="11"/>
      <c r="M702" s="11"/>
      <c r="N702" s="11"/>
      <c r="O702" s="11"/>
      <c r="P702" s="8"/>
    </row>
    <row r="703">
      <c r="A703" s="11"/>
      <c r="B703" s="9"/>
      <c r="C703" s="8"/>
      <c r="D703" s="8"/>
      <c r="E703" s="8"/>
      <c r="F703" s="12"/>
      <c r="G703" s="11"/>
      <c r="H703" s="11"/>
      <c r="I703" s="11"/>
      <c r="J703" s="11"/>
      <c r="K703" s="12"/>
      <c r="L703" s="11"/>
      <c r="M703" s="11"/>
      <c r="N703" s="11"/>
      <c r="O703" s="11"/>
      <c r="P703" s="8"/>
    </row>
    <row r="704">
      <c r="A704" s="11"/>
      <c r="B704" s="9"/>
      <c r="C704" s="8"/>
      <c r="D704" s="8"/>
      <c r="E704" s="8"/>
      <c r="F704" s="12"/>
      <c r="G704" s="11"/>
      <c r="H704" s="11"/>
      <c r="I704" s="11"/>
      <c r="J704" s="11"/>
      <c r="K704" s="12"/>
      <c r="L704" s="11"/>
      <c r="M704" s="11"/>
      <c r="N704" s="11"/>
      <c r="O704" s="11"/>
      <c r="P704" s="8"/>
    </row>
    <row r="705">
      <c r="A705" s="11"/>
      <c r="B705" s="9"/>
      <c r="C705" s="8"/>
      <c r="D705" s="8"/>
      <c r="E705" s="8"/>
      <c r="F705" s="12"/>
      <c r="G705" s="11"/>
      <c r="H705" s="11"/>
      <c r="I705" s="11"/>
      <c r="J705" s="11"/>
      <c r="K705" s="12"/>
      <c r="L705" s="11"/>
      <c r="M705" s="11"/>
      <c r="N705" s="11"/>
      <c r="O705" s="11"/>
      <c r="P705" s="8"/>
    </row>
    <row r="706">
      <c r="A706" s="11"/>
      <c r="B706" s="9"/>
      <c r="C706" s="8"/>
      <c r="D706" s="8"/>
      <c r="E706" s="8"/>
      <c r="F706" s="12"/>
      <c r="G706" s="11"/>
      <c r="H706" s="11"/>
      <c r="I706" s="11"/>
      <c r="J706" s="11"/>
      <c r="K706" s="12"/>
      <c r="L706" s="11"/>
      <c r="M706" s="11"/>
      <c r="N706" s="11"/>
      <c r="O706" s="11"/>
      <c r="P706" s="8"/>
    </row>
    <row r="707">
      <c r="A707" s="11"/>
      <c r="B707" s="9"/>
      <c r="C707" s="8"/>
      <c r="D707" s="8"/>
      <c r="E707" s="8"/>
      <c r="F707" s="12"/>
      <c r="G707" s="11"/>
      <c r="H707" s="11"/>
      <c r="I707" s="11"/>
      <c r="J707" s="11"/>
      <c r="K707" s="12"/>
      <c r="L707" s="11"/>
      <c r="M707" s="11"/>
      <c r="N707" s="11"/>
      <c r="O707" s="11"/>
      <c r="P707" s="8"/>
    </row>
    <row r="708">
      <c r="A708" s="11"/>
      <c r="B708" s="9"/>
      <c r="C708" s="8"/>
      <c r="D708" s="8"/>
      <c r="E708" s="8"/>
      <c r="F708" s="12"/>
      <c r="G708" s="11"/>
      <c r="H708" s="11"/>
      <c r="I708" s="11"/>
      <c r="J708" s="11"/>
      <c r="K708" s="12"/>
      <c r="L708" s="11"/>
      <c r="M708" s="11"/>
      <c r="N708" s="11"/>
      <c r="O708" s="11"/>
      <c r="P708" s="8"/>
    </row>
    <row r="709">
      <c r="A709" s="11"/>
      <c r="B709" s="9"/>
      <c r="C709" s="8"/>
      <c r="D709" s="8"/>
      <c r="E709" s="8"/>
      <c r="F709" s="12"/>
      <c r="G709" s="11"/>
      <c r="H709" s="11"/>
      <c r="I709" s="11"/>
      <c r="J709" s="11"/>
      <c r="K709" s="12"/>
      <c r="L709" s="11"/>
      <c r="M709" s="11"/>
      <c r="N709" s="11"/>
      <c r="O709" s="11"/>
      <c r="P709" s="8"/>
    </row>
    <row r="710">
      <c r="A710" s="11"/>
      <c r="B710" s="9"/>
      <c r="C710" s="8"/>
      <c r="D710" s="8"/>
      <c r="E710" s="8"/>
      <c r="F710" s="12"/>
      <c r="G710" s="11"/>
      <c r="H710" s="11"/>
      <c r="I710" s="11"/>
      <c r="J710" s="11"/>
      <c r="K710" s="12"/>
      <c r="L710" s="11"/>
      <c r="M710" s="11"/>
      <c r="N710" s="11"/>
      <c r="O710" s="11"/>
      <c r="P710" s="8"/>
    </row>
    <row r="711">
      <c r="A711" s="11"/>
      <c r="B711" s="9"/>
      <c r="C711" s="8"/>
      <c r="D711" s="8"/>
      <c r="E711" s="8"/>
      <c r="F711" s="12"/>
      <c r="G711" s="11"/>
      <c r="H711" s="11"/>
      <c r="I711" s="11"/>
      <c r="J711" s="11"/>
      <c r="K711" s="12"/>
      <c r="L711" s="11"/>
      <c r="M711" s="11"/>
      <c r="N711" s="11"/>
      <c r="O711" s="11"/>
      <c r="P711" s="8"/>
    </row>
    <row r="712">
      <c r="A712" s="11"/>
      <c r="B712" s="9"/>
      <c r="C712" s="8"/>
      <c r="D712" s="8"/>
      <c r="E712" s="8"/>
      <c r="F712" s="12"/>
      <c r="G712" s="11"/>
      <c r="H712" s="11"/>
      <c r="I712" s="11"/>
      <c r="J712" s="11"/>
      <c r="K712" s="12"/>
      <c r="L712" s="11"/>
      <c r="M712" s="11"/>
      <c r="N712" s="11"/>
      <c r="O712" s="11"/>
      <c r="P712" s="8"/>
    </row>
    <row r="713">
      <c r="A713" s="11"/>
      <c r="B713" s="9"/>
      <c r="C713" s="8"/>
      <c r="D713" s="8"/>
      <c r="E713" s="8"/>
      <c r="F713" s="12"/>
      <c r="G713" s="11"/>
      <c r="H713" s="11"/>
      <c r="I713" s="11"/>
      <c r="J713" s="11"/>
      <c r="K713" s="12"/>
      <c r="L713" s="11"/>
      <c r="M713" s="11"/>
      <c r="N713" s="11"/>
      <c r="O713" s="11"/>
      <c r="P713" s="8"/>
    </row>
    <row r="714">
      <c r="A714" s="11"/>
      <c r="B714" s="9"/>
      <c r="C714" s="8"/>
      <c r="D714" s="8"/>
      <c r="E714" s="8"/>
      <c r="F714" s="12"/>
      <c r="G714" s="11"/>
      <c r="H714" s="11"/>
      <c r="I714" s="11"/>
      <c r="J714" s="11"/>
      <c r="K714" s="12"/>
      <c r="L714" s="11"/>
      <c r="M714" s="11"/>
      <c r="N714" s="11"/>
      <c r="O714" s="11"/>
      <c r="P714" s="8"/>
    </row>
    <row r="715">
      <c r="A715" s="11"/>
      <c r="B715" s="9"/>
      <c r="C715" s="8"/>
      <c r="D715" s="8"/>
      <c r="E715" s="8"/>
      <c r="F715" s="12"/>
      <c r="G715" s="11"/>
      <c r="H715" s="11"/>
      <c r="I715" s="11"/>
      <c r="J715" s="11"/>
      <c r="K715" s="12"/>
      <c r="L715" s="11"/>
      <c r="M715" s="11"/>
      <c r="N715" s="11"/>
      <c r="O715" s="11"/>
      <c r="P715" s="8"/>
    </row>
    <row r="716">
      <c r="A716" s="11"/>
      <c r="B716" s="9"/>
      <c r="C716" s="8"/>
      <c r="D716" s="8"/>
      <c r="E716" s="8"/>
      <c r="F716" s="12"/>
      <c r="G716" s="11"/>
      <c r="H716" s="11"/>
      <c r="I716" s="11"/>
      <c r="J716" s="11"/>
      <c r="K716" s="12"/>
      <c r="L716" s="11"/>
      <c r="M716" s="11"/>
      <c r="N716" s="11"/>
      <c r="O716" s="11"/>
      <c r="P716" s="8"/>
    </row>
    <row r="717">
      <c r="A717" s="11"/>
      <c r="B717" s="9"/>
      <c r="C717" s="8"/>
      <c r="D717" s="8"/>
      <c r="E717" s="8"/>
      <c r="F717" s="12"/>
      <c r="G717" s="11"/>
      <c r="H717" s="11"/>
      <c r="I717" s="11"/>
      <c r="J717" s="11"/>
      <c r="K717" s="12"/>
      <c r="L717" s="11"/>
      <c r="M717" s="11"/>
      <c r="N717" s="11"/>
      <c r="O717" s="11"/>
      <c r="P717" s="8"/>
    </row>
    <row r="718">
      <c r="A718" s="11"/>
      <c r="B718" s="9"/>
      <c r="C718" s="8"/>
      <c r="D718" s="8"/>
      <c r="E718" s="8"/>
      <c r="F718" s="12"/>
      <c r="G718" s="11"/>
      <c r="H718" s="11"/>
      <c r="I718" s="11"/>
      <c r="J718" s="11"/>
      <c r="K718" s="12"/>
      <c r="L718" s="11"/>
      <c r="M718" s="11"/>
      <c r="N718" s="11"/>
      <c r="O718" s="11"/>
      <c r="P718" s="8"/>
    </row>
    <row r="719">
      <c r="A719" s="11"/>
      <c r="B719" s="9"/>
      <c r="C719" s="8"/>
      <c r="D719" s="8"/>
      <c r="E719" s="8"/>
      <c r="F719" s="12"/>
      <c r="G719" s="11"/>
      <c r="H719" s="11"/>
      <c r="I719" s="11"/>
      <c r="J719" s="11"/>
      <c r="K719" s="12"/>
      <c r="L719" s="11"/>
      <c r="M719" s="11"/>
      <c r="N719" s="11"/>
      <c r="O719" s="11"/>
      <c r="P719" s="8"/>
    </row>
    <row r="720">
      <c r="A720" s="11"/>
      <c r="B720" s="9"/>
      <c r="C720" s="8"/>
      <c r="D720" s="8"/>
      <c r="E720" s="8"/>
      <c r="F720" s="12"/>
      <c r="G720" s="11"/>
      <c r="H720" s="11"/>
      <c r="I720" s="11"/>
      <c r="J720" s="11"/>
      <c r="K720" s="12"/>
      <c r="L720" s="11"/>
      <c r="M720" s="11"/>
      <c r="N720" s="11"/>
      <c r="O720" s="11"/>
      <c r="P720" s="8"/>
    </row>
    <row r="721">
      <c r="A721" s="11"/>
      <c r="B721" s="9"/>
      <c r="C721" s="8"/>
      <c r="D721" s="8"/>
      <c r="E721" s="8"/>
      <c r="F721" s="12"/>
      <c r="G721" s="11"/>
      <c r="H721" s="11"/>
      <c r="I721" s="11"/>
      <c r="J721" s="11"/>
      <c r="K721" s="12"/>
      <c r="L721" s="11"/>
      <c r="M721" s="11"/>
      <c r="N721" s="11"/>
      <c r="O721" s="11"/>
      <c r="P721" s="8"/>
    </row>
    <row r="722">
      <c r="A722" s="11"/>
      <c r="B722" s="9"/>
      <c r="C722" s="8"/>
      <c r="D722" s="8"/>
      <c r="E722" s="8"/>
      <c r="F722" s="12"/>
      <c r="G722" s="11"/>
      <c r="H722" s="11"/>
      <c r="I722" s="11"/>
      <c r="J722" s="11"/>
      <c r="K722" s="12"/>
      <c r="L722" s="11"/>
      <c r="M722" s="11"/>
      <c r="N722" s="11"/>
      <c r="O722" s="11"/>
      <c r="P722" s="8"/>
    </row>
    <row r="723">
      <c r="A723" s="11"/>
      <c r="B723" s="9"/>
      <c r="C723" s="8"/>
      <c r="D723" s="8"/>
      <c r="E723" s="8"/>
      <c r="F723" s="12"/>
      <c r="G723" s="11"/>
      <c r="H723" s="11"/>
      <c r="I723" s="11"/>
      <c r="J723" s="11"/>
      <c r="K723" s="12"/>
      <c r="L723" s="11"/>
      <c r="M723" s="11"/>
      <c r="N723" s="11"/>
      <c r="O723" s="11"/>
      <c r="P723" s="8"/>
    </row>
    <row r="724">
      <c r="A724" s="11"/>
      <c r="B724" s="9"/>
      <c r="C724" s="8"/>
      <c r="D724" s="8"/>
      <c r="E724" s="8"/>
      <c r="F724" s="12"/>
      <c r="G724" s="11"/>
      <c r="H724" s="11"/>
      <c r="I724" s="11"/>
      <c r="J724" s="11"/>
      <c r="K724" s="12"/>
      <c r="L724" s="11"/>
      <c r="M724" s="11"/>
      <c r="N724" s="11"/>
      <c r="O724" s="11"/>
      <c r="P724" s="8"/>
    </row>
    <row r="725">
      <c r="A725" s="11"/>
      <c r="B725" s="9"/>
      <c r="C725" s="8"/>
      <c r="D725" s="8"/>
      <c r="E725" s="8"/>
      <c r="F725" s="12"/>
      <c r="G725" s="11"/>
      <c r="H725" s="11"/>
      <c r="I725" s="11"/>
      <c r="J725" s="11"/>
      <c r="K725" s="12"/>
      <c r="L725" s="11"/>
      <c r="M725" s="11"/>
      <c r="N725" s="11"/>
      <c r="O725" s="11"/>
      <c r="P725" s="8"/>
    </row>
    <row r="726">
      <c r="A726" s="11"/>
      <c r="B726" s="9"/>
      <c r="C726" s="8"/>
      <c r="D726" s="8"/>
      <c r="E726" s="8"/>
      <c r="F726" s="12"/>
      <c r="G726" s="11"/>
      <c r="H726" s="11"/>
      <c r="I726" s="11"/>
      <c r="J726" s="11"/>
      <c r="K726" s="12"/>
      <c r="L726" s="11"/>
      <c r="M726" s="11"/>
      <c r="N726" s="11"/>
      <c r="O726" s="11"/>
      <c r="P726" s="8"/>
    </row>
    <row r="727">
      <c r="A727" s="11"/>
      <c r="B727" s="9"/>
      <c r="C727" s="8"/>
      <c r="D727" s="8"/>
      <c r="E727" s="8"/>
      <c r="F727" s="12"/>
      <c r="G727" s="11"/>
      <c r="H727" s="11"/>
      <c r="I727" s="11"/>
      <c r="J727" s="11"/>
      <c r="K727" s="12"/>
      <c r="L727" s="11"/>
      <c r="M727" s="11"/>
      <c r="N727" s="11"/>
      <c r="O727" s="11"/>
      <c r="P727" s="8"/>
    </row>
    <row r="728">
      <c r="A728" s="11"/>
      <c r="B728" s="9"/>
      <c r="C728" s="8"/>
      <c r="D728" s="8"/>
      <c r="E728" s="8"/>
      <c r="F728" s="12"/>
      <c r="G728" s="11"/>
      <c r="H728" s="11"/>
      <c r="I728" s="11"/>
      <c r="J728" s="11"/>
      <c r="K728" s="12"/>
      <c r="L728" s="11"/>
      <c r="M728" s="11"/>
      <c r="N728" s="11"/>
      <c r="O728" s="11"/>
      <c r="P728" s="8"/>
    </row>
    <row r="729">
      <c r="A729" s="11"/>
      <c r="B729" s="9"/>
      <c r="C729" s="8"/>
      <c r="D729" s="8"/>
      <c r="E729" s="8"/>
      <c r="F729" s="12"/>
      <c r="G729" s="11"/>
      <c r="H729" s="11"/>
      <c r="I729" s="11"/>
      <c r="J729" s="11"/>
      <c r="K729" s="12"/>
      <c r="L729" s="11"/>
      <c r="M729" s="11"/>
      <c r="N729" s="11"/>
      <c r="O729" s="11"/>
      <c r="P729" s="8"/>
    </row>
    <row r="730">
      <c r="A730" s="11"/>
      <c r="B730" s="9"/>
      <c r="C730" s="8"/>
      <c r="D730" s="8"/>
      <c r="E730" s="8"/>
      <c r="F730" s="12"/>
      <c r="G730" s="11"/>
      <c r="H730" s="11"/>
      <c r="I730" s="11"/>
      <c r="J730" s="11"/>
      <c r="K730" s="12"/>
      <c r="L730" s="11"/>
      <c r="M730" s="11"/>
      <c r="N730" s="11"/>
      <c r="O730" s="11"/>
      <c r="P730" s="8"/>
    </row>
    <row r="731">
      <c r="A731" s="11"/>
      <c r="B731" s="9"/>
      <c r="C731" s="8"/>
      <c r="D731" s="8"/>
      <c r="E731" s="8"/>
      <c r="F731" s="12"/>
      <c r="G731" s="11"/>
      <c r="H731" s="11"/>
      <c r="I731" s="11"/>
      <c r="J731" s="11"/>
      <c r="K731" s="12"/>
      <c r="L731" s="11"/>
      <c r="M731" s="11"/>
      <c r="N731" s="11"/>
      <c r="O731" s="11"/>
      <c r="P731" s="8"/>
    </row>
    <row r="732">
      <c r="A732" s="11"/>
      <c r="B732" s="9"/>
      <c r="C732" s="8"/>
      <c r="D732" s="8"/>
      <c r="E732" s="8"/>
      <c r="F732" s="12"/>
      <c r="G732" s="11"/>
      <c r="H732" s="11"/>
      <c r="I732" s="11"/>
      <c r="J732" s="11"/>
      <c r="K732" s="12"/>
      <c r="L732" s="11"/>
      <c r="M732" s="11"/>
      <c r="N732" s="11"/>
      <c r="O732" s="11"/>
      <c r="P732" s="8"/>
    </row>
    <row r="733">
      <c r="A733" s="11"/>
      <c r="B733" s="9"/>
      <c r="C733" s="8"/>
      <c r="D733" s="8"/>
      <c r="E733" s="8"/>
      <c r="F733" s="12"/>
      <c r="G733" s="11"/>
      <c r="H733" s="11"/>
      <c r="I733" s="11"/>
      <c r="J733" s="11"/>
      <c r="K733" s="12"/>
      <c r="L733" s="11"/>
      <c r="M733" s="11"/>
      <c r="N733" s="11"/>
      <c r="O733" s="11"/>
      <c r="P733" s="8"/>
    </row>
    <row r="734">
      <c r="A734" s="11"/>
      <c r="B734" s="9"/>
      <c r="C734" s="8"/>
      <c r="D734" s="8"/>
      <c r="E734" s="8"/>
      <c r="F734" s="12"/>
      <c r="G734" s="11"/>
      <c r="H734" s="11"/>
      <c r="I734" s="11"/>
      <c r="J734" s="11"/>
      <c r="K734" s="12"/>
      <c r="L734" s="11"/>
      <c r="M734" s="11"/>
      <c r="N734" s="11"/>
      <c r="O734" s="11"/>
      <c r="P734" s="8"/>
    </row>
    <row r="735">
      <c r="A735" s="11"/>
      <c r="B735" s="9"/>
      <c r="C735" s="8"/>
      <c r="D735" s="8"/>
      <c r="E735" s="8"/>
      <c r="F735" s="12"/>
      <c r="G735" s="11"/>
      <c r="H735" s="11"/>
      <c r="I735" s="11"/>
      <c r="J735" s="11"/>
      <c r="K735" s="12"/>
      <c r="L735" s="11"/>
      <c r="M735" s="11"/>
      <c r="N735" s="11"/>
      <c r="O735" s="11"/>
      <c r="P735" s="8"/>
    </row>
    <row r="736">
      <c r="A736" s="11"/>
      <c r="B736" s="9"/>
      <c r="C736" s="8"/>
      <c r="D736" s="8"/>
      <c r="E736" s="8"/>
      <c r="F736" s="12"/>
      <c r="G736" s="11"/>
      <c r="H736" s="11"/>
      <c r="I736" s="11"/>
      <c r="J736" s="11"/>
      <c r="K736" s="12"/>
      <c r="L736" s="11"/>
      <c r="M736" s="11"/>
      <c r="N736" s="11"/>
      <c r="O736" s="11"/>
      <c r="P736" s="8"/>
    </row>
    <row r="737">
      <c r="A737" s="11"/>
      <c r="B737" s="9"/>
      <c r="C737" s="8"/>
      <c r="D737" s="8"/>
      <c r="E737" s="8"/>
      <c r="F737" s="12"/>
      <c r="G737" s="11"/>
      <c r="H737" s="11"/>
      <c r="I737" s="11"/>
      <c r="J737" s="11"/>
      <c r="K737" s="12"/>
      <c r="L737" s="11"/>
      <c r="M737" s="11"/>
      <c r="N737" s="11"/>
      <c r="O737" s="11"/>
      <c r="P737" s="8"/>
    </row>
    <row r="738">
      <c r="A738" s="11"/>
      <c r="B738" s="9"/>
      <c r="C738" s="8"/>
      <c r="D738" s="8"/>
      <c r="E738" s="8"/>
      <c r="F738" s="12"/>
      <c r="G738" s="11"/>
      <c r="H738" s="11"/>
      <c r="I738" s="11"/>
      <c r="J738" s="11"/>
      <c r="K738" s="12"/>
      <c r="L738" s="11"/>
      <c r="M738" s="11"/>
      <c r="N738" s="11"/>
      <c r="O738" s="11"/>
      <c r="P738" s="8"/>
    </row>
    <row r="739">
      <c r="A739" s="11"/>
      <c r="B739" s="9"/>
      <c r="C739" s="8"/>
      <c r="D739" s="8"/>
      <c r="E739" s="8"/>
      <c r="F739" s="12"/>
      <c r="G739" s="11"/>
      <c r="H739" s="11"/>
      <c r="I739" s="11"/>
      <c r="J739" s="11"/>
      <c r="K739" s="12"/>
      <c r="L739" s="11"/>
      <c r="M739" s="11"/>
      <c r="N739" s="11"/>
      <c r="O739" s="11"/>
      <c r="P739" s="8"/>
    </row>
    <row r="740">
      <c r="A740" s="11"/>
      <c r="B740" s="9"/>
      <c r="C740" s="8"/>
      <c r="D740" s="8"/>
      <c r="E740" s="8"/>
      <c r="F740" s="12"/>
      <c r="G740" s="11"/>
      <c r="H740" s="11"/>
      <c r="I740" s="11"/>
      <c r="J740" s="11"/>
      <c r="K740" s="12"/>
      <c r="L740" s="11"/>
      <c r="M740" s="11"/>
      <c r="N740" s="11"/>
      <c r="O740" s="11"/>
      <c r="P740" s="8"/>
    </row>
    <row r="741">
      <c r="A741" s="11"/>
      <c r="B741" s="9"/>
      <c r="C741" s="8"/>
      <c r="D741" s="8"/>
      <c r="E741" s="8"/>
      <c r="F741" s="12"/>
      <c r="G741" s="11"/>
      <c r="H741" s="11"/>
      <c r="I741" s="11"/>
      <c r="J741" s="11"/>
      <c r="K741" s="12"/>
      <c r="L741" s="11"/>
      <c r="M741" s="11"/>
      <c r="N741" s="11"/>
      <c r="O741" s="11"/>
      <c r="P741" s="8"/>
    </row>
    <row r="742">
      <c r="A742" s="11"/>
      <c r="B742" s="9"/>
      <c r="C742" s="8"/>
      <c r="D742" s="8"/>
      <c r="E742" s="8"/>
      <c r="F742" s="12"/>
      <c r="G742" s="11"/>
      <c r="H742" s="11"/>
      <c r="I742" s="11"/>
      <c r="J742" s="11"/>
      <c r="K742" s="12"/>
      <c r="L742" s="11"/>
      <c r="M742" s="11"/>
      <c r="N742" s="11"/>
      <c r="O742" s="11"/>
      <c r="P742" s="8"/>
    </row>
    <row r="743">
      <c r="A743" s="11"/>
      <c r="B743" s="9"/>
      <c r="C743" s="8"/>
      <c r="D743" s="8"/>
      <c r="E743" s="8"/>
      <c r="F743" s="12"/>
      <c r="G743" s="11"/>
      <c r="H743" s="11"/>
      <c r="I743" s="11"/>
      <c r="J743" s="11"/>
      <c r="K743" s="12"/>
      <c r="L743" s="11"/>
      <c r="M743" s="11"/>
      <c r="N743" s="11"/>
      <c r="O743" s="11"/>
      <c r="P743" s="8"/>
    </row>
    <row r="744">
      <c r="A744" s="11"/>
      <c r="B744" s="9"/>
      <c r="C744" s="8"/>
      <c r="D744" s="8"/>
      <c r="E744" s="8"/>
      <c r="F744" s="12"/>
      <c r="G744" s="11"/>
      <c r="H744" s="11"/>
      <c r="I744" s="11"/>
      <c r="J744" s="11"/>
      <c r="K744" s="12"/>
      <c r="L744" s="11"/>
      <c r="M744" s="11"/>
      <c r="N744" s="11"/>
      <c r="O744" s="11"/>
      <c r="P744" s="8"/>
    </row>
    <row r="745">
      <c r="A745" s="11"/>
      <c r="B745" s="9"/>
      <c r="C745" s="8"/>
      <c r="D745" s="8"/>
      <c r="E745" s="8"/>
      <c r="F745" s="12"/>
      <c r="G745" s="11"/>
      <c r="H745" s="11"/>
      <c r="I745" s="11"/>
      <c r="J745" s="11"/>
      <c r="K745" s="12"/>
      <c r="L745" s="11"/>
      <c r="M745" s="11"/>
      <c r="N745" s="11"/>
      <c r="O745" s="11"/>
      <c r="P745" s="8"/>
    </row>
    <row r="746">
      <c r="A746" s="11"/>
      <c r="B746" s="9"/>
      <c r="C746" s="8"/>
      <c r="D746" s="8"/>
      <c r="E746" s="8"/>
      <c r="F746" s="12"/>
      <c r="G746" s="11"/>
      <c r="H746" s="11"/>
      <c r="I746" s="11"/>
      <c r="J746" s="11"/>
      <c r="K746" s="12"/>
      <c r="L746" s="11"/>
      <c r="M746" s="11"/>
      <c r="N746" s="11"/>
      <c r="O746" s="11"/>
      <c r="P746" s="8"/>
    </row>
    <row r="747">
      <c r="A747" s="11"/>
      <c r="B747" s="9"/>
      <c r="C747" s="8"/>
      <c r="D747" s="8"/>
      <c r="E747" s="8"/>
      <c r="F747" s="12"/>
      <c r="G747" s="11"/>
      <c r="H747" s="11"/>
      <c r="I747" s="11"/>
      <c r="J747" s="11"/>
      <c r="K747" s="12"/>
      <c r="L747" s="11"/>
      <c r="M747" s="11"/>
      <c r="N747" s="11"/>
      <c r="O747" s="11"/>
      <c r="P747" s="8"/>
    </row>
    <row r="748">
      <c r="A748" s="11"/>
      <c r="B748" s="9"/>
      <c r="C748" s="8"/>
      <c r="D748" s="8"/>
      <c r="E748" s="8"/>
      <c r="F748" s="12"/>
      <c r="G748" s="11"/>
      <c r="H748" s="11"/>
      <c r="I748" s="11"/>
      <c r="J748" s="11"/>
      <c r="K748" s="12"/>
      <c r="L748" s="11"/>
      <c r="M748" s="11"/>
      <c r="N748" s="11"/>
      <c r="O748" s="11"/>
      <c r="P748" s="8"/>
    </row>
    <row r="749">
      <c r="A749" s="11"/>
      <c r="B749" s="9"/>
      <c r="C749" s="8"/>
      <c r="D749" s="8"/>
      <c r="E749" s="8"/>
      <c r="F749" s="12"/>
      <c r="G749" s="11"/>
      <c r="H749" s="11"/>
      <c r="I749" s="11"/>
      <c r="J749" s="11"/>
      <c r="K749" s="12"/>
      <c r="L749" s="11"/>
      <c r="M749" s="11"/>
      <c r="N749" s="11"/>
      <c r="O749" s="11"/>
      <c r="P749" s="8"/>
    </row>
    <row r="750">
      <c r="A750" s="11"/>
      <c r="B750" s="9"/>
      <c r="C750" s="8"/>
      <c r="D750" s="8"/>
      <c r="E750" s="8"/>
      <c r="F750" s="12"/>
      <c r="G750" s="11"/>
      <c r="H750" s="11"/>
      <c r="I750" s="11"/>
      <c r="J750" s="11"/>
      <c r="K750" s="12"/>
      <c r="L750" s="11"/>
      <c r="M750" s="11"/>
      <c r="N750" s="11"/>
      <c r="O750" s="11"/>
      <c r="P750" s="8"/>
    </row>
    <row r="751">
      <c r="A751" s="11"/>
      <c r="B751" s="9"/>
      <c r="C751" s="8"/>
      <c r="D751" s="8"/>
      <c r="E751" s="8"/>
      <c r="F751" s="12"/>
      <c r="G751" s="11"/>
      <c r="H751" s="11"/>
      <c r="I751" s="11"/>
      <c r="J751" s="11"/>
      <c r="K751" s="12"/>
      <c r="L751" s="11"/>
      <c r="M751" s="11"/>
      <c r="N751" s="11"/>
      <c r="O751" s="11"/>
      <c r="P751" s="8"/>
    </row>
    <row r="752">
      <c r="A752" s="11"/>
      <c r="B752" s="9"/>
      <c r="C752" s="8"/>
      <c r="D752" s="8"/>
      <c r="E752" s="8"/>
      <c r="F752" s="12"/>
      <c r="G752" s="11"/>
      <c r="H752" s="11"/>
      <c r="I752" s="11"/>
      <c r="J752" s="11"/>
      <c r="K752" s="12"/>
      <c r="L752" s="11"/>
      <c r="M752" s="11"/>
      <c r="N752" s="11"/>
      <c r="O752" s="11"/>
      <c r="P752" s="8"/>
    </row>
    <row r="753">
      <c r="A753" s="11"/>
      <c r="B753" s="9"/>
      <c r="C753" s="8"/>
      <c r="D753" s="8"/>
      <c r="E753" s="8"/>
      <c r="F753" s="12"/>
      <c r="G753" s="11"/>
      <c r="H753" s="11"/>
      <c r="I753" s="11"/>
      <c r="J753" s="11"/>
      <c r="K753" s="12"/>
      <c r="L753" s="11"/>
      <c r="M753" s="11"/>
      <c r="N753" s="11"/>
      <c r="O753" s="11"/>
      <c r="P753" s="8"/>
    </row>
    <row r="754">
      <c r="A754" s="11"/>
      <c r="B754" s="9"/>
      <c r="C754" s="8"/>
      <c r="D754" s="8"/>
      <c r="E754" s="8"/>
      <c r="F754" s="12"/>
      <c r="G754" s="11"/>
      <c r="H754" s="11"/>
      <c r="I754" s="11"/>
      <c r="J754" s="11"/>
      <c r="K754" s="12"/>
      <c r="L754" s="11"/>
      <c r="M754" s="11"/>
      <c r="N754" s="11"/>
      <c r="O754" s="11"/>
      <c r="P754" s="8"/>
    </row>
    <row r="755">
      <c r="A755" s="11"/>
      <c r="B755" s="9"/>
      <c r="C755" s="8"/>
      <c r="D755" s="8"/>
      <c r="E755" s="8"/>
      <c r="F755" s="12"/>
      <c r="G755" s="11"/>
      <c r="H755" s="11"/>
      <c r="I755" s="11"/>
      <c r="J755" s="11"/>
      <c r="K755" s="12"/>
      <c r="L755" s="11"/>
      <c r="M755" s="11"/>
      <c r="N755" s="11"/>
      <c r="O755" s="11"/>
      <c r="P755" s="8"/>
    </row>
    <row r="756">
      <c r="A756" s="11"/>
      <c r="B756" s="9"/>
      <c r="C756" s="8"/>
      <c r="D756" s="8"/>
      <c r="E756" s="8"/>
      <c r="F756" s="12"/>
      <c r="G756" s="11"/>
      <c r="H756" s="11"/>
      <c r="I756" s="11"/>
      <c r="J756" s="11"/>
      <c r="K756" s="12"/>
      <c r="L756" s="11"/>
      <c r="M756" s="11"/>
      <c r="N756" s="11"/>
      <c r="O756" s="11"/>
      <c r="P756" s="8"/>
    </row>
    <row r="757">
      <c r="A757" s="11"/>
      <c r="B757" s="9"/>
      <c r="C757" s="8"/>
      <c r="D757" s="8"/>
      <c r="E757" s="8"/>
      <c r="F757" s="12"/>
      <c r="G757" s="11"/>
      <c r="H757" s="11"/>
      <c r="I757" s="11"/>
      <c r="J757" s="11"/>
      <c r="K757" s="12"/>
      <c r="L757" s="11"/>
      <c r="M757" s="11"/>
      <c r="N757" s="11"/>
      <c r="O757" s="11"/>
      <c r="P757" s="8"/>
    </row>
    <row r="758">
      <c r="A758" s="11"/>
      <c r="B758" s="9"/>
      <c r="C758" s="8"/>
      <c r="D758" s="8"/>
      <c r="E758" s="8"/>
      <c r="F758" s="12"/>
      <c r="G758" s="11"/>
      <c r="H758" s="11"/>
      <c r="I758" s="11"/>
      <c r="J758" s="11"/>
      <c r="K758" s="12"/>
      <c r="L758" s="11"/>
      <c r="M758" s="11"/>
      <c r="N758" s="11"/>
      <c r="O758" s="11"/>
      <c r="P758" s="8"/>
    </row>
    <row r="759">
      <c r="A759" s="11"/>
      <c r="B759" s="9"/>
      <c r="C759" s="8"/>
      <c r="D759" s="8"/>
      <c r="E759" s="8"/>
      <c r="F759" s="12"/>
      <c r="G759" s="11"/>
      <c r="H759" s="11"/>
      <c r="I759" s="11"/>
      <c r="J759" s="11"/>
      <c r="K759" s="12"/>
      <c r="L759" s="11"/>
      <c r="M759" s="11"/>
      <c r="N759" s="11"/>
      <c r="O759" s="11"/>
      <c r="P759" s="8"/>
    </row>
    <row r="760">
      <c r="A760" s="11"/>
      <c r="B760" s="9"/>
      <c r="C760" s="8"/>
      <c r="D760" s="8"/>
      <c r="E760" s="8"/>
      <c r="F760" s="12"/>
      <c r="G760" s="11"/>
      <c r="H760" s="11"/>
      <c r="I760" s="11"/>
      <c r="J760" s="11"/>
      <c r="K760" s="12"/>
      <c r="L760" s="11"/>
      <c r="M760" s="11"/>
      <c r="N760" s="11"/>
      <c r="O760" s="11"/>
      <c r="P760" s="8"/>
    </row>
    <row r="761">
      <c r="A761" s="11"/>
      <c r="B761" s="9"/>
      <c r="C761" s="8"/>
      <c r="D761" s="8"/>
      <c r="E761" s="8"/>
      <c r="F761" s="12"/>
      <c r="G761" s="11"/>
      <c r="H761" s="11"/>
      <c r="I761" s="11"/>
      <c r="J761" s="11"/>
      <c r="K761" s="12"/>
      <c r="L761" s="11"/>
      <c r="M761" s="11"/>
      <c r="N761" s="11"/>
      <c r="O761" s="11"/>
      <c r="P761" s="8"/>
    </row>
    <row r="762">
      <c r="A762" s="11"/>
      <c r="B762" s="9"/>
      <c r="C762" s="8"/>
      <c r="D762" s="8"/>
      <c r="E762" s="8"/>
      <c r="F762" s="12"/>
      <c r="G762" s="11"/>
      <c r="H762" s="11"/>
      <c r="I762" s="11"/>
      <c r="J762" s="11"/>
      <c r="K762" s="12"/>
      <c r="L762" s="11"/>
      <c r="M762" s="11"/>
      <c r="N762" s="11"/>
      <c r="O762" s="11"/>
      <c r="P762" s="8"/>
    </row>
    <row r="763">
      <c r="A763" s="11"/>
      <c r="B763" s="9"/>
      <c r="C763" s="8"/>
      <c r="D763" s="8"/>
      <c r="E763" s="8"/>
      <c r="F763" s="12"/>
      <c r="G763" s="11"/>
      <c r="H763" s="11"/>
      <c r="I763" s="11"/>
      <c r="J763" s="11"/>
      <c r="K763" s="12"/>
      <c r="L763" s="11"/>
      <c r="M763" s="11"/>
      <c r="N763" s="11"/>
      <c r="O763" s="11"/>
      <c r="P763" s="8"/>
    </row>
    <row r="764">
      <c r="A764" s="11"/>
      <c r="B764" s="9"/>
      <c r="C764" s="8"/>
      <c r="D764" s="8"/>
      <c r="E764" s="8"/>
      <c r="F764" s="12"/>
      <c r="G764" s="11"/>
      <c r="H764" s="11"/>
      <c r="I764" s="11"/>
      <c r="J764" s="11"/>
      <c r="K764" s="12"/>
      <c r="L764" s="11"/>
      <c r="M764" s="11"/>
      <c r="N764" s="11"/>
      <c r="O764" s="11"/>
      <c r="P764" s="8"/>
    </row>
    <row r="765">
      <c r="A765" s="11"/>
      <c r="B765" s="9"/>
      <c r="C765" s="8"/>
      <c r="D765" s="8"/>
      <c r="E765" s="8"/>
      <c r="F765" s="12"/>
      <c r="G765" s="11"/>
      <c r="H765" s="11"/>
      <c r="I765" s="11"/>
      <c r="J765" s="11"/>
      <c r="K765" s="12"/>
      <c r="L765" s="11"/>
      <c r="M765" s="11"/>
      <c r="N765" s="11"/>
      <c r="O765" s="11"/>
      <c r="P765" s="8"/>
    </row>
    <row r="766">
      <c r="A766" s="11"/>
      <c r="B766" s="9"/>
      <c r="C766" s="8"/>
      <c r="D766" s="8"/>
      <c r="E766" s="8"/>
      <c r="F766" s="12"/>
      <c r="G766" s="11"/>
      <c r="H766" s="11"/>
      <c r="I766" s="11"/>
      <c r="J766" s="11"/>
      <c r="K766" s="12"/>
      <c r="L766" s="11"/>
      <c r="M766" s="11"/>
      <c r="N766" s="11"/>
      <c r="O766" s="11"/>
      <c r="P766" s="8"/>
    </row>
    <row r="767">
      <c r="A767" s="11"/>
      <c r="B767" s="9"/>
      <c r="C767" s="8"/>
      <c r="D767" s="8"/>
      <c r="E767" s="8"/>
      <c r="F767" s="12"/>
      <c r="G767" s="11"/>
      <c r="H767" s="11"/>
      <c r="I767" s="11"/>
      <c r="J767" s="11"/>
      <c r="K767" s="12"/>
      <c r="L767" s="11"/>
      <c r="M767" s="11"/>
      <c r="N767" s="11"/>
      <c r="O767" s="11"/>
      <c r="P767" s="8"/>
    </row>
    <row r="768">
      <c r="A768" s="11"/>
      <c r="B768" s="9"/>
      <c r="C768" s="8"/>
      <c r="D768" s="8"/>
      <c r="E768" s="8"/>
      <c r="F768" s="12"/>
      <c r="G768" s="11"/>
      <c r="H768" s="11"/>
      <c r="I768" s="11"/>
      <c r="J768" s="11"/>
      <c r="K768" s="12"/>
      <c r="L768" s="11"/>
      <c r="M768" s="11"/>
      <c r="N768" s="11"/>
      <c r="O768" s="11"/>
      <c r="P768" s="8"/>
    </row>
    <row r="769">
      <c r="A769" s="11"/>
      <c r="B769" s="9"/>
      <c r="C769" s="8"/>
      <c r="D769" s="8"/>
      <c r="E769" s="8"/>
      <c r="F769" s="12"/>
      <c r="G769" s="11"/>
      <c r="H769" s="11"/>
      <c r="I769" s="11"/>
      <c r="J769" s="11"/>
      <c r="K769" s="12"/>
      <c r="L769" s="11"/>
      <c r="M769" s="11"/>
      <c r="N769" s="11"/>
      <c r="O769" s="11"/>
      <c r="P769" s="8"/>
    </row>
    <row r="770">
      <c r="A770" s="11"/>
      <c r="B770" s="9"/>
      <c r="C770" s="8"/>
      <c r="D770" s="8"/>
      <c r="E770" s="8"/>
      <c r="F770" s="12"/>
      <c r="G770" s="11"/>
      <c r="H770" s="11"/>
      <c r="I770" s="11"/>
      <c r="J770" s="11"/>
      <c r="K770" s="12"/>
      <c r="L770" s="11"/>
      <c r="M770" s="11"/>
      <c r="N770" s="11"/>
      <c r="O770" s="11"/>
      <c r="P770" s="8"/>
    </row>
    <row r="771">
      <c r="A771" s="11"/>
      <c r="B771" s="9"/>
      <c r="C771" s="8"/>
      <c r="D771" s="8"/>
      <c r="E771" s="8"/>
      <c r="F771" s="12"/>
      <c r="G771" s="11"/>
      <c r="H771" s="11"/>
      <c r="I771" s="11"/>
      <c r="J771" s="11"/>
      <c r="K771" s="12"/>
      <c r="L771" s="11"/>
      <c r="M771" s="11"/>
      <c r="N771" s="11"/>
      <c r="O771" s="11"/>
      <c r="P771" s="8"/>
    </row>
    <row r="772">
      <c r="A772" s="11"/>
      <c r="B772" s="9"/>
      <c r="C772" s="8"/>
      <c r="D772" s="8"/>
      <c r="E772" s="8"/>
      <c r="F772" s="12"/>
      <c r="G772" s="11"/>
      <c r="H772" s="11"/>
      <c r="I772" s="11"/>
      <c r="J772" s="11"/>
      <c r="K772" s="12"/>
      <c r="L772" s="11"/>
      <c r="M772" s="11"/>
      <c r="N772" s="11"/>
      <c r="O772" s="11"/>
      <c r="P772" s="8"/>
    </row>
    <row r="773">
      <c r="A773" s="11"/>
      <c r="B773" s="9"/>
      <c r="C773" s="8"/>
      <c r="D773" s="8"/>
      <c r="E773" s="8"/>
      <c r="F773" s="12"/>
      <c r="G773" s="11"/>
      <c r="H773" s="11"/>
      <c r="I773" s="11"/>
      <c r="J773" s="11"/>
      <c r="K773" s="12"/>
      <c r="L773" s="11"/>
      <c r="M773" s="11"/>
      <c r="N773" s="11"/>
      <c r="O773" s="11"/>
      <c r="P773" s="8"/>
    </row>
    <row r="774">
      <c r="A774" s="11"/>
      <c r="B774" s="9"/>
      <c r="C774" s="8"/>
      <c r="D774" s="8"/>
      <c r="E774" s="8"/>
      <c r="F774" s="12"/>
      <c r="G774" s="11"/>
      <c r="H774" s="11"/>
      <c r="I774" s="11"/>
      <c r="J774" s="11"/>
      <c r="K774" s="12"/>
      <c r="L774" s="11"/>
      <c r="M774" s="11"/>
      <c r="N774" s="11"/>
      <c r="O774" s="11"/>
      <c r="P774" s="8"/>
    </row>
    <row r="775">
      <c r="A775" s="11"/>
      <c r="B775" s="9"/>
      <c r="C775" s="8"/>
      <c r="D775" s="8"/>
      <c r="E775" s="8"/>
      <c r="F775" s="12"/>
      <c r="G775" s="11"/>
      <c r="H775" s="11"/>
      <c r="I775" s="11"/>
      <c r="J775" s="11"/>
      <c r="K775" s="12"/>
      <c r="L775" s="11"/>
      <c r="M775" s="11"/>
      <c r="N775" s="11"/>
      <c r="O775" s="11"/>
      <c r="P775" s="8"/>
    </row>
    <row r="776">
      <c r="A776" s="11"/>
      <c r="B776" s="9"/>
      <c r="C776" s="8"/>
      <c r="D776" s="8"/>
      <c r="E776" s="8"/>
      <c r="F776" s="12"/>
      <c r="G776" s="11"/>
      <c r="H776" s="11"/>
      <c r="I776" s="11"/>
      <c r="J776" s="11"/>
      <c r="K776" s="12"/>
      <c r="L776" s="11"/>
      <c r="M776" s="11"/>
      <c r="N776" s="11"/>
      <c r="O776" s="11"/>
      <c r="P776" s="8"/>
    </row>
    <row r="777">
      <c r="A777" s="11"/>
      <c r="B777" s="9"/>
      <c r="C777" s="8"/>
      <c r="D777" s="8"/>
      <c r="E777" s="8"/>
      <c r="F777" s="12"/>
      <c r="G777" s="11"/>
      <c r="H777" s="11"/>
      <c r="I777" s="11"/>
      <c r="J777" s="11"/>
      <c r="K777" s="12"/>
      <c r="L777" s="11"/>
      <c r="M777" s="11"/>
      <c r="N777" s="11"/>
      <c r="O777" s="11"/>
      <c r="P777" s="8"/>
    </row>
    <row r="778">
      <c r="A778" s="11"/>
      <c r="B778" s="9"/>
      <c r="C778" s="8"/>
      <c r="D778" s="8"/>
      <c r="E778" s="8"/>
      <c r="F778" s="12"/>
      <c r="G778" s="11"/>
      <c r="H778" s="11"/>
      <c r="I778" s="11"/>
      <c r="J778" s="11"/>
      <c r="K778" s="12"/>
      <c r="L778" s="11"/>
      <c r="M778" s="11"/>
      <c r="N778" s="11"/>
      <c r="O778" s="11"/>
      <c r="P778" s="8"/>
    </row>
    <row r="779">
      <c r="A779" s="11"/>
      <c r="B779" s="9"/>
      <c r="C779" s="8"/>
      <c r="D779" s="8"/>
      <c r="E779" s="8"/>
      <c r="F779" s="12"/>
      <c r="G779" s="11"/>
      <c r="H779" s="11"/>
      <c r="I779" s="11"/>
      <c r="J779" s="11"/>
      <c r="K779" s="12"/>
      <c r="L779" s="11"/>
      <c r="M779" s="11"/>
      <c r="N779" s="11"/>
      <c r="O779" s="11"/>
      <c r="P779" s="8"/>
    </row>
    <row r="780">
      <c r="A780" s="11"/>
      <c r="B780" s="9"/>
      <c r="C780" s="8"/>
      <c r="D780" s="8"/>
      <c r="E780" s="8"/>
      <c r="F780" s="12"/>
      <c r="G780" s="11"/>
      <c r="H780" s="11"/>
      <c r="I780" s="11"/>
      <c r="J780" s="11"/>
      <c r="K780" s="12"/>
      <c r="L780" s="11"/>
      <c r="M780" s="11"/>
      <c r="N780" s="11"/>
      <c r="O780" s="11"/>
      <c r="P780" s="8"/>
    </row>
    <row r="781">
      <c r="A781" s="11"/>
      <c r="B781" s="9"/>
      <c r="C781" s="8"/>
      <c r="D781" s="8"/>
      <c r="E781" s="8"/>
      <c r="F781" s="12"/>
      <c r="G781" s="11"/>
      <c r="H781" s="11"/>
      <c r="I781" s="11"/>
      <c r="J781" s="11"/>
      <c r="K781" s="12"/>
      <c r="L781" s="11"/>
      <c r="M781" s="11"/>
      <c r="N781" s="11"/>
      <c r="O781" s="11"/>
      <c r="P781" s="8"/>
    </row>
    <row r="782">
      <c r="A782" s="11"/>
      <c r="B782" s="9"/>
      <c r="C782" s="8"/>
      <c r="D782" s="8"/>
      <c r="E782" s="8"/>
      <c r="F782" s="12"/>
      <c r="G782" s="11"/>
      <c r="H782" s="11"/>
      <c r="I782" s="11"/>
      <c r="J782" s="11"/>
      <c r="K782" s="12"/>
      <c r="L782" s="11"/>
      <c r="M782" s="11"/>
      <c r="N782" s="11"/>
      <c r="O782" s="11"/>
      <c r="P782" s="8"/>
    </row>
    <row r="783">
      <c r="A783" s="11"/>
      <c r="B783" s="9"/>
      <c r="C783" s="8"/>
      <c r="D783" s="8"/>
      <c r="E783" s="8"/>
      <c r="F783" s="12"/>
      <c r="G783" s="11"/>
      <c r="H783" s="11"/>
      <c r="I783" s="11"/>
      <c r="J783" s="11"/>
      <c r="K783" s="12"/>
      <c r="L783" s="11"/>
      <c r="M783" s="11"/>
      <c r="N783" s="11"/>
      <c r="O783" s="11"/>
      <c r="P783" s="8"/>
    </row>
    <row r="784">
      <c r="A784" s="11"/>
      <c r="B784" s="9"/>
      <c r="C784" s="8"/>
      <c r="D784" s="8"/>
      <c r="E784" s="8"/>
      <c r="F784" s="12"/>
      <c r="G784" s="11"/>
      <c r="H784" s="11"/>
      <c r="I784" s="11"/>
      <c r="J784" s="11"/>
      <c r="K784" s="12"/>
      <c r="L784" s="11"/>
      <c r="M784" s="11"/>
      <c r="N784" s="11"/>
      <c r="O784" s="11"/>
      <c r="P784" s="8"/>
    </row>
    <row r="785">
      <c r="A785" s="11"/>
      <c r="B785" s="9"/>
      <c r="C785" s="8"/>
      <c r="D785" s="8"/>
      <c r="E785" s="8"/>
      <c r="F785" s="12"/>
      <c r="G785" s="11"/>
      <c r="H785" s="11"/>
      <c r="I785" s="11"/>
      <c r="J785" s="11"/>
      <c r="K785" s="12"/>
      <c r="L785" s="11"/>
      <c r="M785" s="11"/>
      <c r="N785" s="11"/>
      <c r="O785" s="11"/>
      <c r="P785" s="8"/>
    </row>
    <row r="786">
      <c r="A786" s="11"/>
      <c r="B786" s="9"/>
      <c r="C786" s="8"/>
      <c r="D786" s="8"/>
      <c r="E786" s="8"/>
      <c r="F786" s="12"/>
      <c r="G786" s="11"/>
      <c r="H786" s="11"/>
      <c r="I786" s="11"/>
      <c r="J786" s="11"/>
      <c r="K786" s="12"/>
      <c r="L786" s="11"/>
      <c r="M786" s="11"/>
      <c r="N786" s="11"/>
      <c r="O786" s="11"/>
      <c r="P786" s="8"/>
    </row>
    <row r="787">
      <c r="A787" s="11"/>
      <c r="B787" s="9"/>
      <c r="C787" s="8"/>
      <c r="D787" s="8"/>
      <c r="E787" s="8"/>
      <c r="F787" s="12"/>
      <c r="G787" s="11"/>
      <c r="H787" s="11"/>
      <c r="I787" s="11"/>
      <c r="J787" s="11"/>
      <c r="K787" s="12"/>
      <c r="L787" s="11"/>
      <c r="M787" s="11"/>
      <c r="N787" s="11"/>
      <c r="O787" s="11"/>
      <c r="P787" s="8"/>
    </row>
    <row r="788">
      <c r="A788" s="11"/>
      <c r="B788" s="9"/>
      <c r="C788" s="8"/>
      <c r="D788" s="8"/>
      <c r="E788" s="8"/>
      <c r="F788" s="12"/>
      <c r="G788" s="11"/>
      <c r="H788" s="11"/>
      <c r="I788" s="11"/>
      <c r="J788" s="11"/>
      <c r="K788" s="12"/>
      <c r="L788" s="11"/>
      <c r="M788" s="11"/>
      <c r="N788" s="11"/>
      <c r="O788" s="11"/>
      <c r="P788" s="8"/>
    </row>
    <row r="789">
      <c r="A789" s="11"/>
      <c r="B789" s="9"/>
      <c r="C789" s="8"/>
      <c r="D789" s="8"/>
      <c r="E789" s="8"/>
      <c r="F789" s="12"/>
      <c r="G789" s="11"/>
      <c r="H789" s="11"/>
      <c r="I789" s="11"/>
      <c r="J789" s="11"/>
      <c r="K789" s="12"/>
      <c r="L789" s="11"/>
      <c r="M789" s="11"/>
      <c r="N789" s="11"/>
      <c r="O789" s="11"/>
      <c r="P789" s="8"/>
    </row>
    <row r="790">
      <c r="A790" s="11"/>
      <c r="B790" s="9"/>
      <c r="C790" s="8"/>
      <c r="D790" s="8"/>
      <c r="E790" s="8"/>
      <c r="F790" s="12"/>
      <c r="G790" s="11"/>
      <c r="H790" s="11"/>
      <c r="I790" s="11"/>
      <c r="J790" s="11"/>
      <c r="K790" s="12"/>
      <c r="L790" s="11"/>
      <c r="M790" s="11"/>
      <c r="N790" s="11"/>
      <c r="O790" s="11"/>
      <c r="P790" s="8"/>
    </row>
    <row r="791">
      <c r="A791" s="11"/>
      <c r="B791" s="9"/>
      <c r="C791" s="8"/>
      <c r="D791" s="8"/>
      <c r="E791" s="8"/>
      <c r="F791" s="12"/>
      <c r="G791" s="11"/>
      <c r="H791" s="11"/>
      <c r="I791" s="11"/>
      <c r="J791" s="11"/>
      <c r="K791" s="12"/>
      <c r="L791" s="11"/>
      <c r="M791" s="11"/>
      <c r="N791" s="11"/>
      <c r="O791" s="11"/>
      <c r="P791" s="8"/>
    </row>
    <row r="792">
      <c r="A792" s="11"/>
      <c r="B792" s="9"/>
      <c r="C792" s="8"/>
      <c r="D792" s="8"/>
      <c r="E792" s="8"/>
      <c r="F792" s="12"/>
      <c r="G792" s="11"/>
      <c r="H792" s="11"/>
      <c r="I792" s="11"/>
      <c r="J792" s="11"/>
      <c r="K792" s="12"/>
      <c r="L792" s="11"/>
      <c r="M792" s="11"/>
      <c r="N792" s="11"/>
      <c r="O792" s="11"/>
      <c r="P792" s="8"/>
    </row>
    <row r="793">
      <c r="A793" s="11"/>
      <c r="B793" s="9"/>
      <c r="C793" s="8"/>
      <c r="D793" s="8"/>
      <c r="E793" s="8"/>
      <c r="F793" s="12"/>
      <c r="G793" s="11"/>
      <c r="H793" s="11"/>
      <c r="I793" s="11"/>
      <c r="J793" s="11"/>
      <c r="K793" s="12"/>
      <c r="L793" s="11"/>
      <c r="M793" s="11"/>
      <c r="N793" s="11"/>
      <c r="O793" s="11"/>
      <c r="P793" s="8"/>
    </row>
    <row r="794">
      <c r="A794" s="11"/>
      <c r="B794" s="9"/>
      <c r="C794" s="8"/>
      <c r="D794" s="8"/>
      <c r="E794" s="8"/>
      <c r="F794" s="12"/>
      <c r="G794" s="11"/>
      <c r="H794" s="11"/>
      <c r="I794" s="11"/>
      <c r="J794" s="11"/>
      <c r="K794" s="12"/>
      <c r="L794" s="11"/>
      <c r="M794" s="11"/>
      <c r="N794" s="11"/>
      <c r="O794" s="11"/>
      <c r="P794" s="8"/>
    </row>
    <row r="795">
      <c r="A795" s="11"/>
      <c r="B795" s="9"/>
      <c r="C795" s="8"/>
      <c r="D795" s="8"/>
      <c r="E795" s="8"/>
      <c r="F795" s="12"/>
      <c r="G795" s="11"/>
      <c r="H795" s="11"/>
      <c r="I795" s="11"/>
      <c r="J795" s="11"/>
      <c r="K795" s="12"/>
      <c r="L795" s="11"/>
      <c r="M795" s="11"/>
      <c r="N795" s="11"/>
      <c r="O795" s="11"/>
      <c r="P795" s="8"/>
    </row>
    <row r="796">
      <c r="A796" s="11"/>
      <c r="B796" s="9"/>
      <c r="C796" s="8"/>
      <c r="D796" s="8"/>
      <c r="E796" s="8"/>
      <c r="F796" s="12"/>
      <c r="G796" s="11"/>
      <c r="H796" s="11"/>
      <c r="I796" s="11"/>
      <c r="J796" s="11"/>
      <c r="K796" s="12"/>
      <c r="L796" s="11"/>
      <c r="M796" s="11"/>
      <c r="N796" s="11"/>
      <c r="O796" s="11"/>
      <c r="P796" s="8"/>
    </row>
    <row r="797">
      <c r="A797" s="11"/>
      <c r="B797" s="9"/>
      <c r="C797" s="8"/>
      <c r="D797" s="8"/>
      <c r="E797" s="8"/>
      <c r="F797" s="12"/>
      <c r="G797" s="11"/>
      <c r="H797" s="11"/>
      <c r="I797" s="11"/>
      <c r="J797" s="11"/>
      <c r="K797" s="12"/>
      <c r="L797" s="11"/>
      <c r="M797" s="11"/>
      <c r="N797" s="11"/>
      <c r="O797" s="11"/>
      <c r="P797" s="8"/>
    </row>
    <row r="798">
      <c r="A798" s="11"/>
      <c r="B798" s="9"/>
      <c r="C798" s="8"/>
      <c r="D798" s="8"/>
      <c r="E798" s="8"/>
      <c r="F798" s="12"/>
      <c r="G798" s="11"/>
      <c r="H798" s="11"/>
      <c r="I798" s="11"/>
      <c r="J798" s="11"/>
      <c r="K798" s="12"/>
      <c r="L798" s="11"/>
      <c r="M798" s="11"/>
      <c r="N798" s="11"/>
      <c r="O798" s="11"/>
      <c r="P798" s="8"/>
    </row>
    <row r="799">
      <c r="A799" s="11"/>
      <c r="B799" s="9"/>
      <c r="C799" s="8"/>
      <c r="D799" s="8"/>
      <c r="E799" s="8"/>
      <c r="F799" s="12"/>
      <c r="G799" s="11"/>
      <c r="H799" s="11"/>
      <c r="I799" s="11"/>
      <c r="J799" s="11"/>
      <c r="K799" s="12"/>
      <c r="L799" s="11"/>
      <c r="M799" s="11"/>
      <c r="N799" s="11"/>
      <c r="O799" s="11"/>
      <c r="P799" s="8"/>
    </row>
    <row r="800">
      <c r="A800" s="11"/>
      <c r="B800" s="9"/>
      <c r="C800" s="8"/>
      <c r="D800" s="8"/>
      <c r="E800" s="8"/>
      <c r="F800" s="12"/>
      <c r="G800" s="11"/>
      <c r="H800" s="11"/>
      <c r="I800" s="11"/>
      <c r="J800" s="11"/>
      <c r="K800" s="12"/>
      <c r="L800" s="11"/>
      <c r="M800" s="11"/>
      <c r="N800" s="11"/>
      <c r="O800" s="11"/>
      <c r="P800" s="8"/>
    </row>
    <row r="801">
      <c r="A801" s="11"/>
      <c r="B801" s="9"/>
      <c r="C801" s="8"/>
      <c r="D801" s="8"/>
      <c r="E801" s="8"/>
      <c r="F801" s="12"/>
      <c r="G801" s="11"/>
      <c r="H801" s="11"/>
      <c r="I801" s="11"/>
      <c r="J801" s="11"/>
      <c r="K801" s="12"/>
      <c r="L801" s="11"/>
      <c r="M801" s="11"/>
      <c r="N801" s="11"/>
      <c r="O801" s="11"/>
      <c r="P801" s="8"/>
    </row>
    <row r="802">
      <c r="A802" s="11"/>
      <c r="B802" s="9"/>
      <c r="C802" s="8"/>
      <c r="D802" s="8"/>
      <c r="E802" s="8"/>
      <c r="F802" s="12"/>
      <c r="G802" s="11"/>
      <c r="H802" s="11"/>
      <c r="I802" s="11"/>
      <c r="J802" s="11"/>
      <c r="K802" s="12"/>
      <c r="L802" s="11"/>
      <c r="M802" s="11"/>
      <c r="N802" s="11"/>
      <c r="O802" s="11"/>
      <c r="P802" s="8"/>
    </row>
    <row r="803">
      <c r="A803" s="11"/>
      <c r="B803" s="9"/>
      <c r="C803" s="8"/>
      <c r="D803" s="8"/>
      <c r="E803" s="8"/>
      <c r="F803" s="12"/>
      <c r="G803" s="11"/>
      <c r="H803" s="11"/>
      <c r="I803" s="11"/>
      <c r="J803" s="11"/>
      <c r="K803" s="12"/>
      <c r="L803" s="11"/>
      <c r="M803" s="11"/>
      <c r="N803" s="11"/>
      <c r="O803" s="11"/>
      <c r="P803" s="8"/>
    </row>
    <row r="804">
      <c r="A804" s="11"/>
      <c r="B804" s="9"/>
      <c r="C804" s="8"/>
      <c r="D804" s="8"/>
      <c r="E804" s="8"/>
      <c r="F804" s="12"/>
      <c r="G804" s="11"/>
      <c r="H804" s="11"/>
      <c r="I804" s="11"/>
      <c r="J804" s="11"/>
      <c r="K804" s="12"/>
      <c r="L804" s="11"/>
      <c r="M804" s="11"/>
      <c r="N804" s="11"/>
      <c r="O804" s="11"/>
      <c r="P804" s="8"/>
    </row>
    <row r="805">
      <c r="A805" s="11"/>
      <c r="B805" s="9"/>
      <c r="C805" s="8"/>
      <c r="D805" s="8"/>
      <c r="E805" s="8"/>
      <c r="F805" s="12"/>
      <c r="G805" s="11"/>
      <c r="H805" s="11"/>
      <c r="I805" s="11"/>
      <c r="J805" s="11"/>
      <c r="K805" s="12"/>
      <c r="L805" s="11"/>
      <c r="M805" s="11"/>
      <c r="N805" s="11"/>
      <c r="O805" s="11"/>
      <c r="P805" s="8"/>
    </row>
    <row r="806">
      <c r="A806" s="11"/>
      <c r="B806" s="9"/>
      <c r="C806" s="8"/>
      <c r="D806" s="8"/>
      <c r="E806" s="8"/>
      <c r="F806" s="12"/>
      <c r="G806" s="11"/>
      <c r="H806" s="11"/>
      <c r="I806" s="11"/>
      <c r="J806" s="11"/>
      <c r="K806" s="12"/>
      <c r="L806" s="11"/>
      <c r="M806" s="11"/>
      <c r="N806" s="11"/>
      <c r="O806" s="11"/>
      <c r="P806" s="8"/>
    </row>
    <row r="807">
      <c r="A807" s="11"/>
      <c r="B807" s="9"/>
      <c r="C807" s="8"/>
      <c r="D807" s="8"/>
      <c r="E807" s="8"/>
      <c r="F807" s="12"/>
      <c r="G807" s="11"/>
      <c r="H807" s="11"/>
      <c r="I807" s="11"/>
      <c r="J807" s="11"/>
      <c r="K807" s="12"/>
      <c r="L807" s="11"/>
      <c r="M807" s="11"/>
      <c r="N807" s="11"/>
      <c r="O807" s="11"/>
      <c r="P807" s="8"/>
    </row>
    <row r="808">
      <c r="A808" s="11"/>
      <c r="B808" s="9"/>
      <c r="C808" s="8"/>
      <c r="D808" s="8"/>
      <c r="E808" s="8"/>
      <c r="F808" s="12"/>
      <c r="G808" s="11"/>
      <c r="H808" s="11"/>
      <c r="I808" s="11"/>
      <c r="J808" s="11"/>
      <c r="K808" s="12"/>
      <c r="L808" s="11"/>
      <c r="M808" s="11"/>
      <c r="N808" s="11"/>
      <c r="O808" s="11"/>
      <c r="P808" s="8"/>
    </row>
    <row r="809">
      <c r="A809" s="11"/>
      <c r="B809" s="9"/>
      <c r="C809" s="8"/>
      <c r="D809" s="8"/>
      <c r="E809" s="8"/>
      <c r="F809" s="12"/>
      <c r="G809" s="11"/>
      <c r="H809" s="11"/>
      <c r="I809" s="11"/>
      <c r="J809" s="11"/>
      <c r="K809" s="12"/>
      <c r="L809" s="11"/>
      <c r="M809" s="11"/>
      <c r="N809" s="11"/>
      <c r="O809" s="11"/>
      <c r="P809" s="8"/>
    </row>
    <row r="810">
      <c r="A810" s="11"/>
      <c r="B810" s="9"/>
      <c r="C810" s="8"/>
      <c r="D810" s="8"/>
      <c r="E810" s="8"/>
      <c r="F810" s="12"/>
      <c r="G810" s="11"/>
      <c r="H810" s="11"/>
      <c r="I810" s="11"/>
      <c r="J810" s="11"/>
      <c r="K810" s="12"/>
      <c r="L810" s="11"/>
      <c r="M810" s="11"/>
      <c r="N810" s="11"/>
      <c r="O810" s="11"/>
      <c r="P810" s="8"/>
    </row>
    <row r="811">
      <c r="A811" s="11"/>
      <c r="B811" s="9"/>
      <c r="C811" s="8"/>
      <c r="D811" s="8"/>
      <c r="E811" s="8"/>
      <c r="F811" s="12"/>
      <c r="G811" s="11"/>
      <c r="H811" s="11"/>
      <c r="I811" s="11"/>
      <c r="J811" s="11"/>
      <c r="K811" s="12"/>
      <c r="L811" s="11"/>
      <c r="M811" s="11"/>
      <c r="N811" s="11"/>
      <c r="O811" s="11"/>
      <c r="P811" s="8"/>
    </row>
    <row r="812">
      <c r="A812" s="11"/>
      <c r="B812" s="9"/>
      <c r="C812" s="8"/>
      <c r="D812" s="8"/>
      <c r="E812" s="8"/>
      <c r="F812" s="12"/>
      <c r="G812" s="11"/>
      <c r="H812" s="11"/>
      <c r="I812" s="11"/>
      <c r="J812" s="11"/>
      <c r="K812" s="12"/>
      <c r="L812" s="11"/>
      <c r="M812" s="11"/>
      <c r="N812" s="11"/>
      <c r="O812" s="11"/>
      <c r="P812" s="8"/>
    </row>
    <row r="813">
      <c r="A813" s="11"/>
      <c r="B813" s="9"/>
      <c r="C813" s="8"/>
      <c r="D813" s="8"/>
      <c r="E813" s="8"/>
      <c r="F813" s="12"/>
      <c r="G813" s="11"/>
      <c r="H813" s="11"/>
      <c r="I813" s="11"/>
      <c r="J813" s="11"/>
      <c r="K813" s="12"/>
      <c r="L813" s="11"/>
      <c r="M813" s="11"/>
      <c r="N813" s="11"/>
      <c r="O813" s="11"/>
      <c r="P813" s="8"/>
    </row>
    <row r="814">
      <c r="A814" s="11"/>
      <c r="B814" s="9"/>
      <c r="C814" s="8"/>
      <c r="D814" s="8"/>
      <c r="E814" s="8"/>
      <c r="F814" s="12"/>
      <c r="G814" s="11"/>
      <c r="H814" s="11"/>
      <c r="I814" s="11"/>
      <c r="J814" s="11"/>
      <c r="K814" s="12"/>
      <c r="L814" s="11"/>
      <c r="M814" s="11"/>
      <c r="N814" s="11"/>
      <c r="O814" s="11"/>
      <c r="P814" s="8"/>
    </row>
    <row r="815">
      <c r="A815" s="11"/>
      <c r="B815" s="9"/>
      <c r="C815" s="8"/>
      <c r="D815" s="8"/>
      <c r="E815" s="8"/>
      <c r="F815" s="12"/>
      <c r="G815" s="11"/>
      <c r="H815" s="11"/>
      <c r="I815" s="11"/>
      <c r="J815" s="11"/>
      <c r="K815" s="12"/>
      <c r="L815" s="11"/>
      <c r="M815" s="11"/>
      <c r="N815" s="11"/>
      <c r="O815" s="11"/>
      <c r="P815" s="8"/>
    </row>
    <row r="816">
      <c r="A816" s="11"/>
      <c r="B816" s="9"/>
      <c r="C816" s="8"/>
      <c r="D816" s="8"/>
      <c r="E816" s="8"/>
      <c r="F816" s="12"/>
      <c r="G816" s="11"/>
      <c r="H816" s="11"/>
      <c r="I816" s="11"/>
      <c r="J816" s="11"/>
      <c r="K816" s="12"/>
      <c r="L816" s="11"/>
      <c r="M816" s="11"/>
      <c r="N816" s="11"/>
      <c r="O816" s="11"/>
      <c r="P816" s="8"/>
    </row>
    <row r="817">
      <c r="A817" s="11"/>
      <c r="B817" s="9"/>
      <c r="C817" s="8"/>
      <c r="D817" s="8"/>
      <c r="E817" s="8"/>
      <c r="F817" s="12"/>
      <c r="G817" s="11"/>
      <c r="H817" s="11"/>
      <c r="I817" s="11"/>
      <c r="J817" s="11"/>
      <c r="K817" s="12"/>
      <c r="L817" s="11"/>
      <c r="M817" s="11"/>
      <c r="N817" s="11"/>
      <c r="O817" s="11"/>
      <c r="P817" s="8"/>
    </row>
    <row r="818">
      <c r="A818" s="11"/>
      <c r="B818" s="9"/>
      <c r="C818" s="8"/>
      <c r="D818" s="8"/>
      <c r="E818" s="8"/>
      <c r="F818" s="12"/>
      <c r="G818" s="11"/>
      <c r="H818" s="11"/>
      <c r="I818" s="11"/>
      <c r="J818" s="11"/>
      <c r="K818" s="12"/>
      <c r="L818" s="11"/>
      <c r="M818" s="11"/>
      <c r="N818" s="11"/>
      <c r="O818" s="11"/>
      <c r="P818" s="8"/>
    </row>
    <row r="819">
      <c r="A819" s="11"/>
      <c r="B819" s="9"/>
      <c r="C819" s="8"/>
      <c r="D819" s="8"/>
      <c r="E819" s="8"/>
      <c r="F819" s="12"/>
      <c r="G819" s="11"/>
      <c r="H819" s="11"/>
      <c r="I819" s="11"/>
      <c r="J819" s="11"/>
      <c r="K819" s="12"/>
      <c r="L819" s="11"/>
      <c r="M819" s="11"/>
      <c r="N819" s="11"/>
      <c r="O819" s="11"/>
      <c r="P819" s="8"/>
    </row>
    <row r="820">
      <c r="A820" s="11"/>
      <c r="B820" s="9"/>
      <c r="C820" s="8"/>
      <c r="D820" s="8"/>
      <c r="E820" s="8"/>
      <c r="F820" s="12"/>
      <c r="G820" s="11"/>
      <c r="H820" s="11"/>
      <c r="I820" s="11"/>
      <c r="J820" s="11"/>
      <c r="K820" s="12"/>
      <c r="L820" s="11"/>
      <c r="M820" s="11"/>
      <c r="N820" s="11"/>
      <c r="O820" s="11"/>
      <c r="P820" s="8"/>
    </row>
    <row r="821">
      <c r="A821" s="11"/>
      <c r="B821" s="9"/>
      <c r="C821" s="8"/>
      <c r="D821" s="8"/>
      <c r="E821" s="8"/>
      <c r="F821" s="12"/>
      <c r="G821" s="11"/>
      <c r="H821" s="11"/>
      <c r="I821" s="11"/>
      <c r="J821" s="11"/>
      <c r="K821" s="12"/>
      <c r="L821" s="11"/>
      <c r="M821" s="11"/>
      <c r="N821" s="11"/>
      <c r="O821" s="11"/>
      <c r="P821" s="8"/>
    </row>
    <row r="822">
      <c r="A822" s="11"/>
      <c r="B822" s="9"/>
      <c r="C822" s="8"/>
      <c r="D822" s="8"/>
      <c r="E822" s="8"/>
      <c r="F822" s="12"/>
      <c r="G822" s="11"/>
      <c r="H822" s="11"/>
      <c r="I822" s="11"/>
      <c r="J822" s="11"/>
      <c r="K822" s="12"/>
      <c r="L822" s="11"/>
      <c r="M822" s="11"/>
      <c r="N822" s="11"/>
      <c r="O822" s="11"/>
      <c r="P822" s="8"/>
    </row>
    <row r="823">
      <c r="A823" s="11"/>
      <c r="B823" s="9"/>
      <c r="C823" s="8"/>
      <c r="D823" s="8"/>
      <c r="E823" s="8"/>
      <c r="F823" s="12"/>
      <c r="G823" s="11"/>
      <c r="H823" s="11"/>
      <c r="I823" s="11"/>
      <c r="J823" s="11"/>
      <c r="K823" s="12"/>
      <c r="L823" s="11"/>
      <c r="M823" s="11"/>
      <c r="N823" s="11"/>
      <c r="O823" s="11"/>
      <c r="P823" s="8"/>
    </row>
    <row r="824">
      <c r="A824" s="11"/>
      <c r="B824" s="9"/>
      <c r="C824" s="8"/>
      <c r="D824" s="8"/>
      <c r="E824" s="8"/>
      <c r="F824" s="12"/>
      <c r="G824" s="11"/>
      <c r="H824" s="11"/>
      <c r="I824" s="11"/>
      <c r="J824" s="11"/>
      <c r="K824" s="12"/>
      <c r="L824" s="11"/>
      <c r="M824" s="11"/>
      <c r="N824" s="11"/>
      <c r="O824" s="11"/>
      <c r="P824" s="8"/>
    </row>
    <row r="825">
      <c r="A825" s="11"/>
      <c r="B825" s="9"/>
      <c r="C825" s="8"/>
      <c r="D825" s="8"/>
      <c r="E825" s="8"/>
      <c r="F825" s="12"/>
      <c r="G825" s="11"/>
      <c r="H825" s="11"/>
      <c r="I825" s="11"/>
      <c r="J825" s="11"/>
      <c r="K825" s="12"/>
      <c r="L825" s="11"/>
      <c r="M825" s="11"/>
      <c r="N825" s="11"/>
      <c r="O825" s="11"/>
      <c r="P825" s="8"/>
    </row>
    <row r="826">
      <c r="A826" s="11"/>
      <c r="B826" s="9"/>
      <c r="C826" s="8"/>
      <c r="D826" s="8"/>
      <c r="E826" s="8"/>
      <c r="F826" s="12"/>
      <c r="G826" s="11"/>
      <c r="H826" s="11"/>
      <c r="I826" s="11"/>
      <c r="J826" s="11"/>
      <c r="K826" s="12"/>
      <c r="L826" s="11"/>
      <c r="M826" s="11"/>
      <c r="N826" s="11"/>
      <c r="O826" s="11"/>
      <c r="P826" s="8"/>
    </row>
    <row r="827">
      <c r="A827" s="11"/>
      <c r="B827" s="9"/>
      <c r="C827" s="8"/>
      <c r="D827" s="8"/>
      <c r="E827" s="8"/>
      <c r="F827" s="12"/>
      <c r="G827" s="11"/>
      <c r="H827" s="11"/>
      <c r="I827" s="11"/>
      <c r="J827" s="11"/>
      <c r="K827" s="12"/>
      <c r="L827" s="11"/>
      <c r="M827" s="11"/>
      <c r="N827" s="11"/>
      <c r="O827" s="11"/>
      <c r="P827" s="8"/>
    </row>
    <row r="828">
      <c r="A828" s="11"/>
      <c r="B828" s="9"/>
      <c r="C828" s="8"/>
      <c r="D828" s="8"/>
      <c r="E828" s="8"/>
      <c r="F828" s="12"/>
      <c r="G828" s="11"/>
      <c r="H828" s="11"/>
      <c r="I828" s="11"/>
      <c r="J828" s="11"/>
      <c r="K828" s="12"/>
      <c r="L828" s="11"/>
      <c r="M828" s="11"/>
      <c r="N828" s="11"/>
      <c r="O828" s="11"/>
      <c r="P828" s="8"/>
    </row>
    <row r="829">
      <c r="A829" s="11"/>
      <c r="B829" s="9"/>
      <c r="C829" s="8"/>
      <c r="D829" s="8"/>
      <c r="E829" s="8"/>
      <c r="F829" s="12"/>
      <c r="G829" s="11"/>
      <c r="H829" s="11"/>
      <c r="I829" s="11"/>
      <c r="J829" s="11"/>
      <c r="K829" s="12"/>
      <c r="L829" s="11"/>
      <c r="M829" s="11"/>
      <c r="N829" s="11"/>
      <c r="O829" s="11"/>
      <c r="P829" s="8"/>
    </row>
    <row r="830">
      <c r="A830" s="11"/>
      <c r="B830" s="9"/>
      <c r="C830" s="8"/>
      <c r="D830" s="8"/>
      <c r="E830" s="8"/>
      <c r="F830" s="12"/>
      <c r="G830" s="11"/>
      <c r="H830" s="11"/>
      <c r="I830" s="11"/>
      <c r="J830" s="11"/>
      <c r="K830" s="12"/>
      <c r="L830" s="11"/>
      <c r="M830" s="11"/>
      <c r="N830" s="11"/>
      <c r="O830" s="11"/>
      <c r="P830" s="8"/>
    </row>
    <row r="831">
      <c r="A831" s="11"/>
      <c r="B831" s="9"/>
      <c r="C831" s="8"/>
      <c r="D831" s="8"/>
      <c r="E831" s="8"/>
      <c r="F831" s="12"/>
      <c r="G831" s="11"/>
      <c r="H831" s="11"/>
      <c r="I831" s="11"/>
      <c r="J831" s="11"/>
      <c r="K831" s="12"/>
      <c r="L831" s="11"/>
      <c r="M831" s="11"/>
      <c r="N831" s="11"/>
      <c r="O831" s="11"/>
      <c r="P831" s="8"/>
    </row>
    <row r="832">
      <c r="A832" s="11"/>
      <c r="B832" s="9"/>
      <c r="C832" s="8"/>
      <c r="D832" s="8"/>
      <c r="E832" s="8"/>
      <c r="F832" s="12"/>
      <c r="G832" s="11"/>
      <c r="H832" s="11"/>
      <c r="I832" s="11"/>
      <c r="J832" s="11"/>
      <c r="K832" s="12"/>
      <c r="L832" s="11"/>
      <c r="M832" s="11"/>
      <c r="N832" s="11"/>
      <c r="O832" s="11"/>
      <c r="P832" s="8"/>
    </row>
    <row r="833">
      <c r="A833" s="11"/>
      <c r="B833" s="9"/>
      <c r="C833" s="8"/>
      <c r="D833" s="8"/>
      <c r="E833" s="8"/>
      <c r="F833" s="12"/>
      <c r="G833" s="11"/>
      <c r="H833" s="11"/>
      <c r="I833" s="11"/>
      <c r="J833" s="11"/>
      <c r="K833" s="12"/>
      <c r="L833" s="11"/>
      <c r="M833" s="11"/>
      <c r="N833" s="11"/>
      <c r="O833" s="11"/>
      <c r="P833" s="8"/>
    </row>
    <row r="834">
      <c r="A834" s="11"/>
      <c r="B834" s="9"/>
      <c r="C834" s="8"/>
      <c r="D834" s="8"/>
      <c r="E834" s="8"/>
      <c r="F834" s="12"/>
      <c r="G834" s="11"/>
      <c r="H834" s="11"/>
      <c r="I834" s="11"/>
      <c r="J834" s="11"/>
      <c r="K834" s="12"/>
      <c r="L834" s="11"/>
      <c r="M834" s="11"/>
      <c r="N834" s="11"/>
      <c r="O834" s="11"/>
      <c r="P834" s="8"/>
    </row>
    <row r="835">
      <c r="A835" s="11"/>
      <c r="B835" s="9"/>
      <c r="C835" s="8"/>
      <c r="D835" s="8"/>
      <c r="E835" s="8"/>
      <c r="F835" s="12"/>
      <c r="G835" s="11"/>
      <c r="H835" s="11"/>
      <c r="I835" s="11"/>
      <c r="J835" s="11"/>
      <c r="K835" s="12"/>
      <c r="L835" s="11"/>
      <c r="M835" s="11"/>
      <c r="N835" s="11"/>
      <c r="O835" s="11"/>
      <c r="P835" s="8"/>
    </row>
    <row r="836">
      <c r="A836" s="11"/>
      <c r="B836" s="9"/>
      <c r="C836" s="8"/>
      <c r="D836" s="8"/>
      <c r="E836" s="8"/>
      <c r="F836" s="12"/>
      <c r="G836" s="11"/>
      <c r="H836" s="11"/>
      <c r="I836" s="11"/>
      <c r="J836" s="11"/>
      <c r="K836" s="12"/>
      <c r="L836" s="11"/>
      <c r="M836" s="11"/>
      <c r="N836" s="11"/>
      <c r="O836" s="11"/>
      <c r="P836" s="8"/>
    </row>
    <row r="837">
      <c r="A837" s="11"/>
      <c r="B837" s="9"/>
      <c r="C837" s="8"/>
      <c r="D837" s="8"/>
      <c r="E837" s="8"/>
      <c r="F837" s="12"/>
      <c r="G837" s="11"/>
      <c r="H837" s="11"/>
      <c r="I837" s="11"/>
      <c r="J837" s="11"/>
      <c r="K837" s="12"/>
      <c r="L837" s="11"/>
      <c r="M837" s="11"/>
      <c r="N837" s="11"/>
      <c r="O837" s="11"/>
      <c r="P837" s="8"/>
    </row>
    <row r="838">
      <c r="A838" s="11"/>
      <c r="B838" s="9"/>
      <c r="C838" s="8"/>
      <c r="D838" s="8"/>
      <c r="E838" s="8"/>
      <c r="F838" s="12"/>
      <c r="G838" s="11"/>
      <c r="H838" s="11"/>
      <c r="I838" s="11"/>
      <c r="J838" s="11"/>
      <c r="K838" s="12"/>
      <c r="L838" s="11"/>
      <c r="M838" s="11"/>
      <c r="N838" s="11"/>
      <c r="O838" s="11"/>
      <c r="P838" s="8"/>
    </row>
    <row r="839">
      <c r="A839" s="11"/>
      <c r="B839" s="9"/>
      <c r="C839" s="8"/>
      <c r="D839" s="8"/>
      <c r="E839" s="8"/>
      <c r="F839" s="12"/>
      <c r="G839" s="11"/>
      <c r="H839" s="11"/>
      <c r="I839" s="11"/>
      <c r="J839" s="11"/>
      <c r="K839" s="12"/>
      <c r="L839" s="11"/>
      <c r="M839" s="11"/>
      <c r="N839" s="11"/>
      <c r="O839" s="11"/>
      <c r="P839" s="8"/>
    </row>
    <row r="840">
      <c r="A840" s="11"/>
      <c r="B840" s="9"/>
      <c r="C840" s="8"/>
      <c r="D840" s="8"/>
      <c r="E840" s="8"/>
      <c r="F840" s="12"/>
      <c r="G840" s="11"/>
      <c r="H840" s="11"/>
      <c r="I840" s="11"/>
      <c r="J840" s="11"/>
      <c r="K840" s="12"/>
      <c r="L840" s="11"/>
      <c r="M840" s="11"/>
      <c r="N840" s="11"/>
      <c r="O840" s="11"/>
      <c r="P840" s="8"/>
    </row>
    <row r="841">
      <c r="A841" s="11"/>
      <c r="B841" s="9"/>
      <c r="C841" s="8"/>
      <c r="D841" s="8"/>
      <c r="E841" s="8"/>
      <c r="F841" s="12"/>
      <c r="G841" s="11"/>
      <c r="H841" s="11"/>
      <c r="I841" s="11"/>
      <c r="J841" s="11"/>
      <c r="K841" s="12"/>
      <c r="L841" s="11"/>
      <c r="M841" s="11"/>
      <c r="N841" s="11"/>
      <c r="O841" s="11"/>
      <c r="P841" s="8"/>
    </row>
    <row r="842">
      <c r="A842" s="11"/>
      <c r="B842" s="9"/>
      <c r="C842" s="8"/>
      <c r="D842" s="8"/>
      <c r="E842" s="8"/>
      <c r="F842" s="12"/>
      <c r="G842" s="11"/>
      <c r="H842" s="11"/>
      <c r="I842" s="11"/>
      <c r="J842" s="11"/>
      <c r="K842" s="12"/>
      <c r="L842" s="11"/>
      <c r="M842" s="11"/>
      <c r="N842" s="11"/>
      <c r="O842" s="11"/>
      <c r="P842" s="8"/>
    </row>
    <row r="843">
      <c r="A843" s="11"/>
      <c r="B843" s="9"/>
      <c r="C843" s="8"/>
      <c r="D843" s="8"/>
      <c r="E843" s="8"/>
      <c r="F843" s="12"/>
      <c r="G843" s="11"/>
      <c r="H843" s="11"/>
      <c r="I843" s="11"/>
      <c r="J843" s="11"/>
      <c r="K843" s="12"/>
      <c r="L843" s="11"/>
      <c r="M843" s="11"/>
      <c r="N843" s="11"/>
      <c r="O843" s="11"/>
      <c r="P843" s="8"/>
    </row>
    <row r="844">
      <c r="A844" s="11"/>
      <c r="B844" s="9"/>
      <c r="C844" s="8"/>
      <c r="D844" s="8"/>
      <c r="E844" s="8"/>
      <c r="F844" s="12"/>
      <c r="G844" s="11"/>
      <c r="H844" s="11"/>
      <c r="I844" s="11"/>
      <c r="J844" s="11"/>
      <c r="K844" s="12"/>
      <c r="L844" s="11"/>
      <c r="M844" s="11"/>
      <c r="N844" s="11"/>
      <c r="O844" s="11"/>
      <c r="P844" s="8"/>
    </row>
    <row r="845">
      <c r="A845" s="11"/>
      <c r="B845" s="9"/>
      <c r="C845" s="8"/>
      <c r="D845" s="8"/>
      <c r="E845" s="8"/>
      <c r="F845" s="12"/>
      <c r="G845" s="11"/>
      <c r="H845" s="11"/>
      <c r="I845" s="11"/>
      <c r="J845" s="11"/>
      <c r="K845" s="12"/>
      <c r="L845" s="11"/>
      <c r="M845" s="11"/>
      <c r="N845" s="11"/>
      <c r="O845" s="11"/>
      <c r="P845" s="8"/>
    </row>
    <row r="846">
      <c r="A846" s="11"/>
      <c r="B846" s="9"/>
      <c r="C846" s="8"/>
      <c r="D846" s="8"/>
      <c r="E846" s="8"/>
      <c r="F846" s="12"/>
      <c r="G846" s="11"/>
      <c r="H846" s="11"/>
      <c r="I846" s="11"/>
      <c r="J846" s="11"/>
      <c r="K846" s="12"/>
      <c r="L846" s="11"/>
      <c r="M846" s="11"/>
      <c r="N846" s="11"/>
      <c r="O846" s="11"/>
      <c r="P846" s="8"/>
    </row>
    <row r="847">
      <c r="A847" s="11"/>
      <c r="B847" s="9"/>
      <c r="C847" s="8"/>
      <c r="D847" s="8"/>
      <c r="E847" s="8"/>
      <c r="F847" s="12"/>
      <c r="G847" s="11"/>
      <c r="H847" s="11"/>
      <c r="I847" s="11"/>
      <c r="J847" s="11"/>
      <c r="K847" s="12"/>
      <c r="L847" s="11"/>
      <c r="M847" s="11"/>
      <c r="N847" s="11"/>
      <c r="O847" s="11"/>
      <c r="P847" s="8"/>
    </row>
    <row r="848">
      <c r="A848" s="11"/>
      <c r="B848" s="9"/>
      <c r="C848" s="8"/>
      <c r="D848" s="8"/>
      <c r="E848" s="8"/>
      <c r="F848" s="12"/>
      <c r="G848" s="11"/>
      <c r="H848" s="11"/>
      <c r="I848" s="11"/>
      <c r="J848" s="11"/>
      <c r="K848" s="12"/>
      <c r="L848" s="11"/>
      <c r="M848" s="11"/>
      <c r="N848" s="11"/>
      <c r="O848" s="11"/>
      <c r="P848" s="8"/>
    </row>
    <row r="849">
      <c r="A849" s="11"/>
      <c r="B849" s="9"/>
      <c r="C849" s="8"/>
      <c r="D849" s="8"/>
      <c r="E849" s="8"/>
      <c r="F849" s="12"/>
      <c r="G849" s="11"/>
      <c r="H849" s="11"/>
      <c r="I849" s="11"/>
      <c r="J849" s="11"/>
      <c r="K849" s="12"/>
      <c r="L849" s="11"/>
      <c r="M849" s="11"/>
      <c r="N849" s="11"/>
      <c r="O849" s="11"/>
      <c r="P849" s="8"/>
    </row>
    <row r="850">
      <c r="A850" s="11"/>
      <c r="B850" s="9"/>
      <c r="C850" s="8"/>
      <c r="D850" s="8"/>
      <c r="E850" s="8"/>
      <c r="F850" s="12"/>
      <c r="G850" s="11"/>
      <c r="H850" s="11"/>
      <c r="I850" s="11"/>
      <c r="J850" s="11"/>
      <c r="K850" s="12"/>
      <c r="L850" s="11"/>
      <c r="M850" s="11"/>
      <c r="N850" s="11"/>
      <c r="O850" s="11"/>
      <c r="P850" s="8"/>
    </row>
    <row r="851">
      <c r="A851" s="11"/>
      <c r="B851" s="9"/>
      <c r="C851" s="8"/>
      <c r="D851" s="8"/>
      <c r="E851" s="8"/>
      <c r="F851" s="12"/>
      <c r="G851" s="11"/>
      <c r="H851" s="11"/>
      <c r="I851" s="11"/>
      <c r="J851" s="11"/>
      <c r="K851" s="12"/>
      <c r="L851" s="11"/>
      <c r="M851" s="11"/>
      <c r="N851" s="11"/>
      <c r="O851" s="11"/>
      <c r="P851" s="8"/>
    </row>
    <row r="852">
      <c r="A852" s="11"/>
      <c r="B852" s="9"/>
      <c r="C852" s="8"/>
      <c r="D852" s="8"/>
      <c r="E852" s="8"/>
      <c r="F852" s="12"/>
      <c r="G852" s="11"/>
      <c r="H852" s="11"/>
      <c r="I852" s="11"/>
      <c r="J852" s="11"/>
      <c r="K852" s="12"/>
      <c r="L852" s="11"/>
      <c r="M852" s="11"/>
      <c r="N852" s="11"/>
      <c r="O852" s="11"/>
      <c r="P852" s="8"/>
    </row>
    <row r="853">
      <c r="A853" s="11"/>
      <c r="B853" s="9"/>
      <c r="C853" s="8"/>
      <c r="D853" s="8"/>
      <c r="E853" s="8"/>
      <c r="F853" s="12"/>
      <c r="G853" s="11"/>
      <c r="H853" s="11"/>
      <c r="I853" s="11"/>
      <c r="J853" s="11"/>
      <c r="K853" s="12"/>
      <c r="L853" s="11"/>
      <c r="M853" s="11"/>
      <c r="N853" s="11"/>
      <c r="O853" s="11"/>
      <c r="P853" s="8"/>
    </row>
    <row r="854">
      <c r="A854" s="11"/>
      <c r="B854" s="9"/>
      <c r="C854" s="8"/>
      <c r="D854" s="8"/>
      <c r="E854" s="8"/>
      <c r="F854" s="12"/>
      <c r="G854" s="11"/>
      <c r="H854" s="11"/>
      <c r="I854" s="11"/>
      <c r="J854" s="11"/>
      <c r="K854" s="12"/>
      <c r="L854" s="11"/>
      <c r="M854" s="11"/>
      <c r="N854" s="11"/>
      <c r="O854" s="11"/>
      <c r="P854" s="8"/>
    </row>
    <row r="855">
      <c r="A855" s="11"/>
      <c r="B855" s="9"/>
      <c r="C855" s="8"/>
      <c r="D855" s="8"/>
      <c r="E855" s="8"/>
      <c r="F855" s="12"/>
      <c r="G855" s="11"/>
      <c r="H855" s="11"/>
      <c r="I855" s="11"/>
      <c r="J855" s="11"/>
      <c r="K855" s="12"/>
      <c r="L855" s="11"/>
      <c r="M855" s="11"/>
      <c r="N855" s="11"/>
      <c r="O855" s="11"/>
      <c r="P855" s="8"/>
    </row>
    <row r="856">
      <c r="A856" s="11"/>
      <c r="B856" s="9"/>
      <c r="C856" s="8"/>
      <c r="D856" s="8"/>
      <c r="E856" s="8"/>
      <c r="F856" s="12"/>
      <c r="G856" s="11"/>
      <c r="H856" s="11"/>
      <c r="I856" s="11"/>
      <c r="J856" s="11"/>
      <c r="K856" s="12"/>
      <c r="L856" s="11"/>
      <c r="M856" s="11"/>
      <c r="N856" s="11"/>
      <c r="O856" s="11"/>
      <c r="P856" s="8"/>
    </row>
    <row r="857">
      <c r="A857" s="11"/>
      <c r="B857" s="9"/>
      <c r="C857" s="8"/>
      <c r="D857" s="8"/>
      <c r="E857" s="8"/>
      <c r="F857" s="12"/>
      <c r="G857" s="11"/>
      <c r="H857" s="11"/>
      <c r="I857" s="11"/>
      <c r="J857" s="11"/>
      <c r="K857" s="12"/>
      <c r="L857" s="11"/>
      <c r="M857" s="11"/>
      <c r="N857" s="11"/>
      <c r="O857" s="11"/>
      <c r="P857" s="8"/>
    </row>
    <row r="858">
      <c r="A858" s="11"/>
      <c r="B858" s="9"/>
      <c r="C858" s="8"/>
      <c r="D858" s="8"/>
      <c r="E858" s="8"/>
      <c r="F858" s="12"/>
      <c r="G858" s="11"/>
      <c r="H858" s="11"/>
      <c r="I858" s="11"/>
      <c r="J858" s="11"/>
      <c r="K858" s="12"/>
      <c r="L858" s="11"/>
      <c r="M858" s="11"/>
      <c r="N858" s="11"/>
      <c r="O858" s="11"/>
      <c r="P858" s="8"/>
    </row>
    <row r="859">
      <c r="A859" s="11"/>
      <c r="B859" s="9"/>
      <c r="C859" s="8"/>
      <c r="D859" s="8"/>
      <c r="E859" s="8"/>
      <c r="F859" s="12"/>
      <c r="G859" s="11"/>
      <c r="H859" s="11"/>
      <c r="I859" s="11"/>
      <c r="J859" s="11"/>
      <c r="K859" s="12"/>
      <c r="L859" s="11"/>
      <c r="M859" s="11"/>
      <c r="N859" s="11"/>
      <c r="O859" s="11"/>
      <c r="P859" s="8"/>
    </row>
    <row r="860">
      <c r="A860" s="11"/>
      <c r="B860" s="9"/>
      <c r="C860" s="8"/>
      <c r="D860" s="8"/>
      <c r="E860" s="8"/>
      <c r="F860" s="12"/>
      <c r="G860" s="11"/>
      <c r="H860" s="11"/>
      <c r="I860" s="11"/>
      <c r="J860" s="11"/>
      <c r="K860" s="12"/>
      <c r="L860" s="11"/>
      <c r="M860" s="11"/>
      <c r="N860" s="11"/>
      <c r="O860" s="11"/>
      <c r="P860" s="8"/>
    </row>
    <row r="861">
      <c r="A861" s="11"/>
      <c r="B861" s="9"/>
      <c r="C861" s="8"/>
      <c r="D861" s="8"/>
      <c r="E861" s="8"/>
      <c r="F861" s="12"/>
      <c r="G861" s="11"/>
      <c r="H861" s="11"/>
      <c r="I861" s="11"/>
      <c r="J861" s="11"/>
      <c r="K861" s="12"/>
      <c r="L861" s="11"/>
      <c r="M861" s="11"/>
      <c r="N861" s="11"/>
      <c r="O861" s="11"/>
      <c r="P861" s="8"/>
    </row>
    <row r="862">
      <c r="A862" s="11"/>
      <c r="B862" s="9"/>
      <c r="C862" s="8"/>
      <c r="D862" s="8"/>
      <c r="E862" s="8"/>
      <c r="F862" s="12"/>
      <c r="G862" s="11"/>
      <c r="H862" s="11"/>
      <c r="I862" s="11"/>
      <c r="J862" s="11"/>
      <c r="K862" s="12"/>
      <c r="L862" s="11"/>
      <c r="M862" s="11"/>
      <c r="N862" s="11"/>
      <c r="O862" s="11"/>
      <c r="P862" s="8"/>
    </row>
    <row r="863">
      <c r="A863" s="11"/>
      <c r="B863" s="9"/>
      <c r="C863" s="8"/>
      <c r="D863" s="8"/>
      <c r="E863" s="8"/>
      <c r="F863" s="12"/>
      <c r="G863" s="11"/>
      <c r="H863" s="11"/>
      <c r="I863" s="11"/>
      <c r="J863" s="11"/>
      <c r="K863" s="12"/>
      <c r="L863" s="11"/>
      <c r="M863" s="11"/>
      <c r="N863" s="11"/>
      <c r="O863" s="11"/>
      <c r="P863" s="8"/>
    </row>
    <row r="864">
      <c r="A864" s="11"/>
      <c r="B864" s="9"/>
      <c r="C864" s="8"/>
      <c r="D864" s="8"/>
      <c r="E864" s="8"/>
      <c r="F864" s="12"/>
      <c r="G864" s="11"/>
      <c r="H864" s="11"/>
      <c r="I864" s="11"/>
      <c r="J864" s="11"/>
      <c r="K864" s="12"/>
      <c r="L864" s="11"/>
      <c r="M864" s="11"/>
      <c r="N864" s="11"/>
      <c r="O864" s="11"/>
      <c r="P864" s="8"/>
    </row>
    <row r="865">
      <c r="A865" s="11"/>
      <c r="B865" s="9"/>
      <c r="C865" s="8"/>
      <c r="D865" s="8"/>
      <c r="E865" s="8"/>
      <c r="F865" s="12"/>
      <c r="G865" s="11"/>
      <c r="H865" s="11"/>
      <c r="I865" s="11"/>
      <c r="J865" s="11"/>
      <c r="K865" s="12"/>
      <c r="L865" s="11"/>
      <c r="M865" s="11"/>
      <c r="N865" s="11"/>
      <c r="O865" s="11"/>
      <c r="P865" s="8"/>
    </row>
    <row r="866">
      <c r="A866" s="11"/>
      <c r="B866" s="9"/>
      <c r="C866" s="8"/>
      <c r="D866" s="8"/>
      <c r="E866" s="8"/>
      <c r="F866" s="12"/>
      <c r="G866" s="11"/>
      <c r="H866" s="11"/>
      <c r="I866" s="11"/>
      <c r="J866" s="11"/>
      <c r="K866" s="12"/>
      <c r="L866" s="11"/>
      <c r="M866" s="11"/>
      <c r="N866" s="11"/>
      <c r="O866" s="11"/>
      <c r="P866" s="8"/>
    </row>
    <row r="867">
      <c r="A867" s="11"/>
      <c r="B867" s="9"/>
      <c r="C867" s="8"/>
      <c r="D867" s="8"/>
      <c r="E867" s="8"/>
      <c r="F867" s="12"/>
      <c r="G867" s="11"/>
      <c r="H867" s="11"/>
      <c r="I867" s="11"/>
      <c r="J867" s="11"/>
      <c r="K867" s="12"/>
      <c r="L867" s="11"/>
      <c r="M867" s="11"/>
      <c r="N867" s="11"/>
      <c r="O867" s="11"/>
      <c r="P867" s="8"/>
    </row>
    <row r="868">
      <c r="A868" s="11"/>
      <c r="B868" s="9"/>
      <c r="C868" s="8"/>
      <c r="D868" s="8"/>
      <c r="E868" s="8"/>
      <c r="F868" s="12"/>
      <c r="G868" s="11"/>
      <c r="H868" s="11"/>
      <c r="I868" s="11"/>
      <c r="J868" s="11"/>
      <c r="K868" s="12"/>
      <c r="L868" s="11"/>
      <c r="M868" s="11"/>
      <c r="N868" s="11"/>
      <c r="O868" s="11"/>
      <c r="P868" s="8"/>
    </row>
    <row r="869">
      <c r="A869" s="11"/>
      <c r="B869" s="9"/>
      <c r="C869" s="8"/>
      <c r="D869" s="8"/>
      <c r="E869" s="8"/>
      <c r="F869" s="12"/>
      <c r="G869" s="11"/>
      <c r="H869" s="11"/>
      <c r="I869" s="11"/>
      <c r="J869" s="11"/>
      <c r="K869" s="12"/>
      <c r="L869" s="11"/>
      <c r="M869" s="11"/>
      <c r="N869" s="11"/>
      <c r="O869" s="11"/>
      <c r="P869" s="8"/>
    </row>
    <row r="870">
      <c r="A870" s="11"/>
      <c r="B870" s="9"/>
      <c r="C870" s="8"/>
      <c r="D870" s="8"/>
      <c r="E870" s="8"/>
      <c r="F870" s="12"/>
      <c r="G870" s="11"/>
      <c r="H870" s="11"/>
      <c r="I870" s="11"/>
      <c r="J870" s="11"/>
      <c r="K870" s="12"/>
      <c r="L870" s="11"/>
      <c r="M870" s="11"/>
      <c r="N870" s="11"/>
      <c r="O870" s="11"/>
      <c r="P870" s="8"/>
    </row>
    <row r="871">
      <c r="A871" s="11"/>
      <c r="B871" s="9"/>
      <c r="C871" s="8"/>
      <c r="D871" s="8"/>
      <c r="E871" s="8"/>
      <c r="F871" s="12"/>
      <c r="G871" s="11"/>
      <c r="H871" s="11"/>
      <c r="I871" s="11"/>
      <c r="J871" s="11"/>
      <c r="K871" s="12"/>
      <c r="L871" s="11"/>
      <c r="M871" s="11"/>
      <c r="N871" s="11"/>
      <c r="O871" s="11"/>
      <c r="P871" s="8"/>
    </row>
    <row r="872">
      <c r="A872" s="11"/>
      <c r="B872" s="9"/>
      <c r="C872" s="8"/>
      <c r="D872" s="8"/>
      <c r="E872" s="8"/>
      <c r="F872" s="12"/>
      <c r="G872" s="11"/>
      <c r="H872" s="11"/>
      <c r="I872" s="11"/>
      <c r="J872" s="11"/>
      <c r="K872" s="12"/>
      <c r="L872" s="11"/>
      <c r="M872" s="11"/>
      <c r="N872" s="11"/>
      <c r="O872" s="11"/>
      <c r="P872" s="8"/>
    </row>
    <row r="873">
      <c r="A873" s="11"/>
      <c r="B873" s="9"/>
      <c r="C873" s="8"/>
      <c r="D873" s="8"/>
      <c r="E873" s="8"/>
      <c r="F873" s="12"/>
      <c r="G873" s="11"/>
      <c r="H873" s="11"/>
      <c r="I873" s="11"/>
      <c r="J873" s="11"/>
      <c r="K873" s="12"/>
      <c r="L873" s="11"/>
      <c r="M873" s="11"/>
      <c r="N873" s="11"/>
      <c r="O873" s="11"/>
      <c r="P873" s="8"/>
    </row>
    <row r="874">
      <c r="A874" s="11"/>
      <c r="B874" s="9"/>
      <c r="C874" s="8"/>
      <c r="D874" s="8"/>
      <c r="E874" s="8"/>
      <c r="F874" s="12"/>
      <c r="G874" s="11"/>
      <c r="H874" s="11"/>
      <c r="I874" s="11"/>
      <c r="J874" s="11"/>
      <c r="K874" s="12"/>
      <c r="L874" s="11"/>
      <c r="M874" s="11"/>
      <c r="N874" s="11"/>
      <c r="O874" s="11"/>
      <c r="P874" s="8"/>
    </row>
    <row r="875">
      <c r="A875" s="11"/>
      <c r="B875" s="9"/>
      <c r="C875" s="8"/>
      <c r="D875" s="8"/>
      <c r="E875" s="8"/>
      <c r="F875" s="12"/>
      <c r="G875" s="11"/>
      <c r="H875" s="11"/>
      <c r="I875" s="11"/>
      <c r="J875" s="11"/>
      <c r="K875" s="12"/>
      <c r="L875" s="11"/>
      <c r="M875" s="11"/>
      <c r="N875" s="11"/>
      <c r="O875" s="11"/>
      <c r="P875" s="8"/>
    </row>
    <row r="876">
      <c r="A876" s="11"/>
      <c r="B876" s="9"/>
      <c r="C876" s="8"/>
      <c r="D876" s="8"/>
      <c r="E876" s="8"/>
      <c r="F876" s="12"/>
      <c r="G876" s="11"/>
      <c r="H876" s="11"/>
      <c r="I876" s="11"/>
      <c r="J876" s="11"/>
      <c r="K876" s="12"/>
      <c r="L876" s="11"/>
      <c r="M876" s="11"/>
      <c r="N876" s="11"/>
      <c r="O876" s="11"/>
      <c r="P876" s="8"/>
    </row>
    <row r="877">
      <c r="A877" s="11"/>
      <c r="B877" s="9"/>
      <c r="C877" s="8"/>
      <c r="D877" s="8"/>
      <c r="E877" s="8"/>
      <c r="F877" s="12"/>
      <c r="G877" s="11"/>
      <c r="H877" s="11"/>
      <c r="I877" s="11"/>
      <c r="J877" s="11"/>
      <c r="K877" s="12"/>
      <c r="L877" s="11"/>
      <c r="M877" s="11"/>
      <c r="N877" s="11"/>
      <c r="O877" s="11"/>
      <c r="P877" s="8"/>
    </row>
    <row r="878">
      <c r="A878" s="11"/>
      <c r="B878" s="9"/>
      <c r="C878" s="8"/>
      <c r="D878" s="8"/>
      <c r="E878" s="8"/>
      <c r="F878" s="12"/>
      <c r="G878" s="11"/>
      <c r="H878" s="11"/>
      <c r="I878" s="11"/>
      <c r="J878" s="11"/>
      <c r="K878" s="12"/>
      <c r="L878" s="11"/>
      <c r="M878" s="11"/>
      <c r="N878" s="11"/>
      <c r="O878" s="11"/>
      <c r="P878" s="8"/>
    </row>
    <row r="879">
      <c r="A879" s="11"/>
      <c r="B879" s="9"/>
      <c r="C879" s="8"/>
      <c r="D879" s="8"/>
      <c r="E879" s="8"/>
      <c r="F879" s="12"/>
      <c r="G879" s="11"/>
      <c r="H879" s="11"/>
      <c r="I879" s="11"/>
      <c r="J879" s="11"/>
      <c r="K879" s="12"/>
      <c r="L879" s="11"/>
      <c r="M879" s="11"/>
      <c r="N879" s="11"/>
      <c r="O879" s="11"/>
      <c r="P879" s="8"/>
    </row>
    <row r="880">
      <c r="A880" s="11"/>
      <c r="B880" s="9"/>
      <c r="C880" s="8"/>
      <c r="D880" s="8"/>
      <c r="E880" s="8"/>
      <c r="F880" s="12"/>
      <c r="G880" s="11"/>
      <c r="H880" s="11"/>
      <c r="I880" s="11"/>
      <c r="J880" s="11"/>
      <c r="K880" s="12"/>
      <c r="L880" s="11"/>
      <c r="M880" s="11"/>
      <c r="N880" s="11"/>
      <c r="O880" s="11"/>
      <c r="P880" s="8"/>
    </row>
    <row r="881">
      <c r="A881" s="11"/>
      <c r="B881" s="9"/>
      <c r="C881" s="8"/>
      <c r="D881" s="8"/>
      <c r="E881" s="8"/>
      <c r="F881" s="12"/>
      <c r="G881" s="11"/>
      <c r="H881" s="11"/>
      <c r="I881" s="11"/>
      <c r="J881" s="11"/>
      <c r="K881" s="12"/>
      <c r="L881" s="11"/>
      <c r="M881" s="11"/>
      <c r="N881" s="11"/>
      <c r="O881" s="11"/>
      <c r="P881" s="8"/>
    </row>
    <row r="882">
      <c r="A882" s="11"/>
      <c r="B882" s="9"/>
      <c r="C882" s="8"/>
      <c r="D882" s="8"/>
      <c r="E882" s="8"/>
      <c r="F882" s="12"/>
      <c r="G882" s="11"/>
      <c r="H882" s="11"/>
      <c r="I882" s="11"/>
      <c r="J882" s="11"/>
      <c r="K882" s="12"/>
      <c r="L882" s="11"/>
      <c r="M882" s="11"/>
      <c r="N882" s="11"/>
      <c r="O882" s="11"/>
      <c r="P882" s="8"/>
    </row>
    <row r="883">
      <c r="A883" s="11"/>
      <c r="B883" s="9"/>
      <c r="C883" s="8"/>
      <c r="D883" s="8"/>
      <c r="E883" s="8"/>
      <c r="F883" s="12"/>
      <c r="G883" s="11"/>
      <c r="H883" s="11"/>
      <c r="I883" s="11"/>
      <c r="J883" s="11"/>
      <c r="K883" s="12"/>
      <c r="L883" s="11"/>
      <c r="M883" s="11"/>
      <c r="N883" s="11"/>
      <c r="O883" s="11"/>
      <c r="P883" s="8"/>
    </row>
    <row r="884">
      <c r="A884" s="11"/>
      <c r="B884" s="9"/>
      <c r="C884" s="8"/>
      <c r="D884" s="8"/>
      <c r="E884" s="8"/>
      <c r="F884" s="12"/>
      <c r="G884" s="11"/>
      <c r="H884" s="11"/>
      <c r="I884" s="11"/>
      <c r="J884" s="11"/>
      <c r="K884" s="12"/>
      <c r="L884" s="11"/>
      <c r="M884" s="11"/>
      <c r="N884" s="11"/>
      <c r="O884" s="11"/>
      <c r="P884" s="8"/>
    </row>
    <row r="885">
      <c r="A885" s="11"/>
      <c r="B885" s="9"/>
      <c r="C885" s="8"/>
      <c r="D885" s="8"/>
      <c r="E885" s="8"/>
      <c r="F885" s="12"/>
      <c r="G885" s="11"/>
      <c r="H885" s="11"/>
      <c r="I885" s="11"/>
      <c r="J885" s="11"/>
      <c r="K885" s="12"/>
      <c r="L885" s="11"/>
      <c r="M885" s="11"/>
      <c r="N885" s="11"/>
      <c r="O885" s="11"/>
      <c r="P885" s="8"/>
    </row>
    <row r="886">
      <c r="A886" s="11"/>
      <c r="B886" s="9"/>
      <c r="C886" s="8"/>
      <c r="D886" s="8"/>
      <c r="E886" s="8"/>
      <c r="F886" s="12"/>
      <c r="G886" s="11"/>
      <c r="H886" s="11"/>
      <c r="I886" s="11"/>
      <c r="J886" s="11"/>
      <c r="K886" s="12"/>
      <c r="L886" s="11"/>
      <c r="M886" s="11"/>
      <c r="N886" s="11"/>
      <c r="O886" s="11"/>
      <c r="P886" s="8"/>
    </row>
    <row r="887">
      <c r="A887" s="11"/>
      <c r="B887" s="9"/>
      <c r="C887" s="8"/>
      <c r="D887" s="8"/>
      <c r="E887" s="8"/>
      <c r="F887" s="12"/>
      <c r="G887" s="11"/>
      <c r="H887" s="11"/>
      <c r="I887" s="11"/>
      <c r="J887" s="11"/>
      <c r="K887" s="12"/>
      <c r="L887" s="11"/>
      <c r="M887" s="11"/>
      <c r="N887" s="11"/>
      <c r="O887" s="11"/>
      <c r="P887" s="8"/>
    </row>
    <row r="888">
      <c r="A888" s="11"/>
      <c r="B888" s="9"/>
      <c r="C888" s="8"/>
      <c r="D888" s="8"/>
      <c r="E888" s="8"/>
      <c r="F888" s="12"/>
      <c r="G888" s="11"/>
      <c r="H888" s="11"/>
      <c r="I888" s="11"/>
      <c r="J888" s="11"/>
      <c r="K888" s="12"/>
      <c r="L888" s="11"/>
      <c r="M888" s="11"/>
      <c r="N888" s="11"/>
      <c r="O888" s="11"/>
      <c r="P888" s="8"/>
    </row>
    <row r="889">
      <c r="A889" s="11"/>
      <c r="B889" s="9"/>
      <c r="C889" s="8"/>
      <c r="D889" s="8"/>
      <c r="E889" s="8"/>
      <c r="F889" s="12"/>
      <c r="G889" s="11"/>
      <c r="H889" s="11"/>
      <c r="I889" s="11"/>
      <c r="J889" s="11"/>
      <c r="K889" s="12"/>
      <c r="L889" s="11"/>
      <c r="M889" s="11"/>
      <c r="N889" s="11"/>
      <c r="O889" s="11"/>
      <c r="P889" s="8"/>
    </row>
    <row r="890">
      <c r="A890" s="11"/>
      <c r="B890" s="9"/>
      <c r="C890" s="8"/>
      <c r="D890" s="8"/>
      <c r="E890" s="8"/>
      <c r="F890" s="12"/>
      <c r="G890" s="11"/>
      <c r="H890" s="11"/>
      <c r="I890" s="11"/>
      <c r="J890" s="11"/>
      <c r="K890" s="12"/>
      <c r="L890" s="11"/>
      <c r="M890" s="11"/>
      <c r="N890" s="11"/>
      <c r="O890" s="11"/>
      <c r="P890" s="8"/>
    </row>
    <row r="891">
      <c r="A891" s="11"/>
      <c r="B891" s="9"/>
      <c r="C891" s="8"/>
      <c r="D891" s="8"/>
      <c r="E891" s="8"/>
      <c r="F891" s="12"/>
      <c r="G891" s="11"/>
      <c r="H891" s="11"/>
      <c r="I891" s="11"/>
      <c r="J891" s="11"/>
      <c r="K891" s="12"/>
      <c r="L891" s="11"/>
      <c r="M891" s="11"/>
      <c r="N891" s="11"/>
      <c r="O891" s="11"/>
      <c r="P891" s="8"/>
    </row>
    <row r="892">
      <c r="A892" s="11"/>
      <c r="B892" s="9"/>
      <c r="C892" s="8"/>
      <c r="D892" s="8"/>
      <c r="E892" s="8"/>
      <c r="F892" s="12"/>
      <c r="G892" s="11"/>
      <c r="H892" s="11"/>
      <c r="I892" s="11"/>
      <c r="J892" s="11"/>
      <c r="K892" s="12"/>
      <c r="L892" s="11"/>
      <c r="M892" s="11"/>
      <c r="N892" s="11"/>
      <c r="O892" s="11"/>
      <c r="P892" s="8"/>
    </row>
    <row r="893">
      <c r="A893" s="11"/>
      <c r="B893" s="9"/>
      <c r="C893" s="8"/>
      <c r="D893" s="8"/>
      <c r="E893" s="8"/>
      <c r="F893" s="12"/>
      <c r="G893" s="11"/>
      <c r="H893" s="11"/>
      <c r="I893" s="11"/>
      <c r="J893" s="11"/>
      <c r="K893" s="12"/>
      <c r="L893" s="11"/>
      <c r="M893" s="11"/>
      <c r="N893" s="11"/>
      <c r="O893" s="11"/>
      <c r="P893" s="8"/>
    </row>
    <row r="894">
      <c r="A894" s="11"/>
      <c r="B894" s="9"/>
      <c r="C894" s="8"/>
      <c r="D894" s="8"/>
      <c r="E894" s="8"/>
      <c r="F894" s="12"/>
      <c r="G894" s="11"/>
      <c r="H894" s="11"/>
      <c r="I894" s="11"/>
      <c r="J894" s="11"/>
      <c r="K894" s="12"/>
      <c r="L894" s="11"/>
      <c r="M894" s="11"/>
      <c r="N894" s="11"/>
      <c r="O894" s="11"/>
      <c r="P894" s="8"/>
    </row>
    <row r="895">
      <c r="A895" s="11"/>
      <c r="B895" s="9"/>
      <c r="C895" s="8"/>
      <c r="D895" s="8"/>
      <c r="E895" s="8"/>
      <c r="F895" s="12"/>
      <c r="G895" s="11"/>
      <c r="H895" s="11"/>
      <c r="I895" s="11"/>
      <c r="J895" s="11"/>
      <c r="K895" s="12"/>
      <c r="L895" s="11"/>
      <c r="M895" s="11"/>
      <c r="N895" s="11"/>
      <c r="O895" s="11"/>
      <c r="P895" s="8"/>
    </row>
    <row r="896">
      <c r="A896" s="11"/>
      <c r="B896" s="9"/>
      <c r="C896" s="8"/>
      <c r="D896" s="8"/>
      <c r="E896" s="8"/>
      <c r="F896" s="12"/>
      <c r="G896" s="11"/>
      <c r="H896" s="11"/>
      <c r="I896" s="11"/>
      <c r="J896" s="11"/>
      <c r="K896" s="12"/>
      <c r="L896" s="11"/>
      <c r="M896" s="11"/>
      <c r="N896" s="11"/>
      <c r="O896" s="11"/>
      <c r="P896" s="8"/>
    </row>
    <row r="897">
      <c r="A897" s="11"/>
      <c r="B897" s="9"/>
      <c r="C897" s="8"/>
      <c r="D897" s="8"/>
      <c r="E897" s="8"/>
      <c r="F897" s="12"/>
      <c r="G897" s="11"/>
      <c r="H897" s="11"/>
      <c r="I897" s="11"/>
      <c r="J897" s="11"/>
      <c r="K897" s="12"/>
      <c r="L897" s="11"/>
      <c r="M897" s="11"/>
      <c r="N897" s="11"/>
      <c r="O897" s="11"/>
      <c r="P897" s="8"/>
    </row>
    <row r="898">
      <c r="A898" s="11"/>
      <c r="B898" s="9"/>
      <c r="C898" s="8"/>
      <c r="D898" s="8"/>
      <c r="E898" s="8"/>
      <c r="F898" s="12"/>
      <c r="G898" s="11"/>
      <c r="H898" s="11"/>
      <c r="I898" s="11"/>
      <c r="J898" s="11"/>
      <c r="K898" s="12"/>
      <c r="L898" s="11"/>
      <c r="M898" s="11"/>
      <c r="N898" s="11"/>
      <c r="O898" s="11"/>
      <c r="P898" s="8"/>
    </row>
    <row r="899">
      <c r="A899" s="11"/>
      <c r="B899" s="9"/>
      <c r="C899" s="8"/>
      <c r="D899" s="8"/>
      <c r="E899" s="8"/>
      <c r="F899" s="12"/>
      <c r="G899" s="11"/>
      <c r="H899" s="11"/>
      <c r="I899" s="11"/>
      <c r="J899" s="11"/>
      <c r="K899" s="12"/>
      <c r="L899" s="11"/>
      <c r="M899" s="11"/>
      <c r="N899" s="11"/>
      <c r="O899" s="11"/>
      <c r="P899" s="8"/>
    </row>
    <row r="900">
      <c r="A900" s="11"/>
      <c r="B900" s="9"/>
      <c r="C900" s="8"/>
      <c r="D900" s="8"/>
      <c r="E900" s="8"/>
      <c r="F900" s="12"/>
      <c r="G900" s="11"/>
      <c r="H900" s="11"/>
      <c r="I900" s="11"/>
      <c r="J900" s="11"/>
      <c r="K900" s="12"/>
      <c r="L900" s="11"/>
      <c r="M900" s="11"/>
      <c r="N900" s="11"/>
      <c r="O900" s="11"/>
      <c r="P900" s="8"/>
    </row>
    <row r="901">
      <c r="A901" s="11"/>
      <c r="B901" s="9"/>
      <c r="C901" s="8"/>
      <c r="D901" s="8"/>
      <c r="E901" s="8"/>
      <c r="F901" s="12"/>
      <c r="G901" s="11"/>
      <c r="H901" s="11"/>
      <c r="I901" s="11"/>
      <c r="J901" s="11"/>
      <c r="K901" s="12"/>
      <c r="L901" s="11"/>
      <c r="M901" s="11"/>
      <c r="N901" s="11"/>
      <c r="O901" s="11"/>
      <c r="P901" s="8"/>
    </row>
    <row r="902">
      <c r="A902" s="11"/>
      <c r="B902" s="9"/>
      <c r="C902" s="8"/>
      <c r="D902" s="8"/>
      <c r="E902" s="8"/>
      <c r="F902" s="12"/>
      <c r="G902" s="11"/>
      <c r="H902" s="11"/>
      <c r="I902" s="11"/>
      <c r="J902" s="11"/>
      <c r="K902" s="12"/>
      <c r="L902" s="11"/>
      <c r="M902" s="11"/>
      <c r="N902" s="11"/>
      <c r="O902" s="11"/>
      <c r="P902" s="8"/>
    </row>
    <row r="903">
      <c r="A903" s="11"/>
      <c r="B903" s="9"/>
      <c r="C903" s="8"/>
      <c r="D903" s="8"/>
      <c r="E903" s="8"/>
      <c r="F903" s="12"/>
      <c r="G903" s="11"/>
      <c r="H903" s="11"/>
      <c r="I903" s="11"/>
      <c r="J903" s="11"/>
      <c r="K903" s="12"/>
      <c r="L903" s="11"/>
      <c r="M903" s="11"/>
      <c r="N903" s="11"/>
      <c r="O903" s="11"/>
      <c r="P903" s="8"/>
    </row>
    <row r="904">
      <c r="A904" s="11"/>
      <c r="B904" s="9"/>
      <c r="C904" s="8"/>
      <c r="D904" s="8"/>
      <c r="E904" s="8"/>
      <c r="F904" s="12"/>
      <c r="G904" s="11"/>
      <c r="H904" s="11"/>
      <c r="I904" s="11"/>
      <c r="J904" s="11"/>
      <c r="K904" s="12"/>
      <c r="L904" s="11"/>
      <c r="M904" s="11"/>
      <c r="N904" s="11"/>
      <c r="O904" s="11"/>
      <c r="P904" s="8"/>
    </row>
    <row r="905">
      <c r="A905" s="11"/>
      <c r="B905" s="9"/>
      <c r="C905" s="8"/>
      <c r="D905" s="8"/>
      <c r="E905" s="8"/>
      <c r="F905" s="12"/>
      <c r="G905" s="11"/>
      <c r="H905" s="11"/>
      <c r="I905" s="11"/>
      <c r="J905" s="11"/>
      <c r="K905" s="12"/>
      <c r="L905" s="11"/>
      <c r="M905" s="11"/>
      <c r="N905" s="11"/>
      <c r="O905" s="11"/>
      <c r="P905" s="8"/>
    </row>
    <row r="906">
      <c r="A906" s="11"/>
      <c r="B906" s="9"/>
      <c r="C906" s="8"/>
      <c r="D906" s="8"/>
      <c r="E906" s="8"/>
      <c r="F906" s="12"/>
      <c r="G906" s="11"/>
      <c r="H906" s="11"/>
      <c r="I906" s="11"/>
      <c r="J906" s="11"/>
      <c r="K906" s="12"/>
      <c r="L906" s="11"/>
      <c r="M906" s="11"/>
      <c r="N906" s="11"/>
      <c r="O906" s="11"/>
      <c r="P906" s="8"/>
    </row>
    <row r="907">
      <c r="A907" s="11"/>
      <c r="B907" s="9"/>
      <c r="C907" s="8"/>
      <c r="D907" s="8"/>
      <c r="E907" s="8"/>
      <c r="F907" s="12"/>
      <c r="G907" s="11"/>
      <c r="H907" s="11"/>
      <c r="I907" s="11"/>
      <c r="J907" s="11"/>
      <c r="K907" s="12"/>
      <c r="L907" s="11"/>
      <c r="M907" s="11"/>
      <c r="N907" s="11"/>
      <c r="O907" s="11"/>
      <c r="P907" s="8"/>
    </row>
    <row r="908">
      <c r="A908" s="11"/>
      <c r="B908" s="9"/>
      <c r="C908" s="8"/>
      <c r="D908" s="8"/>
      <c r="E908" s="8"/>
      <c r="F908" s="12"/>
      <c r="G908" s="11"/>
      <c r="H908" s="11"/>
      <c r="I908" s="11"/>
      <c r="J908" s="11"/>
      <c r="K908" s="12"/>
      <c r="L908" s="11"/>
      <c r="M908" s="11"/>
      <c r="N908" s="11"/>
      <c r="O908" s="11"/>
      <c r="P908" s="8"/>
    </row>
    <row r="909">
      <c r="A909" s="11"/>
      <c r="B909" s="9"/>
      <c r="C909" s="8"/>
      <c r="D909" s="8"/>
      <c r="E909" s="8"/>
      <c r="F909" s="12"/>
      <c r="G909" s="11"/>
      <c r="H909" s="11"/>
      <c r="I909" s="11"/>
      <c r="J909" s="11"/>
      <c r="K909" s="12"/>
      <c r="L909" s="11"/>
      <c r="M909" s="11"/>
      <c r="N909" s="11"/>
      <c r="O909" s="11"/>
      <c r="P909" s="8"/>
    </row>
    <row r="910">
      <c r="A910" s="11"/>
      <c r="B910" s="9"/>
      <c r="C910" s="8"/>
      <c r="D910" s="8"/>
      <c r="E910" s="8"/>
      <c r="F910" s="12"/>
      <c r="G910" s="11"/>
      <c r="H910" s="11"/>
      <c r="I910" s="11"/>
      <c r="J910" s="11"/>
      <c r="K910" s="12"/>
      <c r="L910" s="11"/>
      <c r="M910" s="11"/>
      <c r="N910" s="11"/>
      <c r="O910" s="11"/>
      <c r="P910" s="8"/>
    </row>
    <row r="911">
      <c r="A911" s="11"/>
      <c r="B911" s="9"/>
      <c r="C911" s="8"/>
      <c r="D911" s="8"/>
      <c r="E911" s="8"/>
      <c r="F911" s="12"/>
      <c r="G911" s="11"/>
      <c r="H911" s="11"/>
      <c r="I911" s="11"/>
      <c r="J911" s="11"/>
      <c r="K911" s="12"/>
      <c r="L911" s="11"/>
      <c r="M911" s="11"/>
      <c r="N911" s="11"/>
      <c r="O911" s="11"/>
      <c r="P911" s="8"/>
    </row>
    <row r="912">
      <c r="A912" s="11"/>
      <c r="B912" s="9"/>
      <c r="C912" s="8"/>
      <c r="D912" s="8"/>
      <c r="E912" s="8"/>
      <c r="F912" s="12"/>
      <c r="G912" s="11"/>
      <c r="H912" s="11"/>
      <c r="I912" s="11"/>
      <c r="J912" s="11"/>
      <c r="K912" s="12"/>
      <c r="L912" s="11"/>
      <c r="M912" s="11"/>
      <c r="N912" s="11"/>
      <c r="O912" s="11"/>
      <c r="P912" s="8"/>
    </row>
    <row r="913">
      <c r="A913" s="11"/>
      <c r="B913" s="9"/>
      <c r="C913" s="8"/>
      <c r="D913" s="8"/>
      <c r="E913" s="8"/>
      <c r="F913" s="12"/>
      <c r="G913" s="11"/>
      <c r="H913" s="11"/>
      <c r="I913" s="11"/>
      <c r="J913" s="11"/>
      <c r="K913" s="12"/>
      <c r="L913" s="11"/>
      <c r="M913" s="11"/>
      <c r="N913" s="11"/>
      <c r="O913" s="11"/>
      <c r="P913" s="8"/>
    </row>
    <row r="914">
      <c r="A914" s="11"/>
      <c r="B914" s="9"/>
      <c r="C914" s="8"/>
      <c r="D914" s="8"/>
      <c r="E914" s="8"/>
      <c r="F914" s="12"/>
      <c r="G914" s="11"/>
      <c r="H914" s="11"/>
      <c r="I914" s="11"/>
      <c r="J914" s="11"/>
      <c r="K914" s="12"/>
      <c r="L914" s="11"/>
      <c r="M914" s="11"/>
      <c r="N914" s="11"/>
      <c r="O914" s="11"/>
      <c r="P914" s="8"/>
    </row>
    <row r="915">
      <c r="A915" s="11"/>
      <c r="B915" s="9"/>
      <c r="C915" s="8"/>
      <c r="D915" s="8"/>
      <c r="E915" s="8"/>
      <c r="F915" s="12"/>
      <c r="G915" s="11"/>
      <c r="H915" s="11"/>
      <c r="I915" s="11"/>
      <c r="J915" s="11"/>
      <c r="K915" s="12"/>
      <c r="L915" s="11"/>
      <c r="M915" s="11"/>
      <c r="N915" s="11"/>
      <c r="O915" s="11"/>
      <c r="P915" s="8"/>
    </row>
    <row r="916">
      <c r="A916" s="11"/>
      <c r="B916" s="9"/>
      <c r="C916" s="8"/>
      <c r="D916" s="8"/>
      <c r="E916" s="8"/>
      <c r="F916" s="12"/>
      <c r="G916" s="11"/>
      <c r="H916" s="11"/>
      <c r="I916" s="11"/>
      <c r="J916" s="11"/>
      <c r="K916" s="12"/>
      <c r="L916" s="11"/>
      <c r="M916" s="11"/>
      <c r="N916" s="11"/>
      <c r="O916" s="11"/>
      <c r="P916" s="8"/>
    </row>
    <row r="917">
      <c r="A917" s="11"/>
      <c r="B917" s="9"/>
      <c r="C917" s="8"/>
      <c r="D917" s="8"/>
      <c r="E917" s="8"/>
      <c r="F917" s="12"/>
      <c r="G917" s="11"/>
      <c r="H917" s="11"/>
      <c r="I917" s="11"/>
      <c r="J917" s="11"/>
      <c r="K917" s="12"/>
      <c r="L917" s="11"/>
      <c r="M917" s="11"/>
      <c r="N917" s="11"/>
      <c r="O917" s="11"/>
      <c r="P917" s="8"/>
    </row>
    <row r="918">
      <c r="A918" s="11"/>
      <c r="B918" s="9"/>
      <c r="C918" s="8"/>
      <c r="D918" s="8"/>
      <c r="E918" s="8"/>
      <c r="F918" s="12"/>
      <c r="G918" s="11"/>
      <c r="H918" s="11"/>
      <c r="I918" s="11"/>
      <c r="J918" s="11"/>
      <c r="K918" s="12"/>
      <c r="L918" s="11"/>
      <c r="M918" s="11"/>
      <c r="N918" s="11"/>
      <c r="O918" s="11"/>
      <c r="P918" s="8"/>
    </row>
    <row r="919">
      <c r="A919" s="11"/>
      <c r="B919" s="9"/>
      <c r="C919" s="8"/>
      <c r="D919" s="8"/>
      <c r="E919" s="8"/>
      <c r="F919" s="12"/>
      <c r="G919" s="11"/>
      <c r="H919" s="11"/>
      <c r="I919" s="11"/>
      <c r="J919" s="11"/>
      <c r="K919" s="12"/>
      <c r="L919" s="11"/>
      <c r="M919" s="11"/>
      <c r="N919" s="11"/>
      <c r="O919" s="11"/>
      <c r="P919" s="8"/>
    </row>
    <row r="920">
      <c r="A920" s="11"/>
      <c r="B920" s="9"/>
      <c r="C920" s="8"/>
      <c r="D920" s="8"/>
      <c r="E920" s="8"/>
      <c r="F920" s="12"/>
      <c r="G920" s="11"/>
      <c r="H920" s="11"/>
      <c r="I920" s="11"/>
      <c r="J920" s="11"/>
      <c r="K920" s="12"/>
      <c r="L920" s="11"/>
      <c r="M920" s="11"/>
      <c r="N920" s="11"/>
      <c r="O920" s="11"/>
      <c r="P920" s="8"/>
    </row>
    <row r="921">
      <c r="A921" s="11"/>
      <c r="B921" s="9"/>
      <c r="C921" s="8"/>
      <c r="D921" s="8"/>
      <c r="E921" s="8"/>
      <c r="F921" s="12"/>
      <c r="G921" s="11"/>
      <c r="H921" s="11"/>
      <c r="I921" s="11"/>
      <c r="J921" s="11"/>
      <c r="K921" s="12"/>
      <c r="L921" s="11"/>
      <c r="M921" s="11"/>
      <c r="N921" s="11"/>
      <c r="O921" s="11"/>
      <c r="P921" s="8"/>
    </row>
    <row r="922">
      <c r="A922" s="11"/>
      <c r="B922" s="9"/>
      <c r="C922" s="8"/>
      <c r="D922" s="8"/>
      <c r="E922" s="8"/>
      <c r="F922" s="12"/>
      <c r="G922" s="11"/>
      <c r="H922" s="11"/>
      <c r="I922" s="11"/>
      <c r="J922" s="11"/>
      <c r="K922" s="12"/>
      <c r="L922" s="11"/>
      <c r="M922" s="11"/>
      <c r="N922" s="11"/>
      <c r="O922" s="11"/>
      <c r="P922" s="8"/>
    </row>
    <row r="923">
      <c r="A923" s="11"/>
      <c r="B923" s="9"/>
      <c r="C923" s="8"/>
      <c r="D923" s="8"/>
      <c r="E923" s="8"/>
      <c r="F923" s="12"/>
      <c r="G923" s="11"/>
      <c r="H923" s="11"/>
      <c r="I923" s="11"/>
      <c r="J923" s="11"/>
      <c r="K923" s="12"/>
      <c r="L923" s="11"/>
      <c r="M923" s="11"/>
      <c r="N923" s="11"/>
      <c r="O923" s="11"/>
      <c r="P923" s="8"/>
    </row>
    <row r="924">
      <c r="A924" s="11"/>
      <c r="B924" s="9"/>
      <c r="C924" s="8"/>
      <c r="D924" s="8"/>
      <c r="E924" s="8"/>
      <c r="F924" s="12"/>
      <c r="G924" s="11"/>
      <c r="H924" s="11"/>
      <c r="I924" s="11"/>
      <c r="J924" s="11"/>
      <c r="K924" s="12"/>
      <c r="L924" s="11"/>
      <c r="M924" s="11"/>
      <c r="N924" s="11"/>
      <c r="O924" s="11"/>
      <c r="P924" s="8"/>
    </row>
    <row r="925">
      <c r="A925" s="11"/>
      <c r="B925" s="9"/>
      <c r="C925" s="8"/>
      <c r="D925" s="8"/>
      <c r="E925" s="8"/>
      <c r="F925" s="12"/>
      <c r="G925" s="11"/>
      <c r="H925" s="11"/>
      <c r="I925" s="11"/>
      <c r="J925" s="11"/>
      <c r="K925" s="12"/>
      <c r="L925" s="11"/>
      <c r="M925" s="11"/>
      <c r="N925" s="11"/>
      <c r="O925" s="11"/>
      <c r="P925" s="8"/>
    </row>
    <row r="926">
      <c r="A926" s="11"/>
      <c r="B926" s="9"/>
      <c r="C926" s="8"/>
      <c r="D926" s="8"/>
      <c r="E926" s="8"/>
      <c r="F926" s="12"/>
      <c r="G926" s="11"/>
      <c r="H926" s="11"/>
      <c r="I926" s="11"/>
      <c r="J926" s="11"/>
      <c r="K926" s="12"/>
      <c r="L926" s="11"/>
      <c r="M926" s="11"/>
      <c r="N926" s="11"/>
      <c r="O926" s="11"/>
      <c r="P926" s="8"/>
    </row>
    <row r="927">
      <c r="A927" s="11"/>
      <c r="B927" s="9"/>
      <c r="C927" s="8"/>
      <c r="D927" s="8"/>
      <c r="E927" s="8"/>
      <c r="F927" s="12"/>
      <c r="G927" s="11"/>
      <c r="H927" s="11"/>
      <c r="I927" s="11"/>
      <c r="J927" s="11"/>
      <c r="K927" s="12"/>
      <c r="L927" s="11"/>
      <c r="M927" s="11"/>
      <c r="N927" s="11"/>
      <c r="O927" s="11"/>
      <c r="P927" s="8"/>
    </row>
    <row r="928">
      <c r="A928" s="11"/>
      <c r="B928" s="9"/>
      <c r="C928" s="8"/>
      <c r="D928" s="8"/>
      <c r="E928" s="8"/>
      <c r="F928" s="12"/>
      <c r="G928" s="11"/>
      <c r="H928" s="11"/>
      <c r="I928" s="11"/>
      <c r="J928" s="11"/>
      <c r="K928" s="12"/>
      <c r="L928" s="11"/>
      <c r="M928" s="11"/>
      <c r="N928" s="11"/>
      <c r="O928" s="11"/>
      <c r="P928" s="8"/>
    </row>
    <row r="929">
      <c r="A929" s="11"/>
      <c r="B929" s="9"/>
      <c r="C929" s="8"/>
      <c r="D929" s="8"/>
      <c r="E929" s="8"/>
      <c r="F929" s="12"/>
      <c r="G929" s="11"/>
      <c r="H929" s="11"/>
      <c r="I929" s="11"/>
      <c r="J929" s="11"/>
      <c r="K929" s="12"/>
      <c r="L929" s="11"/>
      <c r="M929" s="11"/>
      <c r="N929" s="11"/>
      <c r="O929" s="11"/>
      <c r="P929" s="8"/>
    </row>
    <row r="930">
      <c r="A930" s="11"/>
      <c r="B930" s="9"/>
      <c r="C930" s="8"/>
      <c r="D930" s="8"/>
      <c r="E930" s="8"/>
      <c r="F930" s="12"/>
      <c r="G930" s="11"/>
      <c r="H930" s="11"/>
      <c r="I930" s="11"/>
      <c r="J930" s="11"/>
      <c r="K930" s="12"/>
      <c r="L930" s="11"/>
      <c r="M930" s="11"/>
      <c r="N930" s="11"/>
      <c r="O930" s="11"/>
      <c r="P930" s="8"/>
    </row>
    <row r="931">
      <c r="A931" s="11"/>
      <c r="B931" s="9"/>
      <c r="C931" s="8"/>
      <c r="D931" s="8"/>
      <c r="E931" s="8"/>
      <c r="F931" s="12"/>
      <c r="G931" s="11"/>
      <c r="H931" s="11"/>
      <c r="I931" s="11"/>
      <c r="J931" s="11"/>
      <c r="K931" s="12"/>
      <c r="L931" s="11"/>
      <c r="M931" s="11"/>
      <c r="N931" s="11"/>
      <c r="O931" s="11"/>
      <c r="P931" s="8"/>
    </row>
    <row r="932">
      <c r="A932" s="11"/>
      <c r="B932" s="9"/>
      <c r="C932" s="8"/>
      <c r="D932" s="8"/>
      <c r="E932" s="8"/>
      <c r="F932" s="12"/>
      <c r="G932" s="11"/>
      <c r="H932" s="11"/>
      <c r="I932" s="11"/>
      <c r="J932" s="11"/>
      <c r="K932" s="12"/>
      <c r="L932" s="11"/>
      <c r="M932" s="11"/>
      <c r="N932" s="11"/>
      <c r="O932" s="11"/>
      <c r="P932" s="8"/>
    </row>
    <row r="933">
      <c r="A933" s="11"/>
      <c r="B933" s="9"/>
      <c r="C933" s="8"/>
      <c r="D933" s="8"/>
      <c r="E933" s="8"/>
      <c r="F933" s="12"/>
      <c r="G933" s="11"/>
      <c r="H933" s="11"/>
      <c r="I933" s="11"/>
      <c r="J933" s="11"/>
      <c r="K933" s="12"/>
      <c r="L933" s="11"/>
      <c r="M933" s="11"/>
      <c r="N933" s="11"/>
      <c r="O933" s="11"/>
      <c r="P933" s="8"/>
    </row>
    <row r="934">
      <c r="A934" s="11"/>
      <c r="B934" s="9"/>
      <c r="C934" s="8"/>
      <c r="D934" s="8"/>
      <c r="E934" s="8"/>
      <c r="F934" s="12"/>
      <c r="G934" s="11"/>
      <c r="H934" s="11"/>
      <c r="I934" s="11"/>
      <c r="J934" s="11"/>
      <c r="K934" s="12"/>
      <c r="L934" s="11"/>
      <c r="M934" s="11"/>
      <c r="N934" s="11"/>
      <c r="O934" s="11"/>
      <c r="P934" s="8"/>
    </row>
    <row r="935">
      <c r="A935" s="11"/>
      <c r="B935" s="9"/>
      <c r="C935" s="8"/>
      <c r="D935" s="8"/>
      <c r="E935" s="8"/>
      <c r="F935" s="12"/>
      <c r="G935" s="11"/>
      <c r="H935" s="11"/>
      <c r="I935" s="11"/>
      <c r="J935" s="11"/>
      <c r="K935" s="12"/>
      <c r="L935" s="11"/>
      <c r="M935" s="11"/>
      <c r="N935" s="11"/>
      <c r="O935" s="11"/>
      <c r="P935" s="8"/>
    </row>
    <row r="936">
      <c r="A936" s="11"/>
      <c r="B936" s="9"/>
      <c r="C936" s="8"/>
      <c r="D936" s="8"/>
      <c r="E936" s="8"/>
      <c r="F936" s="12"/>
      <c r="G936" s="11"/>
      <c r="H936" s="11"/>
      <c r="I936" s="11"/>
      <c r="J936" s="11"/>
      <c r="K936" s="12"/>
      <c r="L936" s="11"/>
      <c r="M936" s="11"/>
      <c r="N936" s="11"/>
      <c r="O936" s="11"/>
      <c r="P936" s="8"/>
    </row>
    <row r="937">
      <c r="A937" s="11"/>
      <c r="B937" s="9"/>
      <c r="C937" s="8"/>
      <c r="D937" s="8"/>
      <c r="E937" s="8"/>
      <c r="F937" s="12"/>
      <c r="G937" s="11"/>
      <c r="H937" s="11"/>
      <c r="I937" s="11"/>
      <c r="J937" s="11"/>
      <c r="K937" s="12"/>
      <c r="L937" s="11"/>
      <c r="M937" s="11"/>
      <c r="N937" s="11"/>
      <c r="O937" s="11"/>
      <c r="P937" s="8"/>
    </row>
    <row r="938">
      <c r="A938" s="11"/>
      <c r="B938" s="9"/>
      <c r="C938" s="8"/>
      <c r="D938" s="8"/>
      <c r="E938" s="8"/>
      <c r="F938" s="12"/>
      <c r="G938" s="11"/>
      <c r="H938" s="11"/>
      <c r="I938" s="11"/>
      <c r="J938" s="11"/>
      <c r="K938" s="12"/>
      <c r="L938" s="11"/>
      <c r="M938" s="11"/>
      <c r="N938" s="11"/>
      <c r="O938" s="11"/>
      <c r="P938" s="8"/>
    </row>
    <row r="939">
      <c r="A939" s="11"/>
      <c r="B939" s="9"/>
      <c r="C939" s="8"/>
      <c r="D939" s="8"/>
      <c r="E939" s="8"/>
      <c r="F939" s="12"/>
      <c r="G939" s="11"/>
      <c r="H939" s="11"/>
      <c r="I939" s="11"/>
      <c r="J939" s="11"/>
      <c r="K939" s="12"/>
      <c r="L939" s="11"/>
      <c r="M939" s="11"/>
      <c r="N939" s="11"/>
      <c r="O939" s="11"/>
      <c r="P939" s="8"/>
    </row>
    <row r="940">
      <c r="A940" s="11"/>
      <c r="B940" s="9"/>
      <c r="C940" s="8"/>
      <c r="D940" s="8"/>
      <c r="E940" s="8"/>
      <c r="F940" s="12"/>
      <c r="G940" s="11"/>
      <c r="H940" s="11"/>
      <c r="I940" s="11"/>
      <c r="J940" s="11"/>
      <c r="K940" s="12"/>
      <c r="L940" s="11"/>
      <c r="M940" s="11"/>
      <c r="N940" s="11"/>
      <c r="O940" s="11"/>
      <c r="P940" s="8"/>
    </row>
    <row r="941">
      <c r="A941" s="11"/>
      <c r="B941" s="9"/>
      <c r="C941" s="8"/>
      <c r="D941" s="8"/>
      <c r="E941" s="8"/>
      <c r="F941" s="12"/>
      <c r="G941" s="11"/>
      <c r="H941" s="11"/>
      <c r="I941" s="11"/>
      <c r="J941" s="11"/>
      <c r="K941" s="12"/>
      <c r="L941" s="11"/>
      <c r="M941" s="11"/>
      <c r="N941" s="11"/>
      <c r="O941" s="11"/>
      <c r="P941" s="8"/>
    </row>
    <row r="942">
      <c r="A942" s="11"/>
      <c r="B942" s="9"/>
      <c r="C942" s="8"/>
      <c r="D942" s="8"/>
      <c r="E942" s="8"/>
      <c r="F942" s="12"/>
      <c r="G942" s="11"/>
      <c r="H942" s="11"/>
      <c r="I942" s="11"/>
      <c r="J942" s="11"/>
      <c r="K942" s="12"/>
      <c r="L942" s="11"/>
      <c r="M942" s="11"/>
      <c r="N942" s="11"/>
      <c r="O942" s="11"/>
      <c r="P942" s="8"/>
    </row>
    <row r="943">
      <c r="A943" s="11"/>
      <c r="B943" s="9"/>
      <c r="C943" s="8"/>
      <c r="D943" s="8"/>
      <c r="E943" s="8"/>
      <c r="F943" s="12"/>
      <c r="G943" s="11"/>
      <c r="H943" s="11"/>
      <c r="I943" s="11"/>
      <c r="J943" s="11"/>
      <c r="K943" s="12"/>
      <c r="L943" s="11"/>
      <c r="M943" s="11"/>
      <c r="N943" s="11"/>
      <c r="O943" s="11"/>
      <c r="P943" s="8"/>
    </row>
    <row r="944">
      <c r="A944" s="11"/>
      <c r="B944" s="9"/>
      <c r="C944" s="8"/>
      <c r="D944" s="8"/>
      <c r="E944" s="8"/>
      <c r="F944" s="12"/>
      <c r="G944" s="11"/>
      <c r="H944" s="11"/>
      <c r="I944" s="11"/>
      <c r="J944" s="11"/>
      <c r="K944" s="12"/>
      <c r="L944" s="11"/>
      <c r="M944" s="11"/>
      <c r="N944" s="11"/>
      <c r="O944" s="11"/>
      <c r="P944" s="8"/>
    </row>
    <row r="945">
      <c r="A945" s="11"/>
      <c r="B945" s="9"/>
      <c r="C945" s="8"/>
      <c r="D945" s="8"/>
      <c r="E945" s="8"/>
      <c r="F945" s="12"/>
      <c r="G945" s="11"/>
      <c r="H945" s="11"/>
      <c r="I945" s="11"/>
      <c r="J945" s="11"/>
      <c r="K945" s="12"/>
      <c r="L945" s="11"/>
      <c r="M945" s="11"/>
      <c r="N945" s="11"/>
      <c r="O945" s="11"/>
      <c r="P945" s="8"/>
    </row>
    <row r="946">
      <c r="A946" s="11"/>
      <c r="B946" s="9"/>
      <c r="C946" s="8"/>
      <c r="D946" s="8"/>
      <c r="E946" s="8"/>
      <c r="F946" s="12"/>
      <c r="G946" s="11"/>
      <c r="H946" s="11"/>
      <c r="I946" s="11"/>
      <c r="J946" s="11"/>
      <c r="K946" s="12"/>
      <c r="L946" s="11"/>
      <c r="M946" s="11"/>
      <c r="N946" s="11"/>
      <c r="O946" s="11"/>
      <c r="P946" s="8"/>
    </row>
    <row r="947">
      <c r="A947" s="11"/>
      <c r="B947" s="9"/>
      <c r="C947" s="8"/>
      <c r="D947" s="8"/>
      <c r="E947" s="8"/>
      <c r="F947" s="12"/>
      <c r="G947" s="11"/>
      <c r="H947" s="11"/>
      <c r="I947" s="11"/>
      <c r="J947" s="11"/>
      <c r="K947" s="12"/>
      <c r="L947" s="11"/>
      <c r="M947" s="11"/>
      <c r="N947" s="11"/>
      <c r="O947" s="11"/>
      <c r="P947" s="8"/>
    </row>
    <row r="948">
      <c r="A948" s="11"/>
      <c r="B948" s="9"/>
      <c r="C948" s="8"/>
      <c r="D948" s="8"/>
      <c r="E948" s="8"/>
      <c r="F948" s="12"/>
      <c r="G948" s="11"/>
      <c r="H948" s="11"/>
      <c r="I948" s="11"/>
      <c r="J948" s="11"/>
      <c r="K948" s="12"/>
      <c r="L948" s="11"/>
      <c r="M948" s="11"/>
      <c r="N948" s="11"/>
      <c r="O948" s="11"/>
      <c r="P948" s="8"/>
    </row>
    <row r="949">
      <c r="A949" s="11"/>
      <c r="B949" s="9"/>
      <c r="C949" s="8"/>
      <c r="D949" s="8"/>
      <c r="E949" s="8"/>
      <c r="F949" s="12"/>
      <c r="G949" s="11"/>
      <c r="H949" s="11"/>
      <c r="I949" s="11"/>
      <c r="J949" s="11"/>
      <c r="K949" s="12"/>
      <c r="L949" s="11"/>
      <c r="M949" s="11"/>
      <c r="N949" s="11"/>
      <c r="O949" s="11"/>
      <c r="P949" s="8"/>
    </row>
    <row r="950">
      <c r="A950" s="11"/>
      <c r="B950" s="9"/>
      <c r="C950" s="8"/>
      <c r="D950" s="8"/>
      <c r="E950" s="8"/>
      <c r="F950" s="12"/>
      <c r="G950" s="11"/>
      <c r="H950" s="11"/>
      <c r="I950" s="11"/>
      <c r="J950" s="11"/>
      <c r="K950" s="12"/>
      <c r="L950" s="11"/>
      <c r="M950" s="11"/>
      <c r="N950" s="11"/>
      <c r="O950" s="11"/>
      <c r="P950" s="8"/>
    </row>
    <row r="951">
      <c r="A951" s="11"/>
      <c r="B951" s="9"/>
      <c r="C951" s="8"/>
      <c r="D951" s="8"/>
      <c r="E951" s="8"/>
      <c r="F951" s="12"/>
      <c r="G951" s="11"/>
      <c r="H951" s="11"/>
      <c r="I951" s="11"/>
      <c r="J951" s="11"/>
      <c r="K951" s="12"/>
      <c r="L951" s="11"/>
      <c r="M951" s="11"/>
      <c r="N951" s="11"/>
      <c r="O951" s="11"/>
      <c r="P951" s="8"/>
    </row>
    <row r="952">
      <c r="A952" s="11"/>
      <c r="B952" s="9"/>
      <c r="C952" s="8"/>
      <c r="D952" s="8"/>
      <c r="E952" s="8"/>
      <c r="F952" s="12"/>
      <c r="G952" s="11"/>
      <c r="H952" s="11"/>
      <c r="I952" s="11"/>
      <c r="J952" s="11"/>
      <c r="K952" s="12"/>
      <c r="L952" s="11"/>
      <c r="M952" s="11"/>
      <c r="N952" s="11"/>
      <c r="O952" s="11"/>
      <c r="P952" s="8"/>
    </row>
    <row r="953">
      <c r="A953" s="11"/>
      <c r="B953" s="9"/>
      <c r="C953" s="8"/>
      <c r="D953" s="8"/>
      <c r="E953" s="8"/>
      <c r="F953" s="12"/>
      <c r="G953" s="11"/>
      <c r="H953" s="11"/>
      <c r="I953" s="11"/>
      <c r="J953" s="11"/>
      <c r="K953" s="12"/>
      <c r="L953" s="11"/>
      <c r="M953" s="11"/>
      <c r="N953" s="11"/>
      <c r="O953" s="11"/>
      <c r="P953" s="8"/>
    </row>
    <row r="954">
      <c r="A954" s="11"/>
      <c r="B954" s="9"/>
      <c r="C954" s="8"/>
      <c r="D954" s="8"/>
      <c r="E954" s="8"/>
      <c r="F954" s="12"/>
      <c r="G954" s="11"/>
      <c r="H954" s="11"/>
      <c r="I954" s="11"/>
      <c r="J954" s="11"/>
      <c r="K954" s="12"/>
      <c r="L954" s="11"/>
      <c r="M954" s="11"/>
      <c r="N954" s="11"/>
      <c r="O954" s="11"/>
      <c r="P954" s="8"/>
    </row>
    <row r="955">
      <c r="A955" s="11"/>
      <c r="B955" s="9"/>
      <c r="C955" s="8"/>
      <c r="D955" s="8"/>
      <c r="E955" s="8"/>
      <c r="F955" s="12"/>
      <c r="G955" s="11"/>
      <c r="H955" s="11"/>
      <c r="I955" s="11"/>
      <c r="J955" s="11"/>
      <c r="K955" s="12"/>
      <c r="L955" s="11"/>
      <c r="M955" s="11"/>
      <c r="N955" s="11"/>
      <c r="O955" s="11"/>
      <c r="P955" s="8"/>
    </row>
    <row r="956">
      <c r="A956" s="11"/>
      <c r="B956" s="9"/>
      <c r="C956" s="8"/>
      <c r="D956" s="8"/>
      <c r="E956" s="8"/>
      <c r="F956" s="12"/>
      <c r="G956" s="11"/>
      <c r="H956" s="11"/>
      <c r="I956" s="11"/>
      <c r="J956" s="11"/>
      <c r="K956" s="12"/>
      <c r="L956" s="11"/>
      <c r="M956" s="11"/>
      <c r="N956" s="11"/>
      <c r="O956" s="11"/>
      <c r="P956" s="8"/>
    </row>
    <row r="957">
      <c r="A957" s="11"/>
      <c r="B957" s="9"/>
      <c r="C957" s="8"/>
      <c r="D957" s="8"/>
      <c r="E957" s="8"/>
      <c r="F957" s="12"/>
      <c r="G957" s="11"/>
      <c r="H957" s="11"/>
      <c r="I957" s="11"/>
      <c r="J957" s="11"/>
      <c r="K957" s="12"/>
      <c r="L957" s="11"/>
      <c r="M957" s="11"/>
      <c r="N957" s="11"/>
      <c r="O957" s="11"/>
      <c r="P957" s="8"/>
    </row>
    <row r="958">
      <c r="A958" s="11"/>
      <c r="B958" s="9"/>
      <c r="C958" s="8"/>
      <c r="D958" s="8"/>
      <c r="E958" s="8"/>
      <c r="F958" s="12"/>
      <c r="G958" s="11"/>
      <c r="H958" s="11"/>
      <c r="I958" s="11"/>
      <c r="J958" s="11"/>
      <c r="K958" s="12"/>
      <c r="L958" s="11"/>
      <c r="M958" s="11"/>
      <c r="N958" s="11"/>
      <c r="O958" s="11"/>
      <c r="P958" s="8"/>
    </row>
    <row r="959">
      <c r="A959" s="11"/>
      <c r="B959" s="9"/>
      <c r="C959" s="8"/>
      <c r="D959" s="8"/>
      <c r="E959" s="8"/>
      <c r="F959" s="12"/>
      <c r="G959" s="11"/>
      <c r="H959" s="11"/>
      <c r="I959" s="11"/>
      <c r="J959" s="11"/>
      <c r="K959" s="12"/>
      <c r="L959" s="11"/>
      <c r="M959" s="11"/>
      <c r="N959" s="11"/>
      <c r="O959" s="11"/>
      <c r="P959" s="8"/>
    </row>
    <row r="960">
      <c r="A960" s="11"/>
      <c r="B960" s="9"/>
      <c r="C960" s="8"/>
      <c r="D960" s="8"/>
      <c r="E960" s="8"/>
      <c r="F960" s="12"/>
      <c r="G960" s="11"/>
      <c r="H960" s="11"/>
      <c r="I960" s="11"/>
      <c r="J960" s="11"/>
      <c r="K960" s="12"/>
      <c r="L960" s="11"/>
      <c r="M960" s="11"/>
      <c r="N960" s="11"/>
      <c r="O960" s="11"/>
      <c r="P960" s="8"/>
    </row>
    <row r="961">
      <c r="A961" s="11"/>
      <c r="B961" s="9"/>
      <c r="C961" s="8"/>
      <c r="D961" s="8"/>
      <c r="E961" s="8"/>
      <c r="F961" s="12"/>
      <c r="G961" s="11"/>
      <c r="H961" s="11"/>
      <c r="I961" s="11"/>
      <c r="J961" s="11"/>
      <c r="K961" s="12"/>
      <c r="L961" s="11"/>
      <c r="M961" s="11"/>
      <c r="N961" s="11"/>
      <c r="O961" s="11"/>
      <c r="P961" s="8"/>
    </row>
    <row r="962">
      <c r="A962" s="11"/>
      <c r="B962" s="9"/>
      <c r="C962" s="8"/>
      <c r="D962" s="8"/>
      <c r="E962" s="8"/>
      <c r="F962" s="12"/>
      <c r="G962" s="11"/>
      <c r="H962" s="11"/>
      <c r="I962" s="11"/>
      <c r="J962" s="11"/>
      <c r="K962" s="12"/>
      <c r="L962" s="11"/>
      <c r="M962" s="11"/>
      <c r="N962" s="11"/>
      <c r="O962" s="11"/>
      <c r="P962" s="8"/>
    </row>
    <row r="963">
      <c r="A963" s="11"/>
      <c r="B963" s="9"/>
      <c r="C963" s="8"/>
      <c r="D963" s="8"/>
      <c r="E963" s="8"/>
      <c r="F963" s="12"/>
      <c r="G963" s="11"/>
      <c r="H963" s="11"/>
      <c r="I963" s="11"/>
      <c r="J963" s="11"/>
      <c r="K963" s="12"/>
      <c r="L963" s="11"/>
      <c r="M963" s="11"/>
      <c r="N963" s="11"/>
      <c r="O963" s="11"/>
      <c r="P963" s="8"/>
    </row>
    <row r="964">
      <c r="A964" s="11"/>
      <c r="B964" s="9"/>
      <c r="C964" s="8"/>
      <c r="D964" s="8"/>
      <c r="E964" s="8"/>
      <c r="F964" s="12"/>
      <c r="G964" s="11"/>
      <c r="H964" s="11"/>
      <c r="I964" s="11"/>
      <c r="J964" s="11"/>
      <c r="K964" s="12"/>
      <c r="L964" s="11"/>
      <c r="M964" s="11"/>
      <c r="N964" s="11"/>
      <c r="O964" s="11"/>
      <c r="P964" s="8"/>
    </row>
    <row r="965">
      <c r="A965" s="11"/>
      <c r="B965" s="9"/>
      <c r="C965" s="8"/>
      <c r="D965" s="8"/>
      <c r="E965" s="8"/>
      <c r="F965" s="12"/>
      <c r="G965" s="11"/>
      <c r="H965" s="11"/>
      <c r="I965" s="11"/>
      <c r="J965" s="11"/>
      <c r="K965" s="12"/>
      <c r="L965" s="11"/>
      <c r="M965" s="11"/>
      <c r="N965" s="11"/>
      <c r="O965" s="11"/>
      <c r="P965" s="8"/>
    </row>
    <row r="966">
      <c r="A966" s="11"/>
      <c r="B966" s="9"/>
      <c r="C966" s="8"/>
      <c r="D966" s="8"/>
      <c r="E966" s="8"/>
      <c r="F966" s="12"/>
      <c r="G966" s="11"/>
      <c r="H966" s="11"/>
      <c r="I966" s="11"/>
      <c r="J966" s="11"/>
      <c r="K966" s="12"/>
      <c r="L966" s="11"/>
      <c r="M966" s="11"/>
      <c r="N966" s="11"/>
      <c r="O966" s="11"/>
      <c r="P966" s="8"/>
    </row>
    <row r="967">
      <c r="A967" s="11"/>
      <c r="B967" s="9"/>
      <c r="C967" s="8"/>
      <c r="D967" s="8"/>
      <c r="E967" s="8"/>
      <c r="F967" s="12"/>
      <c r="G967" s="11"/>
      <c r="H967" s="11"/>
      <c r="I967" s="11"/>
      <c r="J967" s="11"/>
      <c r="K967" s="12"/>
      <c r="L967" s="11"/>
      <c r="M967" s="11"/>
      <c r="N967" s="11"/>
      <c r="O967" s="11"/>
      <c r="P967" s="8"/>
    </row>
    <row r="968">
      <c r="A968" s="11"/>
      <c r="B968" s="9"/>
      <c r="C968" s="8"/>
      <c r="D968" s="8"/>
      <c r="E968" s="8"/>
      <c r="F968" s="12"/>
      <c r="G968" s="11"/>
      <c r="H968" s="11"/>
      <c r="I968" s="11"/>
      <c r="J968" s="11"/>
      <c r="K968" s="12"/>
      <c r="L968" s="11"/>
      <c r="M968" s="11"/>
      <c r="N968" s="11"/>
      <c r="O968" s="11"/>
      <c r="P968" s="8"/>
    </row>
    <row r="969">
      <c r="A969" s="11"/>
      <c r="B969" s="9"/>
      <c r="C969" s="8"/>
      <c r="D969" s="8"/>
      <c r="E969" s="8"/>
      <c r="F969" s="12"/>
      <c r="G969" s="11"/>
      <c r="H969" s="11"/>
      <c r="I969" s="11"/>
      <c r="J969" s="11"/>
      <c r="K969" s="12"/>
      <c r="L969" s="11"/>
      <c r="M969" s="11"/>
      <c r="N969" s="11"/>
      <c r="O969" s="11"/>
      <c r="P969" s="8"/>
    </row>
    <row r="970">
      <c r="A970" s="11"/>
      <c r="B970" s="9"/>
      <c r="C970" s="8"/>
      <c r="D970" s="8"/>
      <c r="E970" s="8"/>
      <c r="F970" s="12"/>
      <c r="G970" s="11"/>
      <c r="H970" s="11"/>
      <c r="I970" s="11"/>
      <c r="J970" s="11"/>
      <c r="K970" s="12"/>
      <c r="L970" s="11"/>
      <c r="M970" s="11"/>
      <c r="N970" s="11"/>
      <c r="O970" s="11"/>
      <c r="P970" s="8"/>
    </row>
    <row r="971">
      <c r="A971" s="11"/>
      <c r="B971" s="9"/>
      <c r="C971" s="8"/>
      <c r="D971" s="8"/>
      <c r="E971" s="8"/>
      <c r="F971" s="12"/>
      <c r="G971" s="11"/>
      <c r="H971" s="11"/>
      <c r="I971" s="11"/>
      <c r="J971" s="11"/>
      <c r="K971" s="12"/>
      <c r="L971" s="11"/>
      <c r="M971" s="11"/>
      <c r="N971" s="11"/>
      <c r="O971" s="11"/>
      <c r="P971" s="8"/>
    </row>
    <row r="972">
      <c r="A972" s="11"/>
      <c r="B972" s="9"/>
      <c r="C972" s="8"/>
      <c r="D972" s="8"/>
      <c r="E972" s="8"/>
      <c r="F972" s="12"/>
      <c r="G972" s="11"/>
      <c r="H972" s="11"/>
      <c r="I972" s="11"/>
      <c r="J972" s="11"/>
      <c r="K972" s="12"/>
      <c r="L972" s="11"/>
      <c r="M972" s="11"/>
      <c r="N972" s="11"/>
      <c r="O972" s="11"/>
      <c r="P972" s="8"/>
    </row>
    <row r="973">
      <c r="A973" s="11"/>
      <c r="B973" s="9"/>
      <c r="C973" s="8"/>
      <c r="D973" s="8"/>
      <c r="E973" s="8"/>
      <c r="F973" s="12"/>
      <c r="G973" s="11"/>
      <c r="H973" s="11"/>
      <c r="I973" s="11"/>
      <c r="J973" s="11"/>
      <c r="K973" s="12"/>
      <c r="L973" s="11"/>
      <c r="M973" s="11"/>
      <c r="N973" s="11"/>
      <c r="O973" s="11"/>
      <c r="P973" s="8"/>
    </row>
    <row r="974">
      <c r="A974" s="11"/>
      <c r="B974" s="9"/>
      <c r="C974" s="8"/>
      <c r="D974" s="8"/>
      <c r="E974" s="8"/>
      <c r="F974" s="12"/>
      <c r="G974" s="11"/>
      <c r="H974" s="11"/>
      <c r="I974" s="11"/>
      <c r="J974" s="11"/>
      <c r="K974" s="12"/>
      <c r="L974" s="11"/>
      <c r="M974" s="11"/>
      <c r="N974" s="11"/>
      <c r="O974" s="11"/>
      <c r="P974" s="8"/>
    </row>
    <row r="975">
      <c r="A975" s="11"/>
      <c r="B975" s="9"/>
      <c r="C975" s="8"/>
      <c r="D975" s="8"/>
      <c r="E975" s="8"/>
      <c r="F975" s="12"/>
      <c r="G975" s="11"/>
      <c r="H975" s="11"/>
      <c r="I975" s="11"/>
      <c r="J975" s="11"/>
      <c r="K975" s="12"/>
      <c r="L975" s="11"/>
      <c r="M975" s="11"/>
      <c r="N975" s="11"/>
      <c r="O975" s="11"/>
      <c r="P975" s="8"/>
    </row>
    <row r="976">
      <c r="A976" s="11"/>
      <c r="B976" s="9"/>
      <c r="C976" s="8"/>
      <c r="D976" s="8"/>
      <c r="E976" s="8"/>
      <c r="F976" s="12"/>
      <c r="G976" s="11"/>
      <c r="H976" s="11"/>
      <c r="I976" s="11"/>
      <c r="J976" s="11"/>
      <c r="K976" s="12"/>
      <c r="L976" s="11"/>
      <c r="M976" s="11"/>
      <c r="N976" s="11"/>
      <c r="O976" s="11"/>
      <c r="P976" s="8"/>
    </row>
    <row r="977">
      <c r="A977" s="11"/>
      <c r="B977" s="9"/>
      <c r="C977" s="8"/>
      <c r="D977" s="8"/>
      <c r="E977" s="8"/>
      <c r="F977" s="12"/>
      <c r="G977" s="11"/>
      <c r="H977" s="11"/>
      <c r="I977" s="11"/>
      <c r="J977" s="11"/>
      <c r="K977" s="12"/>
      <c r="L977" s="11"/>
      <c r="M977" s="11"/>
      <c r="N977" s="11"/>
      <c r="O977" s="11"/>
      <c r="P977" s="8"/>
    </row>
    <row r="978">
      <c r="A978" s="11"/>
      <c r="B978" s="9"/>
      <c r="C978" s="8"/>
      <c r="D978" s="8"/>
      <c r="E978" s="8"/>
      <c r="F978" s="12"/>
      <c r="G978" s="11"/>
      <c r="H978" s="11"/>
      <c r="I978" s="11"/>
      <c r="J978" s="11"/>
      <c r="K978" s="12"/>
      <c r="L978" s="11"/>
      <c r="M978" s="11"/>
      <c r="N978" s="11"/>
      <c r="O978" s="11"/>
      <c r="P978" s="8"/>
    </row>
    <row r="979">
      <c r="A979" s="11"/>
      <c r="B979" s="9"/>
      <c r="C979" s="8"/>
      <c r="D979" s="8"/>
      <c r="E979" s="8"/>
      <c r="F979" s="12"/>
      <c r="G979" s="11"/>
      <c r="H979" s="11"/>
      <c r="I979" s="11"/>
      <c r="J979" s="11"/>
      <c r="K979" s="12"/>
      <c r="L979" s="11"/>
      <c r="M979" s="11"/>
      <c r="N979" s="11"/>
      <c r="O979" s="11"/>
      <c r="P979" s="8"/>
    </row>
    <row r="980">
      <c r="A980" s="11"/>
      <c r="B980" s="9"/>
      <c r="C980" s="8"/>
      <c r="D980" s="8"/>
      <c r="E980" s="8"/>
      <c r="F980" s="12"/>
      <c r="G980" s="11"/>
      <c r="H980" s="11"/>
      <c r="I980" s="11"/>
      <c r="J980" s="11"/>
      <c r="K980" s="12"/>
      <c r="L980" s="11"/>
      <c r="M980" s="11"/>
      <c r="N980" s="11"/>
      <c r="O980" s="11"/>
      <c r="P980" s="8"/>
    </row>
    <row r="981">
      <c r="A981" s="11"/>
      <c r="B981" s="9"/>
      <c r="C981" s="8"/>
      <c r="D981" s="8"/>
      <c r="E981" s="8"/>
      <c r="F981" s="12"/>
      <c r="G981" s="11"/>
      <c r="H981" s="11"/>
      <c r="I981" s="11"/>
      <c r="J981" s="11"/>
      <c r="K981" s="12"/>
      <c r="L981" s="11"/>
      <c r="M981" s="11"/>
      <c r="N981" s="11"/>
      <c r="O981" s="11"/>
      <c r="P981" s="8"/>
    </row>
    <row r="982">
      <c r="A982" s="11"/>
      <c r="B982" s="9"/>
      <c r="C982" s="8"/>
      <c r="D982" s="8"/>
      <c r="E982" s="8"/>
      <c r="F982" s="12"/>
      <c r="G982" s="11"/>
      <c r="H982" s="11"/>
      <c r="I982" s="11"/>
      <c r="J982" s="11"/>
      <c r="K982" s="12"/>
      <c r="L982" s="11"/>
      <c r="M982" s="11"/>
      <c r="N982" s="11"/>
      <c r="O982" s="11"/>
      <c r="P982" s="8"/>
    </row>
    <row r="983">
      <c r="A983" s="11"/>
      <c r="B983" s="9"/>
      <c r="C983" s="8"/>
      <c r="D983" s="8"/>
      <c r="E983" s="8"/>
      <c r="F983" s="12"/>
      <c r="G983" s="11"/>
      <c r="H983" s="11"/>
      <c r="I983" s="11"/>
      <c r="J983" s="11"/>
      <c r="K983" s="12"/>
      <c r="L983" s="11"/>
      <c r="M983" s="11"/>
      <c r="N983" s="11"/>
      <c r="O983" s="11"/>
      <c r="P983" s="8"/>
    </row>
    <row r="984">
      <c r="A984" s="11"/>
      <c r="B984" s="9"/>
      <c r="C984" s="8"/>
      <c r="D984" s="8"/>
      <c r="E984" s="8"/>
      <c r="F984" s="12"/>
      <c r="G984" s="11"/>
      <c r="H984" s="11"/>
      <c r="I984" s="11"/>
      <c r="J984" s="11"/>
      <c r="K984" s="12"/>
      <c r="L984" s="11"/>
      <c r="M984" s="11"/>
      <c r="N984" s="11"/>
      <c r="O984" s="11"/>
      <c r="P984" s="8"/>
    </row>
    <row r="985">
      <c r="A985" s="11"/>
      <c r="B985" s="9"/>
      <c r="C985" s="8"/>
      <c r="D985" s="8"/>
      <c r="E985" s="8"/>
      <c r="F985" s="12"/>
      <c r="G985" s="11"/>
      <c r="H985" s="11"/>
      <c r="I985" s="11"/>
      <c r="J985" s="11"/>
      <c r="K985" s="12"/>
      <c r="L985" s="11"/>
      <c r="M985" s="11"/>
      <c r="N985" s="11"/>
      <c r="O985" s="11"/>
      <c r="P985" s="8"/>
    </row>
    <row r="986">
      <c r="A986" s="11"/>
      <c r="B986" s="9"/>
      <c r="C986" s="8"/>
      <c r="D986" s="8"/>
      <c r="E986" s="8"/>
      <c r="F986" s="12"/>
      <c r="G986" s="11"/>
      <c r="H986" s="11"/>
      <c r="I986" s="11"/>
      <c r="J986" s="11"/>
      <c r="K986" s="12"/>
      <c r="L986" s="11"/>
      <c r="M986" s="11"/>
      <c r="N986" s="11"/>
      <c r="O986" s="11"/>
      <c r="P986" s="8"/>
    </row>
    <row r="987">
      <c r="A987" s="11"/>
      <c r="B987" s="9"/>
      <c r="C987" s="8"/>
      <c r="D987" s="8"/>
      <c r="E987" s="8"/>
      <c r="F987" s="12"/>
      <c r="G987" s="11"/>
      <c r="H987" s="11"/>
      <c r="I987" s="11"/>
      <c r="J987" s="11"/>
      <c r="K987" s="12"/>
      <c r="L987" s="11"/>
      <c r="M987" s="11"/>
      <c r="N987" s="11"/>
      <c r="O987" s="11"/>
      <c r="P987" s="8"/>
    </row>
    <row r="988">
      <c r="A988" s="11"/>
      <c r="B988" s="9"/>
      <c r="C988" s="8"/>
      <c r="D988" s="8"/>
      <c r="E988" s="8"/>
      <c r="F988" s="12"/>
      <c r="G988" s="11"/>
      <c r="H988" s="11"/>
      <c r="I988" s="11"/>
      <c r="J988" s="11"/>
      <c r="K988" s="12"/>
      <c r="L988" s="11"/>
      <c r="M988" s="11"/>
      <c r="N988" s="11"/>
      <c r="O988" s="11"/>
      <c r="P988" s="8"/>
    </row>
    <row r="989">
      <c r="A989" s="11"/>
      <c r="B989" s="9"/>
      <c r="C989" s="8"/>
      <c r="D989" s="8"/>
      <c r="E989" s="8"/>
      <c r="F989" s="12"/>
      <c r="G989" s="11"/>
      <c r="H989" s="11"/>
      <c r="I989" s="11"/>
      <c r="J989" s="11"/>
      <c r="K989" s="12"/>
      <c r="L989" s="11"/>
      <c r="M989" s="11"/>
      <c r="N989" s="11"/>
      <c r="O989" s="11"/>
      <c r="P989" s="8"/>
    </row>
    <row r="990">
      <c r="A990" s="11"/>
      <c r="B990" s="9"/>
      <c r="C990" s="8"/>
      <c r="D990" s="8"/>
      <c r="E990" s="8"/>
      <c r="F990" s="12"/>
      <c r="G990" s="11"/>
      <c r="H990" s="11"/>
      <c r="I990" s="11"/>
      <c r="J990" s="11"/>
      <c r="K990" s="12"/>
      <c r="L990" s="11"/>
      <c r="M990" s="11"/>
      <c r="N990" s="11"/>
      <c r="O990" s="11"/>
      <c r="P990" s="8"/>
    </row>
    <row r="991">
      <c r="A991" s="11"/>
      <c r="B991" s="9"/>
      <c r="C991" s="8"/>
      <c r="D991" s="8"/>
      <c r="E991" s="8"/>
      <c r="F991" s="12"/>
      <c r="G991" s="11"/>
      <c r="H991" s="11"/>
      <c r="I991" s="11"/>
      <c r="J991" s="11"/>
      <c r="K991" s="12"/>
      <c r="L991" s="11"/>
      <c r="M991" s="11"/>
      <c r="N991" s="11"/>
      <c r="O991" s="11"/>
      <c r="P991" s="8"/>
    </row>
    <row r="992">
      <c r="A992" s="11"/>
      <c r="B992" s="9"/>
      <c r="C992" s="8"/>
      <c r="D992" s="8"/>
      <c r="E992" s="8"/>
      <c r="F992" s="12"/>
      <c r="G992" s="11"/>
      <c r="H992" s="11"/>
      <c r="I992" s="11"/>
      <c r="J992" s="11"/>
      <c r="K992" s="12"/>
      <c r="L992" s="11"/>
      <c r="M992" s="11"/>
      <c r="N992" s="11"/>
      <c r="O992" s="11"/>
      <c r="P992" s="8"/>
    </row>
    <row r="993">
      <c r="A993" s="11"/>
      <c r="B993" s="9"/>
      <c r="C993" s="8"/>
      <c r="D993" s="8"/>
      <c r="E993" s="8"/>
      <c r="F993" s="12"/>
      <c r="G993" s="11"/>
      <c r="H993" s="11"/>
      <c r="I993" s="11"/>
      <c r="J993" s="11"/>
      <c r="K993" s="12"/>
      <c r="L993" s="11"/>
      <c r="M993" s="11"/>
      <c r="N993" s="11"/>
      <c r="O993" s="11"/>
      <c r="P993" s="8"/>
    </row>
    <row r="994">
      <c r="A994" s="11"/>
      <c r="B994" s="9"/>
      <c r="C994" s="8"/>
      <c r="D994" s="8"/>
      <c r="E994" s="8"/>
      <c r="F994" s="12"/>
      <c r="G994" s="11"/>
      <c r="H994" s="11"/>
      <c r="I994" s="11"/>
      <c r="J994" s="11"/>
      <c r="K994" s="12"/>
      <c r="L994" s="11"/>
      <c r="M994" s="11"/>
      <c r="N994" s="11"/>
      <c r="O994" s="11"/>
      <c r="P994" s="8"/>
    </row>
    <row r="995">
      <c r="A995" s="11"/>
      <c r="B995" s="9"/>
      <c r="C995" s="8"/>
      <c r="D995" s="8"/>
      <c r="E995" s="8"/>
      <c r="F995" s="12"/>
      <c r="G995" s="11"/>
      <c r="H995" s="11"/>
      <c r="I995" s="11"/>
      <c r="J995" s="11"/>
      <c r="K995" s="12"/>
      <c r="L995" s="11"/>
      <c r="M995" s="11"/>
      <c r="N995" s="11"/>
      <c r="O995" s="11"/>
      <c r="P995" s="8"/>
    </row>
    <row r="996">
      <c r="A996" s="11"/>
      <c r="B996" s="9"/>
      <c r="C996" s="8"/>
      <c r="D996" s="8"/>
      <c r="E996" s="8"/>
      <c r="F996" s="12"/>
      <c r="G996" s="11"/>
      <c r="H996" s="11"/>
      <c r="I996" s="11"/>
      <c r="J996" s="11"/>
      <c r="K996" s="12"/>
      <c r="L996" s="11"/>
      <c r="M996" s="11"/>
      <c r="N996" s="11"/>
      <c r="O996" s="11"/>
      <c r="P996" s="8"/>
    </row>
    <row r="997">
      <c r="A997" s="11"/>
      <c r="B997" s="9"/>
      <c r="C997" s="8"/>
      <c r="D997" s="8"/>
      <c r="E997" s="8"/>
      <c r="F997" s="12"/>
      <c r="G997" s="11"/>
      <c r="H997" s="11"/>
      <c r="I997" s="11"/>
      <c r="J997" s="11"/>
      <c r="K997" s="12"/>
      <c r="L997" s="11"/>
      <c r="M997" s="11"/>
      <c r="N997" s="11"/>
      <c r="O997" s="11"/>
      <c r="P997" s="8"/>
    </row>
    <row r="998">
      <c r="A998" s="11"/>
      <c r="B998" s="9"/>
      <c r="C998" s="8"/>
      <c r="D998" s="8"/>
      <c r="E998" s="8"/>
      <c r="F998" s="12"/>
      <c r="G998" s="11"/>
      <c r="H998" s="11"/>
      <c r="I998" s="11"/>
      <c r="J998" s="11"/>
      <c r="K998" s="12"/>
      <c r="L998" s="11"/>
      <c r="M998" s="11"/>
      <c r="N998" s="11"/>
      <c r="O998" s="11"/>
      <c r="P998" s="8"/>
    </row>
    <row r="999">
      <c r="A999" s="11"/>
      <c r="B999" s="9"/>
      <c r="C999" s="8"/>
      <c r="D999" s="8"/>
      <c r="E999" s="8"/>
      <c r="F999" s="12"/>
      <c r="G999" s="11"/>
      <c r="H999" s="11"/>
      <c r="I999" s="11"/>
      <c r="J999" s="11"/>
      <c r="K999" s="12"/>
      <c r="L999" s="11"/>
      <c r="M999" s="11"/>
      <c r="N999" s="11"/>
      <c r="O999" s="11"/>
      <c r="P999" s="8"/>
    </row>
    <row r="1000">
      <c r="A1000" s="11"/>
      <c r="B1000" s="9"/>
      <c r="C1000" s="8"/>
      <c r="D1000" s="8"/>
      <c r="E1000" s="8"/>
      <c r="F1000" s="12"/>
      <c r="G1000" s="11"/>
      <c r="H1000" s="11"/>
      <c r="I1000" s="11"/>
      <c r="J1000" s="11"/>
      <c r="K1000" s="12"/>
      <c r="L1000" s="11"/>
      <c r="M1000" s="11"/>
      <c r="N1000" s="11"/>
      <c r="O1000" s="11"/>
      <c r="P1000" s="8"/>
    </row>
    <row r="1001">
      <c r="A1001" s="11"/>
      <c r="B1001" s="9"/>
      <c r="C1001" s="8"/>
      <c r="D1001" s="8"/>
      <c r="E1001" s="8"/>
      <c r="F1001" s="12"/>
      <c r="G1001" s="11"/>
      <c r="H1001" s="11"/>
      <c r="I1001" s="11"/>
      <c r="J1001" s="11"/>
      <c r="K1001" s="12"/>
      <c r="L1001" s="11"/>
      <c r="M1001" s="11"/>
      <c r="N1001" s="11"/>
      <c r="O1001" s="11"/>
      <c r="P1001" s="8"/>
    </row>
    <row r="1002">
      <c r="A1002" s="11"/>
      <c r="B1002" s="9"/>
      <c r="C1002" s="8"/>
      <c r="D1002" s="8"/>
      <c r="E1002" s="8"/>
      <c r="F1002" s="12"/>
      <c r="G1002" s="11"/>
      <c r="H1002" s="11"/>
      <c r="I1002" s="11"/>
      <c r="J1002" s="11"/>
      <c r="K1002" s="12"/>
      <c r="L1002" s="11"/>
      <c r="M1002" s="11"/>
      <c r="N1002" s="11"/>
      <c r="O1002" s="11"/>
      <c r="P1002" s="8"/>
    </row>
    <row r="1003">
      <c r="A1003" s="11"/>
      <c r="B1003" s="9"/>
      <c r="C1003" s="8"/>
      <c r="D1003" s="8"/>
      <c r="E1003" s="8"/>
      <c r="F1003" s="12"/>
      <c r="G1003" s="11"/>
      <c r="H1003" s="11"/>
      <c r="I1003" s="11"/>
      <c r="J1003" s="11"/>
      <c r="K1003" s="12"/>
      <c r="L1003" s="11"/>
      <c r="M1003" s="11"/>
      <c r="N1003" s="11"/>
      <c r="O1003" s="11"/>
      <c r="P1003" s="8"/>
    </row>
    <row r="1004">
      <c r="A1004" s="11"/>
      <c r="B1004" s="9"/>
      <c r="C1004" s="8"/>
      <c r="D1004" s="8"/>
      <c r="E1004" s="8"/>
      <c r="F1004" s="12"/>
      <c r="G1004" s="11"/>
      <c r="H1004" s="11"/>
      <c r="I1004" s="11"/>
      <c r="J1004" s="11"/>
      <c r="K1004" s="12"/>
      <c r="L1004" s="11"/>
      <c r="M1004" s="11"/>
      <c r="N1004" s="11"/>
      <c r="O1004" s="11"/>
      <c r="P1004" s="8"/>
    </row>
    <row r="1005">
      <c r="A1005" s="11"/>
      <c r="B1005" s="9"/>
      <c r="C1005" s="8"/>
      <c r="D1005" s="8"/>
      <c r="E1005" s="8"/>
      <c r="F1005" s="12"/>
      <c r="G1005" s="11"/>
      <c r="H1005" s="11"/>
      <c r="I1005" s="11"/>
      <c r="J1005" s="11"/>
      <c r="K1005" s="12"/>
      <c r="L1005" s="11"/>
      <c r="M1005" s="11"/>
      <c r="N1005" s="11"/>
      <c r="O1005" s="11"/>
      <c r="P1005" s="8"/>
    </row>
    <row r="1006">
      <c r="A1006" s="11"/>
      <c r="B1006" s="9"/>
      <c r="C1006" s="8"/>
      <c r="D1006" s="8"/>
      <c r="E1006" s="8"/>
      <c r="F1006" s="12"/>
      <c r="G1006" s="11"/>
      <c r="H1006" s="11"/>
      <c r="I1006" s="11"/>
      <c r="J1006" s="11"/>
      <c r="K1006" s="12"/>
      <c r="L1006" s="11"/>
      <c r="M1006" s="11"/>
      <c r="N1006" s="11"/>
      <c r="O1006" s="11"/>
      <c r="P1006" s="8"/>
    </row>
    <row r="1007">
      <c r="A1007" s="11"/>
      <c r="B1007" s="9"/>
      <c r="C1007" s="8"/>
      <c r="D1007" s="8"/>
      <c r="E1007" s="8"/>
      <c r="F1007" s="12"/>
      <c r="G1007" s="11"/>
      <c r="H1007" s="11"/>
      <c r="I1007" s="11"/>
      <c r="J1007" s="11"/>
      <c r="K1007" s="12"/>
      <c r="L1007" s="11"/>
      <c r="M1007" s="11"/>
      <c r="N1007" s="11"/>
      <c r="O1007" s="11"/>
      <c r="P1007" s="8"/>
    </row>
    <row r="1008">
      <c r="A1008" s="11"/>
      <c r="B1008" s="9"/>
      <c r="C1008" s="8"/>
      <c r="D1008" s="8"/>
      <c r="E1008" s="8"/>
      <c r="F1008" s="12"/>
      <c r="G1008" s="11"/>
      <c r="H1008" s="11"/>
      <c r="I1008" s="11"/>
      <c r="J1008" s="11"/>
      <c r="K1008" s="12"/>
      <c r="L1008" s="11"/>
      <c r="M1008" s="11"/>
      <c r="N1008" s="11"/>
      <c r="O1008" s="11"/>
      <c r="P1008" s="8"/>
    </row>
    <row r="1009">
      <c r="A1009" s="11"/>
      <c r="B1009" s="9"/>
      <c r="C1009" s="8"/>
      <c r="D1009" s="8"/>
      <c r="E1009" s="8"/>
      <c r="F1009" s="12"/>
      <c r="G1009" s="11"/>
      <c r="H1009" s="11"/>
      <c r="I1009" s="11"/>
      <c r="J1009" s="11"/>
      <c r="K1009" s="12"/>
      <c r="L1009" s="11"/>
      <c r="M1009" s="11"/>
      <c r="N1009" s="11"/>
      <c r="O1009" s="11"/>
      <c r="P1009" s="8"/>
    </row>
    <row r="1010">
      <c r="A1010" s="11"/>
      <c r="B1010" s="9"/>
      <c r="C1010" s="8"/>
      <c r="D1010" s="8"/>
      <c r="E1010" s="8"/>
      <c r="F1010" s="12"/>
      <c r="G1010" s="11"/>
      <c r="H1010" s="11"/>
      <c r="I1010" s="11"/>
      <c r="J1010" s="11"/>
      <c r="K1010" s="12"/>
      <c r="L1010" s="11"/>
      <c r="M1010" s="11"/>
      <c r="N1010" s="11"/>
      <c r="O1010" s="11"/>
      <c r="P1010" s="8"/>
    </row>
    <row r="1011">
      <c r="A1011" s="11"/>
      <c r="B1011" s="9"/>
      <c r="C1011" s="8"/>
      <c r="D1011" s="8"/>
      <c r="E1011" s="8"/>
      <c r="F1011" s="12"/>
      <c r="G1011" s="11"/>
      <c r="H1011" s="11"/>
      <c r="I1011" s="11"/>
      <c r="J1011" s="11"/>
      <c r="K1011" s="12"/>
      <c r="L1011" s="11"/>
      <c r="M1011" s="11"/>
      <c r="N1011" s="11"/>
      <c r="O1011" s="11"/>
      <c r="P1011" s="8"/>
    </row>
    <row r="1012">
      <c r="A1012" s="11"/>
      <c r="B1012" s="9"/>
      <c r="C1012" s="8"/>
      <c r="D1012" s="8"/>
      <c r="E1012" s="8"/>
      <c r="F1012" s="12"/>
      <c r="G1012" s="11"/>
      <c r="H1012" s="11"/>
      <c r="I1012" s="11"/>
      <c r="J1012" s="11"/>
      <c r="K1012" s="12"/>
      <c r="L1012" s="11"/>
      <c r="M1012" s="11"/>
      <c r="N1012" s="11"/>
      <c r="O1012" s="11"/>
      <c r="P1012" s="8"/>
    </row>
    <row r="1013">
      <c r="A1013" s="11"/>
      <c r="B1013" s="9"/>
      <c r="C1013" s="8"/>
      <c r="D1013" s="8"/>
      <c r="E1013" s="8"/>
      <c r="F1013" s="12"/>
      <c r="G1013" s="11"/>
      <c r="H1013" s="11"/>
      <c r="I1013" s="11"/>
      <c r="J1013" s="11"/>
      <c r="K1013" s="12"/>
      <c r="L1013" s="11"/>
      <c r="M1013" s="11"/>
      <c r="N1013" s="11"/>
      <c r="O1013" s="11"/>
      <c r="P1013" s="8"/>
    </row>
    <row r="1014">
      <c r="A1014" s="11"/>
      <c r="B1014" s="9"/>
      <c r="C1014" s="8"/>
      <c r="D1014" s="8"/>
      <c r="E1014" s="8"/>
      <c r="F1014" s="12"/>
      <c r="G1014" s="11"/>
      <c r="H1014" s="11"/>
      <c r="I1014" s="11"/>
      <c r="J1014" s="11"/>
      <c r="K1014" s="12"/>
      <c r="L1014" s="11"/>
      <c r="M1014" s="11"/>
      <c r="N1014" s="11"/>
      <c r="O1014" s="11"/>
      <c r="P1014" s="8"/>
    </row>
    <row r="1015">
      <c r="A1015" s="11"/>
      <c r="B1015" s="9"/>
      <c r="C1015" s="8"/>
      <c r="D1015" s="8"/>
      <c r="E1015" s="8"/>
      <c r="F1015" s="12"/>
      <c r="G1015" s="11"/>
      <c r="H1015" s="11"/>
      <c r="I1015" s="11"/>
      <c r="J1015" s="11"/>
      <c r="K1015" s="12"/>
      <c r="L1015" s="11"/>
      <c r="M1015" s="11"/>
      <c r="N1015" s="11"/>
      <c r="O1015" s="11"/>
      <c r="P1015" s="8"/>
    </row>
    <row r="1016">
      <c r="A1016" s="11"/>
      <c r="B1016" s="9"/>
      <c r="C1016" s="8"/>
      <c r="D1016" s="8"/>
      <c r="E1016" s="8"/>
      <c r="F1016" s="12"/>
      <c r="G1016" s="11"/>
      <c r="H1016" s="11"/>
      <c r="I1016" s="11"/>
      <c r="J1016" s="11"/>
      <c r="K1016" s="12"/>
      <c r="L1016" s="11"/>
      <c r="M1016" s="11"/>
      <c r="N1016" s="11"/>
      <c r="O1016" s="11"/>
      <c r="P1016" s="8"/>
    </row>
    <row r="1017">
      <c r="A1017" s="11"/>
      <c r="B1017" s="9"/>
      <c r="C1017" s="8"/>
      <c r="D1017" s="8"/>
      <c r="E1017" s="8"/>
      <c r="F1017" s="12"/>
      <c r="G1017" s="11"/>
      <c r="H1017" s="11"/>
      <c r="I1017" s="11"/>
      <c r="J1017" s="11"/>
      <c r="K1017" s="12"/>
      <c r="L1017" s="11"/>
      <c r="M1017" s="11"/>
      <c r="N1017" s="11"/>
      <c r="O1017" s="11"/>
      <c r="P1017" s="8"/>
    </row>
    <row r="1018">
      <c r="A1018" s="11"/>
      <c r="B1018" s="9"/>
      <c r="C1018" s="8"/>
      <c r="D1018" s="8"/>
      <c r="E1018" s="8"/>
      <c r="F1018" s="12"/>
      <c r="G1018" s="11"/>
      <c r="H1018" s="11"/>
      <c r="I1018" s="11"/>
      <c r="J1018" s="11"/>
      <c r="K1018" s="12"/>
      <c r="L1018" s="11"/>
      <c r="M1018" s="11"/>
      <c r="N1018" s="11"/>
      <c r="O1018" s="11"/>
      <c r="P1018" s="8"/>
    </row>
    <row r="1019">
      <c r="A1019" s="11"/>
      <c r="B1019" s="9"/>
      <c r="C1019" s="8"/>
      <c r="D1019" s="8"/>
      <c r="E1019" s="8"/>
      <c r="F1019" s="12"/>
      <c r="G1019" s="11"/>
      <c r="H1019" s="11"/>
      <c r="I1019" s="11"/>
      <c r="J1019" s="11"/>
      <c r="K1019" s="12"/>
      <c r="L1019" s="11"/>
      <c r="M1019" s="11"/>
      <c r="N1019" s="11"/>
      <c r="O1019" s="11"/>
      <c r="P1019" s="8"/>
    </row>
    <row r="1020">
      <c r="A1020" s="11"/>
      <c r="B1020" s="9"/>
      <c r="C1020" s="8"/>
      <c r="D1020" s="8"/>
      <c r="E1020" s="8"/>
      <c r="F1020" s="12"/>
      <c r="G1020" s="11"/>
      <c r="H1020" s="11"/>
      <c r="I1020" s="11"/>
      <c r="J1020" s="11"/>
      <c r="K1020" s="12"/>
      <c r="L1020" s="11"/>
      <c r="M1020" s="11"/>
      <c r="N1020" s="11"/>
      <c r="O1020" s="11"/>
      <c r="P1020" s="8"/>
    </row>
    <row r="1021">
      <c r="A1021" s="11"/>
      <c r="B1021" s="9"/>
      <c r="C1021" s="8"/>
      <c r="D1021" s="8"/>
      <c r="E1021" s="8"/>
      <c r="F1021" s="12"/>
      <c r="G1021" s="11"/>
      <c r="H1021" s="11"/>
      <c r="I1021" s="11"/>
      <c r="J1021" s="11"/>
      <c r="K1021" s="12"/>
      <c r="L1021" s="11"/>
      <c r="M1021" s="11"/>
      <c r="N1021" s="11"/>
      <c r="O1021" s="11"/>
      <c r="P1021" s="8"/>
    </row>
    <row r="1022">
      <c r="A1022" s="11"/>
      <c r="B1022" s="9"/>
      <c r="C1022" s="8"/>
      <c r="D1022" s="8"/>
      <c r="E1022" s="8"/>
      <c r="F1022" s="12"/>
      <c r="G1022" s="11"/>
      <c r="H1022" s="11"/>
      <c r="I1022" s="11"/>
      <c r="J1022" s="11"/>
      <c r="K1022" s="12"/>
      <c r="L1022" s="11"/>
      <c r="M1022" s="11"/>
      <c r="N1022" s="11"/>
      <c r="O1022" s="11"/>
      <c r="P1022" s="8"/>
    </row>
    <row r="1023">
      <c r="A1023" s="11"/>
      <c r="B1023" s="9"/>
      <c r="C1023" s="8"/>
      <c r="D1023" s="8"/>
      <c r="E1023" s="8"/>
      <c r="F1023" s="12"/>
      <c r="G1023" s="11"/>
      <c r="H1023" s="11"/>
      <c r="I1023" s="11"/>
      <c r="J1023" s="11"/>
      <c r="K1023" s="12"/>
      <c r="L1023" s="11"/>
      <c r="M1023" s="11"/>
      <c r="N1023" s="11"/>
      <c r="O1023" s="11"/>
      <c r="P1023" s="8"/>
    </row>
    <row r="1024">
      <c r="A1024" s="11"/>
      <c r="B1024" s="9"/>
      <c r="C1024" s="8"/>
      <c r="D1024" s="8"/>
      <c r="E1024" s="8"/>
      <c r="F1024" s="12"/>
      <c r="G1024" s="11"/>
      <c r="H1024" s="11"/>
      <c r="I1024" s="11"/>
      <c r="J1024" s="11"/>
      <c r="K1024" s="12"/>
      <c r="L1024" s="11"/>
      <c r="M1024" s="11"/>
      <c r="N1024" s="11"/>
      <c r="O1024" s="11"/>
      <c r="P1024" s="8"/>
    </row>
    <row r="1025">
      <c r="A1025" s="11"/>
      <c r="B1025" s="9"/>
      <c r="C1025" s="8"/>
      <c r="D1025" s="8"/>
      <c r="E1025" s="8"/>
      <c r="F1025" s="12"/>
      <c r="G1025" s="11"/>
      <c r="H1025" s="11"/>
      <c r="I1025" s="11"/>
      <c r="J1025" s="11"/>
      <c r="K1025" s="12"/>
      <c r="L1025" s="11"/>
      <c r="M1025" s="11"/>
      <c r="N1025" s="11"/>
      <c r="O1025" s="11"/>
      <c r="P1025" s="8"/>
    </row>
    <row r="1026">
      <c r="A1026" s="11"/>
      <c r="B1026" s="9"/>
      <c r="C1026" s="8"/>
      <c r="D1026" s="8"/>
      <c r="E1026" s="8"/>
      <c r="F1026" s="12"/>
      <c r="G1026" s="11"/>
      <c r="H1026" s="11"/>
      <c r="I1026" s="11"/>
      <c r="J1026" s="11"/>
      <c r="K1026" s="12"/>
      <c r="L1026" s="11"/>
      <c r="M1026" s="11"/>
      <c r="N1026" s="11"/>
      <c r="O1026" s="11"/>
      <c r="P1026" s="8"/>
    </row>
    <row r="1027">
      <c r="A1027" s="11"/>
      <c r="B1027" s="9"/>
      <c r="C1027" s="8"/>
      <c r="D1027" s="8"/>
      <c r="E1027" s="8"/>
      <c r="F1027" s="12"/>
      <c r="G1027" s="11"/>
      <c r="H1027" s="11"/>
      <c r="I1027" s="11"/>
      <c r="J1027" s="11"/>
      <c r="K1027" s="12"/>
      <c r="L1027" s="11"/>
      <c r="M1027" s="11"/>
      <c r="N1027" s="11"/>
      <c r="O1027" s="11"/>
      <c r="P1027" s="8"/>
    </row>
    <row r="1028">
      <c r="A1028" s="11"/>
      <c r="B1028" s="9"/>
      <c r="C1028" s="8"/>
      <c r="D1028" s="8"/>
      <c r="E1028" s="8"/>
      <c r="F1028" s="12"/>
      <c r="G1028" s="11"/>
      <c r="H1028" s="11"/>
      <c r="I1028" s="11"/>
      <c r="J1028" s="11"/>
      <c r="K1028" s="12"/>
      <c r="L1028" s="11"/>
      <c r="M1028" s="11"/>
      <c r="N1028" s="11"/>
      <c r="O1028" s="11"/>
      <c r="P1028" s="8"/>
    </row>
    <row r="1029">
      <c r="A1029" s="11"/>
      <c r="B1029" s="9"/>
      <c r="C1029" s="8"/>
      <c r="D1029" s="8"/>
      <c r="E1029" s="8"/>
      <c r="F1029" s="12"/>
      <c r="G1029" s="11"/>
      <c r="H1029" s="11"/>
      <c r="I1029" s="11"/>
      <c r="J1029" s="11"/>
      <c r="K1029" s="12"/>
      <c r="L1029" s="11"/>
      <c r="M1029" s="11"/>
      <c r="N1029" s="11"/>
      <c r="O1029" s="11"/>
      <c r="P1029" s="8"/>
    </row>
    <row r="1030">
      <c r="A1030" s="11"/>
      <c r="B1030" s="9"/>
      <c r="C1030" s="8"/>
      <c r="D1030" s="8"/>
      <c r="E1030" s="8"/>
      <c r="F1030" s="12"/>
      <c r="G1030" s="11"/>
      <c r="H1030" s="11"/>
      <c r="I1030" s="11"/>
      <c r="J1030" s="11"/>
      <c r="K1030" s="12"/>
      <c r="L1030" s="11"/>
      <c r="M1030" s="11"/>
      <c r="N1030" s="11"/>
      <c r="O1030" s="11"/>
      <c r="P1030" s="8"/>
    </row>
    <row r="1031">
      <c r="A1031" s="11"/>
      <c r="B1031" s="9"/>
      <c r="C1031" s="8"/>
      <c r="D1031" s="8"/>
      <c r="E1031" s="8"/>
      <c r="F1031" s="12"/>
      <c r="G1031" s="11"/>
      <c r="H1031" s="11"/>
      <c r="I1031" s="11"/>
      <c r="J1031" s="11"/>
      <c r="K1031" s="12"/>
      <c r="L1031" s="11"/>
      <c r="M1031" s="11"/>
      <c r="N1031" s="11"/>
      <c r="O1031" s="11"/>
      <c r="P1031" s="8"/>
    </row>
    <row r="1032">
      <c r="A1032" s="11"/>
      <c r="B1032" s="9"/>
      <c r="C1032" s="8"/>
      <c r="D1032" s="8"/>
      <c r="E1032" s="8"/>
      <c r="F1032" s="12"/>
      <c r="G1032" s="11"/>
      <c r="H1032" s="11"/>
      <c r="I1032" s="11"/>
      <c r="J1032" s="11"/>
      <c r="K1032" s="12"/>
      <c r="L1032" s="11"/>
      <c r="M1032" s="11"/>
      <c r="N1032" s="11"/>
      <c r="O1032" s="11"/>
      <c r="P1032" s="8"/>
    </row>
    <row r="1033">
      <c r="A1033" s="11"/>
      <c r="B1033" s="9"/>
      <c r="C1033" s="8"/>
      <c r="D1033" s="8"/>
      <c r="E1033" s="8"/>
      <c r="F1033" s="12"/>
      <c r="G1033" s="11"/>
      <c r="H1033" s="11"/>
      <c r="I1033" s="11"/>
      <c r="J1033" s="11"/>
      <c r="K1033" s="12"/>
      <c r="L1033" s="11"/>
      <c r="M1033" s="11"/>
      <c r="N1033" s="11"/>
      <c r="O1033" s="11"/>
      <c r="P1033" s="8"/>
    </row>
    <row r="1034">
      <c r="A1034" s="11"/>
      <c r="B1034" s="9"/>
      <c r="C1034" s="8"/>
      <c r="D1034" s="8"/>
      <c r="E1034" s="8"/>
      <c r="F1034" s="12"/>
      <c r="G1034" s="11"/>
      <c r="H1034" s="11"/>
      <c r="I1034" s="11"/>
      <c r="J1034" s="11"/>
      <c r="K1034" s="12"/>
      <c r="L1034" s="11"/>
      <c r="M1034" s="11"/>
      <c r="N1034" s="11"/>
      <c r="O1034" s="11"/>
      <c r="P1034" s="8"/>
    </row>
    <row r="1035">
      <c r="A1035" s="11"/>
      <c r="B1035" s="9"/>
      <c r="C1035" s="8"/>
      <c r="D1035" s="8"/>
      <c r="E1035" s="8"/>
      <c r="F1035" s="12"/>
      <c r="G1035" s="11"/>
      <c r="H1035" s="11"/>
      <c r="I1035" s="11"/>
      <c r="J1035" s="11"/>
      <c r="K1035" s="12"/>
      <c r="L1035" s="11"/>
      <c r="M1035" s="11"/>
      <c r="N1035" s="11"/>
      <c r="O1035" s="11"/>
      <c r="P1035" s="8"/>
    </row>
    <row r="1036">
      <c r="A1036" s="11"/>
      <c r="B1036" s="9"/>
      <c r="C1036" s="8"/>
      <c r="D1036" s="8"/>
      <c r="E1036" s="8"/>
      <c r="F1036" s="12"/>
      <c r="G1036" s="11"/>
      <c r="H1036" s="11"/>
      <c r="I1036" s="11"/>
      <c r="J1036" s="11"/>
      <c r="K1036" s="12"/>
      <c r="L1036" s="11"/>
      <c r="M1036" s="11"/>
      <c r="N1036" s="11"/>
      <c r="O1036" s="11"/>
      <c r="P1036" s="8"/>
    </row>
    <row r="1037">
      <c r="A1037" s="11"/>
      <c r="B1037" s="9"/>
      <c r="C1037" s="8"/>
      <c r="D1037" s="8"/>
      <c r="E1037" s="8"/>
      <c r="F1037" s="12"/>
      <c r="G1037" s="11"/>
      <c r="H1037" s="11"/>
      <c r="I1037" s="11"/>
      <c r="J1037" s="11"/>
      <c r="K1037" s="12"/>
      <c r="L1037" s="11"/>
      <c r="M1037" s="11"/>
      <c r="N1037" s="11"/>
      <c r="O1037" s="11"/>
      <c r="P1037" s="8"/>
    </row>
    <row r="1038">
      <c r="A1038" s="11"/>
      <c r="B1038" s="9"/>
      <c r="C1038" s="8"/>
      <c r="D1038" s="8"/>
      <c r="E1038" s="8"/>
      <c r="F1038" s="12"/>
      <c r="G1038" s="11"/>
      <c r="H1038" s="11"/>
      <c r="I1038" s="11"/>
      <c r="J1038" s="11"/>
      <c r="K1038" s="12"/>
      <c r="L1038" s="11"/>
      <c r="M1038" s="11"/>
      <c r="N1038" s="11"/>
      <c r="O1038" s="11"/>
      <c r="P1038" s="8"/>
    </row>
    <row r="1039">
      <c r="A1039" s="11"/>
      <c r="B1039" s="9"/>
      <c r="C1039" s="8"/>
      <c r="D1039" s="8"/>
      <c r="E1039" s="8"/>
      <c r="F1039" s="12"/>
      <c r="G1039" s="11"/>
      <c r="H1039" s="11"/>
      <c r="I1039" s="11"/>
      <c r="J1039" s="11"/>
      <c r="K1039" s="12"/>
      <c r="L1039" s="11"/>
      <c r="M1039" s="11"/>
      <c r="N1039" s="11"/>
      <c r="O1039" s="11"/>
      <c r="P1039" s="8"/>
    </row>
    <row r="1040">
      <c r="A1040" s="11"/>
      <c r="B1040" s="9"/>
      <c r="C1040" s="8"/>
      <c r="D1040" s="8"/>
      <c r="E1040" s="8"/>
      <c r="F1040" s="12"/>
      <c r="G1040" s="11"/>
      <c r="H1040" s="11"/>
      <c r="I1040" s="11"/>
      <c r="J1040" s="11"/>
      <c r="K1040" s="12"/>
      <c r="L1040" s="11"/>
      <c r="M1040" s="11"/>
      <c r="N1040" s="11"/>
      <c r="O1040" s="11"/>
      <c r="P1040" s="8"/>
    </row>
    <row r="1041">
      <c r="A1041" s="11"/>
      <c r="B1041" s="9"/>
      <c r="C1041" s="8"/>
      <c r="D1041" s="8"/>
      <c r="E1041" s="8"/>
      <c r="F1041" s="12"/>
      <c r="G1041" s="11"/>
      <c r="H1041" s="11"/>
      <c r="I1041" s="11"/>
      <c r="J1041" s="11"/>
      <c r="K1041" s="12"/>
      <c r="L1041" s="11"/>
      <c r="M1041" s="11"/>
      <c r="N1041" s="11"/>
      <c r="O1041" s="11"/>
      <c r="P1041" s="8"/>
    </row>
    <row r="1042">
      <c r="A1042" s="11"/>
      <c r="B1042" s="9"/>
      <c r="C1042" s="8"/>
      <c r="D1042" s="8"/>
      <c r="E1042" s="8"/>
      <c r="F1042" s="12"/>
      <c r="G1042" s="11"/>
      <c r="H1042" s="11"/>
      <c r="I1042" s="11"/>
      <c r="J1042" s="11"/>
      <c r="K1042" s="12"/>
      <c r="L1042" s="11"/>
      <c r="M1042" s="11"/>
      <c r="N1042" s="11"/>
      <c r="O1042" s="11"/>
      <c r="P1042" s="8"/>
    </row>
    <row r="1043">
      <c r="A1043" s="11"/>
      <c r="B1043" s="9"/>
      <c r="C1043" s="8"/>
      <c r="D1043" s="8"/>
      <c r="E1043" s="8"/>
      <c r="F1043" s="12"/>
      <c r="G1043" s="11"/>
      <c r="H1043" s="11"/>
      <c r="I1043" s="11"/>
      <c r="J1043" s="11"/>
      <c r="K1043" s="12"/>
      <c r="L1043" s="11"/>
      <c r="M1043" s="11"/>
      <c r="N1043" s="11"/>
      <c r="O1043" s="11"/>
      <c r="P1043" s="8"/>
    </row>
    <row r="1044">
      <c r="A1044" s="11"/>
      <c r="B1044" s="9"/>
      <c r="C1044" s="8"/>
      <c r="D1044" s="8"/>
      <c r="E1044" s="8"/>
      <c r="F1044" s="12"/>
      <c r="G1044" s="11"/>
      <c r="H1044" s="11"/>
      <c r="I1044" s="11"/>
      <c r="J1044" s="11"/>
      <c r="K1044" s="12"/>
      <c r="L1044" s="11"/>
      <c r="M1044" s="11"/>
      <c r="N1044" s="11"/>
      <c r="O1044" s="11"/>
      <c r="P1044" s="8"/>
    </row>
    <row r="1045">
      <c r="A1045" s="11"/>
      <c r="B1045" s="9"/>
      <c r="C1045" s="8"/>
      <c r="D1045" s="8"/>
      <c r="E1045" s="8"/>
      <c r="F1045" s="12"/>
      <c r="G1045" s="11"/>
      <c r="H1045" s="11"/>
      <c r="I1045" s="11"/>
      <c r="J1045" s="11"/>
      <c r="K1045" s="12"/>
      <c r="L1045" s="11"/>
      <c r="M1045" s="11"/>
      <c r="N1045" s="11"/>
      <c r="O1045" s="11"/>
      <c r="P1045" s="8"/>
    </row>
    <row r="1046">
      <c r="A1046" s="11"/>
      <c r="B1046" s="9"/>
      <c r="C1046" s="8"/>
      <c r="D1046" s="8"/>
      <c r="E1046" s="8"/>
      <c r="F1046" s="12"/>
      <c r="G1046" s="11"/>
      <c r="H1046" s="11"/>
      <c r="I1046" s="11"/>
      <c r="J1046" s="11"/>
      <c r="K1046" s="12"/>
      <c r="L1046" s="11"/>
      <c r="M1046" s="11"/>
      <c r="N1046" s="11"/>
      <c r="O1046" s="11"/>
      <c r="P1046" s="8"/>
    </row>
    <row r="1047">
      <c r="A1047" s="11"/>
      <c r="B1047" s="9"/>
      <c r="C1047" s="8"/>
      <c r="D1047" s="8"/>
      <c r="E1047" s="8"/>
      <c r="F1047" s="12"/>
      <c r="G1047" s="11"/>
      <c r="H1047" s="11"/>
      <c r="I1047" s="11"/>
      <c r="J1047" s="11"/>
      <c r="K1047" s="12"/>
      <c r="L1047" s="11"/>
      <c r="M1047" s="11"/>
      <c r="N1047" s="11"/>
      <c r="O1047" s="11"/>
      <c r="P1047" s="8"/>
    </row>
    <row r="1048">
      <c r="A1048" s="11"/>
      <c r="B1048" s="9"/>
      <c r="C1048" s="8"/>
      <c r="D1048" s="8"/>
      <c r="E1048" s="8"/>
      <c r="F1048" s="12"/>
      <c r="G1048" s="11"/>
      <c r="H1048" s="11"/>
      <c r="I1048" s="11"/>
      <c r="J1048" s="11"/>
      <c r="K1048" s="12"/>
      <c r="L1048" s="11"/>
      <c r="M1048" s="11"/>
      <c r="N1048" s="11"/>
      <c r="O1048" s="11"/>
      <c r="P1048" s="8"/>
    </row>
    <row r="1049">
      <c r="A1049" s="11"/>
      <c r="B1049" s="9"/>
      <c r="C1049" s="8"/>
      <c r="D1049" s="8"/>
      <c r="E1049" s="8"/>
      <c r="F1049" s="12"/>
      <c r="G1049" s="11"/>
      <c r="H1049" s="11"/>
      <c r="I1049" s="11"/>
      <c r="J1049" s="11"/>
      <c r="K1049" s="12"/>
      <c r="L1049" s="11"/>
      <c r="M1049" s="11"/>
      <c r="N1049" s="11"/>
      <c r="O1049" s="11"/>
      <c r="P1049" s="8"/>
    </row>
    <row r="1050">
      <c r="A1050" s="11"/>
      <c r="B1050" s="9"/>
      <c r="C1050" s="8"/>
      <c r="D1050" s="8"/>
      <c r="E1050" s="8"/>
      <c r="F1050" s="12"/>
      <c r="G1050" s="11"/>
      <c r="H1050" s="11"/>
      <c r="I1050" s="11"/>
      <c r="J1050" s="11"/>
      <c r="K1050" s="12"/>
      <c r="L1050" s="11"/>
      <c r="M1050" s="11"/>
      <c r="N1050" s="11"/>
      <c r="O1050" s="11"/>
      <c r="P1050" s="8"/>
    </row>
    <row r="1051">
      <c r="A1051" s="11"/>
      <c r="B1051" s="9"/>
      <c r="C1051" s="8"/>
      <c r="D1051" s="8"/>
      <c r="E1051" s="8"/>
      <c r="F1051" s="12"/>
      <c r="G1051" s="11"/>
      <c r="H1051" s="11"/>
      <c r="I1051" s="11"/>
      <c r="J1051" s="11"/>
      <c r="K1051" s="12"/>
      <c r="L1051" s="11"/>
      <c r="M1051" s="11"/>
      <c r="N1051" s="11"/>
      <c r="O1051" s="11"/>
      <c r="P1051" s="8"/>
    </row>
    <row r="1052">
      <c r="A1052" s="11"/>
      <c r="B1052" s="9"/>
      <c r="C1052" s="8"/>
      <c r="D1052" s="8"/>
      <c r="E1052" s="8"/>
      <c r="F1052" s="12"/>
      <c r="G1052" s="11"/>
      <c r="H1052" s="11"/>
      <c r="I1052" s="11"/>
      <c r="J1052" s="11"/>
      <c r="K1052" s="12"/>
      <c r="L1052" s="11"/>
      <c r="M1052" s="11"/>
      <c r="N1052" s="11"/>
      <c r="O1052" s="11"/>
      <c r="P1052" s="8"/>
    </row>
    <row r="1053">
      <c r="A1053" s="11"/>
      <c r="B1053" s="9"/>
      <c r="C1053" s="8"/>
      <c r="D1053" s="8"/>
      <c r="E1053" s="8"/>
      <c r="F1053" s="12"/>
      <c r="G1053" s="11"/>
      <c r="H1053" s="11"/>
      <c r="I1053" s="11"/>
      <c r="J1053" s="11"/>
      <c r="K1053" s="12"/>
      <c r="L1053" s="11"/>
      <c r="M1053" s="11"/>
      <c r="N1053" s="11"/>
      <c r="O1053" s="11"/>
      <c r="P1053" s="8"/>
    </row>
    <row r="1054">
      <c r="A1054" s="11"/>
      <c r="B1054" s="9"/>
      <c r="C1054" s="8"/>
      <c r="D1054" s="8"/>
      <c r="E1054" s="8"/>
      <c r="F1054" s="12"/>
      <c r="G1054" s="11"/>
      <c r="H1054" s="11"/>
      <c r="I1054" s="11"/>
      <c r="J1054" s="11"/>
      <c r="K1054" s="12"/>
      <c r="L1054" s="11"/>
      <c r="M1054" s="11"/>
      <c r="N1054" s="11"/>
      <c r="O1054" s="11"/>
      <c r="P1054" s="8"/>
    </row>
    <row r="1055">
      <c r="A1055" s="11"/>
      <c r="B1055" s="9"/>
      <c r="C1055" s="8"/>
      <c r="D1055" s="8"/>
      <c r="E1055" s="8"/>
      <c r="F1055" s="12"/>
      <c r="G1055" s="11"/>
      <c r="H1055" s="11"/>
      <c r="I1055" s="11"/>
      <c r="J1055" s="11"/>
      <c r="K1055" s="12"/>
      <c r="L1055" s="11"/>
      <c r="M1055" s="11"/>
      <c r="N1055" s="11"/>
      <c r="O1055" s="11"/>
      <c r="P1055" s="8"/>
    </row>
    <row r="1056">
      <c r="A1056" s="11"/>
      <c r="B1056" s="9"/>
      <c r="C1056" s="8"/>
      <c r="D1056" s="8"/>
      <c r="E1056" s="8"/>
      <c r="F1056" s="12"/>
      <c r="G1056" s="11"/>
      <c r="H1056" s="11"/>
      <c r="I1056" s="11"/>
      <c r="J1056" s="11"/>
      <c r="K1056" s="12"/>
      <c r="L1056" s="11"/>
      <c r="M1056" s="11"/>
      <c r="N1056" s="11"/>
      <c r="O1056" s="11"/>
      <c r="P1056" s="8"/>
    </row>
    <row r="1057">
      <c r="A1057" s="11"/>
      <c r="B1057" s="9"/>
      <c r="C1057" s="8"/>
      <c r="D1057" s="8"/>
      <c r="E1057" s="8"/>
      <c r="F1057" s="12"/>
      <c r="G1057" s="11"/>
      <c r="H1057" s="11"/>
      <c r="I1057" s="11"/>
      <c r="J1057" s="11"/>
      <c r="K1057" s="12"/>
      <c r="L1057" s="11"/>
      <c r="M1057" s="11"/>
      <c r="N1057" s="11"/>
      <c r="O1057" s="11"/>
      <c r="P1057" s="8"/>
    </row>
    <row r="1058">
      <c r="A1058" s="11"/>
      <c r="B1058" s="9"/>
      <c r="C1058" s="8"/>
      <c r="D1058" s="8"/>
      <c r="E1058" s="8"/>
      <c r="F1058" s="12"/>
      <c r="G1058" s="11"/>
      <c r="H1058" s="11"/>
      <c r="I1058" s="11"/>
      <c r="J1058" s="11"/>
      <c r="K1058" s="12"/>
      <c r="L1058" s="11"/>
      <c r="M1058" s="11"/>
      <c r="N1058" s="11"/>
      <c r="O1058" s="11"/>
      <c r="P1058" s="8"/>
    </row>
    <row r="1059">
      <c r="A1059" s="11"/>
      <c r="B1059" s="9"/>
      <c r="C1059" s="8"/>
      <c r="D1059" s="8"/>
      <c r="E1059" s="8"/>
      <c r="F1059" s="12"/>
      <c r="G1059" s="11"/>
      <c r="H1059" s="11"/>
      <c r="I1059" s="11"/>
      <c r="J1059" s="11"/>
      <c r="K1059" s="12"/>
      <c r="L1059" s="11"/>
      <c r="M1059" s="11"/>
      <c r="N1059" s="11"/>
      <c r="O1059" s="11"/>
      <c r="P1059" s="8"/>
    </row>
    <row r="1060">
      <c r="A1060" s="11"/>
      <c r="B1060" s="9"/>
      <c r="C1060" s="8"/>
      <c r="D1060" s="8"/>
      <c r="E1060" s="8"/>
      <c r="F1060" s="12"/>
      <c r="G1060" s="11"/>
      <c r="H1060" s="11"/>
      <c r="I1060" s="11"/>
      <c r="J1060" s="11"/>
      <c r="K1060" s="12"/>
      <c r="L1060" s="11"/>
      <c r="M1060" s="11"/>
      <c r="N1060" s="11"/>
      <c r="O1060" s="11"/>
      <c r="P1060" s="8"/>
    </row>
    <row r="1061">
      <c r="A1061" s="11"/>
      <c r="B1061" s="9"/>
      <c r="C1061" s="8"/>
      <c r="D1061" s="8"/>
      <c r="E1061" s="8"/>
      <c r="F1061" s="12"/>
      <c r="G1061" s="11"/>
      <c r="H1061" s="11"/>
      <c r="I1061" s="11"/>
      <c r="J1061" s="11"/>
      <c r="K1061" s="12"/>
      <c r="L1061" s="11"/>
      <c r="M1061" s="11"/>
      <c r="N1061" s="11"/>
      <c r="O1061" s="11"/>
      <c r="P1061" s="8"/>
    </row>
    <row r="1062">
      <c r="A1062" s="11"/>
      <c r="B1062" s="9"/>
      <c r="C1062" s="8"/>
      <c r="D1062" s="8"/>
      <c r="E1062" s="8"/>
      <c r="F1062" s="12"/>
      <c r="G1062" s="11"/>
      <c r="H1062" s="11"/>
      <c r="I1062" s="11"/>
      <c r="J1062" s="11"/>
      <c r="K1062" s="12"/>
      <c r="L1062" s="11"/>
      <c r="M1062" s="11"/>
      <c r="N1062" s="11"/>
      <c r="O1062" s="11"/>
      <c r="P1062" s="8"/>
    </row>
    <row r="1063">
      <c r="A1063" s="11"/>
      <c r="B1063" s="9"/>
      <c r="C1063" s="8"/>
      <c r="D1063" s="8"/>
      <c r="E1063" s="8"/>
      <c r="F1063" s="12"/>
      <c r="G1063" s="11"/>
      <c r="H1063" s="11"/>
      <c r="I1063" s="11"/>
      <c r="J1063" s="11"/>
      <c r="K1063" s="12"/>
      <c r="L1063" s="11"/>
      <c r="M1063" s="11"/>
      <c r="N1063" s="11"/>
      <c r="O1063" s="11"/>
      <c r="P1063" s="8"/>
    </row>
    <row r="1064">
      <c r="A1064" s="11"/>
      <c r="B1064" s="9"/>
      <c r="C1064" s="8"/>
      <c r="D1064" s="8"/>
      <c r="E1064" s="8"/>
      <c r="F1064" s="12"/>
      <c r="G1064" s="11"/>
      <c r="H1064" s="11"/>
      <c r="I1064" s="11"/>
      <c r="J1064" s="11"/>
      <c r="K1064" s="12"/>
      <c r="L1064" s="11"/>
      <c r="M1064" s="11"/>
      <c r="N1064" s="11"/>
      <c r="O1064" s="11"/>
      <c r="P1064" s="8"/>
    </row>
    <row r="1065">
      <c r="A1065" s="11"/>
      <c r="B1065" s="9"/>
      <c r="C1065" s="8"/>
      <c r="D1065" s="8"/>
      <c r="E1065" s="8"/>
      <c r="F1065" s="12"/>
      <c r="G1065" s="11"/>
      <c r="H1065" s="11"/>
      <c r="I1065" s="11"/>
      <c r="J1065" s="11"/>
      <c r="K1065" s="12"/>
      <c r="L1065" s="11"/>
      <c r="M1065" s="11"/>
      <c r="N1065" s="11"/>
      <c r="O1065" s="11"/>
      <c r="P1065" s="8"/>
    </row>
    <row r="1066">
      <c r="A1066" s="11"/>
      <c r="B1066" s="9"/>
      <c r="C1066" s="8"/>
      <c r="D1066" s="8"/>
      <c r="E1066" s="8"/>
      <c r="F1066" s="12"/>
      <c r="G1066" s="11"/>
      <c r="H1066" s="11"/>
      <c r="I1066" s="11"/>
      <c r="J1066" s="11"/>
      <c r="K1066" s="12"/>
      <c r="L1066" s="11"/>
      <c r="M1066" s="11"/>
      <c r="N1066" s="11"/>
      <c r="O1066" s="11"/>
      <c r="P1066" s="8"/>
    </row>
    <row r="1067">
      <c r="A1067" s="11"/>
      <c r="B1067" s="9"/>
      <c r="C1067" s="8"/>
      <c r="D1067" s="8"/>
      <c r="E1067" s="8"/>
      <c r="F1067" s="12"/>
      <c r="G1067" s="11"/>
      <c r="H1067" s="11"/>
      <c r="I1067" s="11"/>
      <c r="J1067" s="11"/>
      <c r="K1067" s="12"/>
      <c r="L1067" s="11"/>
      <c r="M1067" s="11"/>
      <c r="N1067" s="11"/>
      <c r="O1067" s="11"/>
      <c r="P1067" s="8"/>
    </row>
    <row r="1068">
      <c r="A1068" s="11"/>
      <c r="B1068" s="9"/>
      <c r="C1068" s="8"/>
      <c r="D1068" s="8"/>
      <c r="E1068" s="8"/>
      <c r="F1068" s="12"/>
      <c r="G1068" s="11"/>
      <c r="H1068" s="11"/>
      <c r="I1068" s="11"/>
      <c r="J1068" s="11"/>
      <c r="K1068" s="12"/>
      <c r="L1068" s="11"/>
      <c r="M1068" s="11"/>
      <c r="N1068" s="11"/>
      <c r="O1068" s="11"/>
      <c r="P1068" s="8"/>
    </row>
    <row r="1069">
      <c r="A1069" s="11"/>
      <c r="B1069" s="9"/>
      <c r="C1069" s="8"/>
      <c r="D1069" s="8"/>
      <c r="E1069" s="8"/>
      <c r="F1069" s="12"/>
      <c r="G1069" s="11"/>
      <c r="H1069" s="11"/>
      <c r="I1069" s="11"/>
      <c r="J1069" s="11"/>
      <c r="K1069" s="12"/>
      <c r="L1069" s="11"/>
      <c r="M1069" s="11"/>
      <c r="N1069" s="11"/>
      <c r="O1069" s="11"/>
      <c r="P1069" s="8"/>
    </row>
    <row r="1070">
      <c r="A1070" s="11"/>
      <c r="B1070" s="9"/>
      <c r="C1070" s="8"/>
      <c r="D1070" s="8"/>
      <c r="E1070" s="8"/>
      <c r="F1070" s="12"/>
      <c r="G1070" s="11"/>
      <c r="H1070" s="11"/>
      <c r="I1070" s="11"/>
      <c r="J1070" s="11"/>
      <c r="K1070" s="12"/>
      <c r="L1070" s="11"/>
      <c r="M1070" s="11"/>
      <c r="N1070" s="11"/>
      <c r="O1070" s="11"/>
      <c r="P1070" s="8"/>
    </row>
    <row r="1071">
      <c r="A1071" s="11"/>
      <c r="B1071" s="9"/>
      <c r="C1071" s="8"/>
      <c r="D1071" s="8"/>
      <c r="E1071" s="8"/>
      <c r="F1071" s="12"/>
      <c r="G1071" s="11"/>
      <c r="H1071" s="11"/>
      <c r="I1071" s="11"/>
      <c r="J1071" s="11"/>
      <c r="K1071" s="12"/>
      <c r="L1071" s="11"/>
      <c r="M1071" s="11"/>
      <c r="N1071" s="11"/>
      <c r="O1071" s="11"/>
      <c r="P1071" s="8"/>
    </row>
    <row r="1072">
      <c r="A1072" s="11"/>
      <c r="B1072" s="9"/>
      <c r="C1072" s="8"/>
      <c r="D1072" s="8"/>
      <c r="E1072" s="8"/>
      <c r="F1072" s="12"/>
      <c r="G1072" s="11"/>
      <c r="H1072" s="11"/>
      <c r="I1072" s="11"/>
      <c r="J1072" s="11"/>
      <c r="K1072" s="12"/>
      <c r="L1072" s="11"/>
      <c r="M1072" s="11"/>
      <c r="N1072" s="11"/>
      <c r="O1072" s="11"/>
      <c r="P1072" s="8"/>
    </row>
    <row r="1073">
      <c r="A1073" s="11"/>
      <c r="B1073" s="9"/>
      <c r="C1073" s="8"/>
      <c r="D1073" s="8"/>
      <c r="E1073" s="8"/>
      <c r="F1073" s="12"/>
      <c r="G1073" s="11"/>
      <c r="H1073" s="11"/>
      <c r="I1073" s="11"/>
      <c r="J1073" s="11"/>
      <c r="K1073" s="12"/>
      <c r="L1073" s="11"/>
      <c r="M1073" s="11"/>
      <c r="N1073" s="11"/>
      <c r="O1073" s="11"/>
      <c r="P1073" s="8"/>
    </row>
    <row r="1074">
      <c r="A1074" s="11"/>
      <c r="B1074" s="9"/>
      <c r="C1074" s="8"/>
      <c r="D1074" s="8"/>
      <c r="E1074" s="8"/>
      <c r="F1074" s="12"/>
      <c r="G1074" s="11"/>
      <c r="H1074" s="11"/>
      <c r="I1074" s="11"/>
      <c r="J1074" s="11"/>
      <c r="K1074" s="12"/>
      <c r="L1074" s="11"/>
      <c r="M1074" s="11"/>
      <c r="N1074" s="11"/>
      <c r="O1074" s="11"/>
      <c r="P1074" s="8"/>
    </row>
    <row r="1075">
      <c r="A1075" s="11"/>
      <c r="B1075" s="9"/>
      <c r="C1075" s="8"/>
      <c r="D1075" s="8"/>
      <c r="E1075" s="8"/>
      <c r="F1075" s="12"/>
      <c r="G1075" s="11"/>
      <c r="H1075" s="11"/>
      <c r="I1075" s="11"/>
      <c r="J1075" s="11"/>
      <c r="K1075" s="12"/>
      <c r="L1075" s="11"/>
      <c r="M1075" s="11"/>
      <c r="N1075" s="11"/>
      <c r="O1075" s="11"/>
      <c r="P1075" s="8"/>
    </row>
    <row r="1076">
      <c r="A1076" s="11"/>
      <c r="B1076" s="9"/>
      <c r="C1076" s="8"/>
      <c r="D1076" s="8"/>
      <c r="E1076" s="8"/>
      <c r="F1076" s="12"/>
      <c r="G1076" s="11"/>
      <c r="H1076" s="11"/>
      <c r="I1076" s="11"/>
      <c r="J1076" s="11"/>
      <c r="K1076" s="12"/>
      <c r="L1076" s="11"/>
      <c r="M1076" s="11"/>
      <c r="N1076" s="11"/>
      <c r="O1076" s="11"/>
      <c r="P1076" s="8"/>
    </row>
    <row r="1077">
      <c r="A1077" s="11"/>
      <c r="B1077" s="9"/>
      <c r="C1077" s="8"/>
      <c r="D1077" s="8"/>
      <c r="E1077" s="8"/>
      <c r="F1077" s="12"/>
      <c r="G1077" s="11"/>
      <c r="H1077" s="11"/>
      <c r="I1077" s="11"/>
      <c r="J1077" s="11"/>
      <c r="K1077" s="12"/>
      <c r="L1077" s="11"/>
      <c r="M1077" s="11"/>
      <c r="N1077" s="11"/>
      <c r="O1077" s="11"/>
      <c r="P1077" s="8"/>
    </row>
    <row r="1078">
      <c r="A1078" s="11"/>
      <c r="B1078" s="9"/>
      <c r="C1078" s="8"/>
      <c r="D1078" s="8"/>
      <c r="E1078" s="8"/>
      <c r="F1078" s="12"/>
      <c r="G1078" s="11"/>
      <c r="H1078" s="11"/>
      <c r="I1078" s="11"/>
      <c r="J1078" s="11"/>
      <c r="K1078" s="12"/>
      <c r="L1078" s="11"/>
      <c r="M1078" s="11"/>
      <c r="N1078" s="11"/>
      <c r="O1078" s="11"/>
      <c r="P1078" s="8"/>
    </row>
    <row r="1079">
      <c r="A1079" s="11"/>
      <c r="B1079" s="9"/>
      <c r="C1079" s="8"/>
      <c r="D1079" s="8"/>
      <c r="E1079" s="8"/>
      <c r="F1079" s="12"/>
      <c r="G1079" s="11"/>
      <c r="H1079" s="11"/>
      <c r="I1079" s="11"/>
      <c r="J1079" s="11"/>
      <c r="K1079" s="12"/>
      <c r="L1079" s="11"/>
      <c r="M1079" s="11"/>
      <c r="N1079" s="11"/>
      <c r="O1079" s="11"/>
      <c r="P1079" s="8"/>
    </row>
    <row r="1080">
      <c r="A1080" s="11"/>
      <c r="B1080" s="9"/>
      <c r="C1080" s="8"/>
      <c r="D1080" s="8"/>
      <c r="E1080" s="8"/>
      <c r="F1080" s="12"/>
      <c r="G1080" s="11"/>
      <c r="H1080" s="11"/>
      <c r="I1080" s="11"/>
      <c r="J1080" s="11"/>
      <c r="K1080" s="12"/>
      <c r="L1080" s="11"/>
      <c r="M1080" s="11"/>
      <c r="N1080" s="11"/>
      <c r="O1080" s="11"/>
      <c r="P1080" s="8"/>
    </row>
    <row r="1081">
      <c r="A1081" s="11"/>
      <c r="B1081" s="9"/>
      <c r="C1081" s="8"/>
      <c r="D1081" s="8"/>
      <c r="E1081" s="8"/>
      <c r="F1081" s="12"/>
      <c r="G1081" s="11"/>
      <c r="H1081" s="11"/>
      <c r="I1081" s="11"/>
      <c r="J1081" s="11"/>
      <c r="K1081" s="12"/>
      <c r="L1081" s="11"/>
      <c r="M1081" s="11"/>
      <c r="N1081" s="11"/>
      <c r="O1081" s="11"/>
      <c r="P1081" s="8"/>
    </row>
    <row r="1082">
      <c r="A1082" s="11"/>
      <c r="B1082" s="9"/>
      <c r="C1082" s="8"/>
      <c r="D1082" s="8"/>
      <c r="E1082" s="8"/>
      <c r="F1082" s="12"/>
      <c r="G1082" s="11"/>
      <c r="H1082" s="11"/>
      <c r="I1082" s="11"/>
      <c r="J1082" s="11"/>
      <c r="K1082" s="12"/>
      <c r="L1082" s="11"/>
      <c r="M1082" s="11"/>
      <c r="N1082" s="11"/>
      <c r="O1082" s="11"/>
      <c r="P1082" s="8"/>
    </row>
    <row r="1083">
      <c r="A1083" s="11"/>
      <c r="B1083" s="9"/>
      <c r="C1083" s="8"/>
      <c r="D1083" s="8"/>
      <c r="E1083" s="8"/>
      <c r="F1083" s="12"/>
      <c r="G1083" s="11"/>
      <c r="H1083" s="11"/>
      <c r="I1083" s="11"/>
      <c r="J1083" s="11"/>
      <c r="K1083" s="12"/>
      <c r="L1083" s="11"/>
      <c r="M1083" s="11"/>
      <c r="N1083" s="11"/>
      <c r="O1083" s="11"/>
      <c r="P1083" s="8"/>
    </row>
    <row r="1084">
      <c r="A1084" s="11"/>
      <c r="B1084" s="9"/>
      <c r="C1084" s="8"/>
      <c r="D1084" s="8"/>
      <c r="E1084" s="8"/>
      <c r="F1084" s="12"/>
      <c r="G1084" s="11"/>
      <c r="H1084" s="11"/>
      <c r="I1084" s="11"/>
      <c r="J1084" s="11"/>
      <c r="K1084" s="12"/>
      <c r="L1084" s="11"/>
      <c r="M1084" s="11"/>
      <c r="N1084" s="11"/>
      <c r="O1084" s="11"/>
      <c r="P1084" s="8"/>
    </row>
    <row r="1085">
      <c r="A1085" s="11"/>
      <c r="B1085" s="9"/>
      <c r="C1085" s="8"/>
      <c r="D1085" s="8"/>
      <c r="E1085" s="8"/>
      <c r="F1085" s="12"/>
      <c r="G1085" s="11"/>
      <c r="H1085" s="11"/>
      <c r="I1085" s="11"/>
      <c r="J1085" s="11"/>
      <c r="K1085" s="12"/>
      <c r="L1085" s="11"/>
      <c r="M1085" s="11"/>
      <c r="N1085" s="11"/>
      <c r="O1085" s="11"/>
      <c r="P1085" s="8"/>
    </row>
    <row r="1086">
      <c r="A1086" s="11"/>
      <c r="B1086" s="9"/>
      <c r="C1086" s="8"/>
      <c r="D1086" s="8"/>
      <c r="E1086" s="8"/>
      <c r="F1086" s="12"/>
      <c r="G1086" s="11"/>
      <c r="H1086" s="11"/>
      <c r="I1086" s="11"/>
      <c r="J1086" s="11"/>
      <c r="K1086" s="12"/>
      <c r="L1086" s="11"/>
      <c r="M1086" s="11"/>
      <c r="N1086" s="11"/>
      <c r="O1086" s="11"/>
      <c r="P1086" s="8"/>
    </row>
    <row r="1087">
      <c r="A1087" s="11"/>
      <c r="B1087" s="9"/>
      <c r="C1087" s="8"/>
      <c r="D1087" s="8"/>
      <c r="E1087" s="8"/>
      <c r="F1087" s="12"/>
      <c r="G1087" s="11"/>
      <c r="H1087" s="11"/>
      <c r="I1087" s="11"/>
      <c r="J1087" s="11"/>
      <c r="K1087" s="12"/>
      <c r="L1087" s="11"/>
      <c r="M1087" s="11"/>
      <c r="N1087" s="11"/>
      <c r="O1087" s="11"/>
      <c r="P1087" s="8"/>
    </row>
    <row r="1088">
      <c r="A1088" s="11"/>
      <c r="B1088" s="9"/>
      <c r="C1088" s="8"/>
      <c r="D1088" s="8"/>
      <c r="E1088" s="8"/>
      <c r="F1088" s="12"/>
      <c r="G1088" s="11"/>
      <c r="H1088" s="11"/>
      <c r="I1088" s="11"/>
      <c r="J1088" s="11"/>
      <c r="K1088" s="12"/>
      <c r="L1088" s="11"/>
      <c r="M1088" s="11"/>
      <c r="N1088" s="11"/>
      <c r="O1088" s="11"/>
      <c r="P1088" s="8"/>
    </row>
    <row r="1089">
      <c r="A1089" s="11"/>
      <c r="B1089" s="9"/>
      <c r="C1089" s="8"/>
      <c r="D1089" s="8"/>
      <c r="E1089" s="8"/>
      <c r="F1089" s="12"/>
      <c r="G1089" s="11"/>
      <c r="H1089" s="11"/>
      <c r="I1089" s="11"/>
      <c r="J1089" s="11"/>
      <c r="K1089" s="12"/>
      <c r="L1089" s="11"/>
      <c r="M1089" s="11"/>
      <c r="N1089" s="11"/>
      <c r="O1089" s="11"/>
      <c r="P1089" s="8"/>
    </row>
    <row r="1090">
      <c r="A1090" s="11"/>
      <c r="B1090" s="9"/>
      <c r="C1090" s="8"/>
      <c r="D1090" s="8"/>
      <c r="E1090" s="8"/>
      <c r="F1090" s="12"/>
      <c r="G1090" s="11"/>
      <c r="H1090" s="11"/>
      <c r="I1090" s="11"/>
      <c r="J1090" s="11"/>
      <c r="K1090" s="12"/>
      <c r="L1090" s="11"/>
      <c r="M1090" s="11"/>
      <c r="N1090" s="11"/>
      <c r="O1090" s="11"/>
      <c r="P1090" s="8"/>
    </row>
    <row r="1091">
      <c r="A1091" s="11"/>
      <c r="B1091" s="9"/>
      <c r="C1091" s="8"/>
      <c r="D1091" s="8"/>
      <c r="E1091" s="8"/>
      <c r="F1091" s="12"/>
      <c r="G1091" s="11"/>
      <c r="H1091" s="11"/>
      <c r="I1091" s="11"/>
      <c r="J1091" s="11"/>
      <c r="K1091" s="12"/>
      <c r="L1091" s="11"/>
      <c r="M1091" s="11"/>
      <c r="N1091" s="11"/>
      <c r="O1091" s="11"/>
      <c r="P1091" s="8"/>
    </row>
    <row r="1092">
      <c r="A1092" s="11"/>
      <c r="B1092" s="9"/>
      <c r="C1092" s="8"/>
      <c r="D1092" s="8"/>
      <c r="E1092" s="8"/>
      <c r="F1092" s="12"/>
      <c r="G1092" s="11"/>
      <c r="H1092" s="11"/>
      <c r="I1092" s="11"/>
      <c r="J1092" s="11"/>
      <c r="K1092" s="12"/>
      <c r="L1092" s="11"/>
      <c r="M1092" s="11"/>
      <c r="N1092" s="11"/>
      <c r="O1092" s="11"/>
      <c r="P1092" s="8"/>
    </row>
    <row r="1093">
      <c r="A1093" s="11"/>
      <c r="B1093" s="9"/>
      <c r="C1093" s="8"/>
      <c r="D1093" s="8"/>
      <c r="E1093" s="8"/>
      <c r="F1093" s="12"/>
      <c r="G1093" s="11"/>
      <c r="H1093" s="11"/>
      <c r="I1093" s="11"/>
      <c r="J1093" s="11"/>
      <c r="K1093" s="12"/>
      <c r="L1093" s="11"/>
      <c r="M1093" s="11"/>
      <c r="N1093" s="11"/>
      <c r="O1093" s="11"/>
      <c r="P1093" s="8"/>
    </row>
    <row r="1094">
      <c r="A1094" s="11"/>
      <c r="B1094" s="9"/>
      <c r="C1094" s="8"/>
      <c r="D1094" s="8"/>
      <c r="E1094" s="8"/>
      <c r="F1094" s="12"/>
      <c r="G1094" s="11"/>
      <c r="H1094" s="11"/>
      <c r="I1094" s="11"/>
      <c r="J1094" s="11"/>
      <c r="K1094" s="12"/>
      <c r="L1094" s="11"/>
      <c r="M1094" s="11"/>
      <c r="N1094" s="11"/>
      <c r="O1094" s="11"/>
      <c r="P1094" s="8"/>
    </row>
    <row r="1095">
      <c r="A1095" s="11"/>
      <c r="B1095" s="9"/>
      <c r="C1095" s="8"/>
      <c r="D1095" s="8"/>
      <c r="E1095" s="8"/>
      <c r="F1095" s="12"/>
      <c r="G1095" s="11"/>
      <c r="H1095" s="11"/>
      <c r="I1095" s="11"/>
      <c r="J1095" s="11"/>
      <c r="K1095" s="12"/>
      <c r="L1095" s="11"/>
      <c r="M1095" s="11"/>
      <c r="N1095" s="11"/>
      <c r="O1095" s="11"/>
      <c r="P1095" s="8"/>
    </row>
    <row r="1096">
      <c r="A1096" s="11"/>
      <c r="B1096" s="9"/>
      <c r="C1096" s="8"/>
      <c r="D1096" s="8"/>
      <c r="E1096" s="8"/>
      <c r="F1096" s="12"/>
      <c r="G1096" s="11"/>
      <c r="H1096" s="11"/>
      <c r="I1096" s="11"/>
      <c r="J1096" s="11"/>
      <c r="K1096" s="12"/>
      <c r="L1096" s="11"/>
      <c r="M1096" s="11"/>
      <c r="N1096" s="11"/>
      <c r="O1096" s="11"/>
      <c r="P1096" s="8"/>
    </row>
    <row r="1097">
      <c r="A1097" s="11"/>
      <c r="B1097" s="9"/>
      <c r="C1097" s="8"/>
      <c r="D1097" s="8"/>
      <c r="E1097" s="8"/>
      <c r="F1097" s="12"/>
      <c r="G1097" s="11"/>
      <c r="H1097" s="11"/>
      <c r="I1097" s="11"/>
      <c r="J1097" s="11"/>
      <c r="K1097" s="12"/>
      <c r="L1097" s="11"/>
      <c r="M1097" s="11"/>
      <c r="N1097" s="11"/>
      <c r="O1097" s="11"/>
      <c r="P1097" s="8"/>
    </row>
    <row r="1098">
      <c r="A1098" s="11"/>
      <c r="B1098" s="9"/>
      <c r="C1098" s="8"/>
      <c r="D1098" s="8"/>
      <c r="E1098" s="8"/>
      <c r="F1098" s="12"/>
      <c r="G1098" s="11"/>
      <c r="H1098" s="11"/>
      <c r="I1098" s="11"/>
      <c r="J1098" s="11"/>
      <c r="K1098" s="12"/>
      <c r="L1098" s="11"/>
      <c r="M1098" s="11"/>
      <c r="N1098" s="11"/>
      <c r="O1098" s="11"/>
      <c r="P1098" s="8"/>
    </row>
    <row r="1099">
      <c r="A1099" s="11"/>
      <c r="B1099" s="9"/>
      <c r="C1099" s="8"/>
      <c r="D1099" s="8"/>
      <c r="E1099" s="8"/>
      <c r="F1099" s="12"/>
      <c r="G1099" s="11"/>
      <c r="H1099" s="11"/>
      <c r="I1099" s="11"/>
      <c r="J1099" s="11"/>
      <c r="K1099" s="12"/>
      <c r="L1099" s="11"/>
      <c r="M1099" s="11"/>
      <c r="N1099" s="11"/>
      <c r="O1099" s="11"/>
      <c r="P1099" s="8"/>
    </row>
    <row r="1100">
      <c r="A1100" s="11"/>
      <c r="B1100" s="9"/>
      <c r="C1100" s="8"/>
      <c r="D1100" s="8"/>
      <c r="E1100" s="8"/>
      <c r="F1100" s="12"/>
      <c r="G1100" s="11"/>
      <c r="H1100" s="11"/>
      <c r="I1100" s="11"/>
      <c r="J1100" s="11"/>
      <c r="K1100" s="12"/>
      <c r="L1100" s="11"/>
      <c r="M1100" s="11"/>
      <c r="N1100" s="11"/>
      <c r="O1100" s="11"/>
      <c r="P1100" s="8"/>
    </row>
    <row r="1101">
      <c r="A1101" s="11"/>
      <c r="B1101" s="9"/>
      <c r="C1101" s="8"/>
      <c r="D1101" s="8"/>
      <c r="E1101" s="8"/>
      <c r="F1101" s="12"/>
      <c r="G1101" s="11"/>
      <c r="H1101" s="11"/>
      <c r="I1101" s="11"/>
      <c r="J1101" s="11"/>
      <c r="K1101" s="12"/>
      <c r="L1101" s="11"/>
      <c r="M1101" s="11"/>
      <c r="N1101" s="11"/>
      <c r="O1101" s="11"/>
      <c r="P1101" s="8"/>
    </row>
    <row r="1102">
      <c r="A1102" s="11"/>
      <c r="B1102" s="9"/>
      <c r="C1102" s="8"/>
      <c r="D1102" s="8"/>
      <c r="E1102" s="8"/>
      <c r="F1102" s="12"/>
      <c r="G1102" s="11"/>
      <c r="H1102" s="11"/>
      <c r="I1102" s="11"/>
      <c r="J1102" s="11"/>
      <c r="K1102" s="12"/>
      <c r="L1102" s="11"/>
      <c r="M1102" s="11"/>
      <c r="N1102" s="11"/>
      <c r="O1102" s="11"/>
      <c r="P1102" s="8"/>
    </row>
    <row r="1103">
      <c r="A1103" s="11"/>
      <c r="B1103" s="9"/>
      <c r="C1103" s="8"/>
      <c r="D1103" s="8"/>
      <c r="E1103" s="8"/>
      <c r="F1103" s="12"/>
      <c r="G1103" s="11"/>
      <c r="H1103" s="11"/>
      <c r="I1103" s="11"/>
      <c r="J1103" s="11"/>
      <c r="K1103" s="12"/>
      <c r="L1103" s="11"/>
      <c r="M1103" s="11"/>
      <c r="N1103" s="11"/>
      <c r="O1103" s="11"/>
      <c r="P1103" s="8"/>
    </row>
    <row r="1104">
      <c r="A1104" s="11"/>
      <c r="B1104" s="9"/>
      <c r="C1104" s="8"/>
      <c r="D1104" s="8"/>
      <c r="E1104" s="8"/>
      <c r="F1104" s="12"/>
      <c r="G1104" s="11"/>
      <c r="H1104" s="11"/>
      <c r="I1104" s="11"/>
      <c r="J1104" s="11"/>
      <c r="K1104" s="12"/>
      <c r="L1104" s="11"/>
      <c r="M1104" s="11"/>
      <c r="N1104" s="11"/>
      <c r="O1104" s="11"/>
      <c r="P1104" s="8"/>
    </row>
    <row r="1105">
      <c r="A1105" s="11"/>
      <c r="B1105" s="9"/>
      <c r="C1105" s="8"/>
      <c r="D1105" s="8"/>
      <c r="E1105" s="8"/>
      <c r="F1105" s="12"/>
      <c r="G1105" s="11"/>
      <c r="H1105" s="11"/>
      <c r="I1105" s="11"/>
      <c r="J1105" s="11"/>
      <c r="K1105" s="12"/>
      <c r="L1105" s="11"/>
      <c r="M1105" s="11"/>
      <c r="N1105" s="11"/>
      <c r="O1105" s="11"/>
      <c r="P1105" s="8"/>
    </row>
    <row r="1106">
      <c r="A1106" s="11"/>
      <c r="B1106" s="9"/>
      <c r="C1106" s="8"/>
      <c r="D1106" s="8"/>
      <c r="E1106" s="8"/>
      <c r="F1106" s="12"/>
      <c r="G1106" s="11"/>
      <c r="H1106" s="11"/>
      <c r="I1106" s="11"/>
      <c r="J1106" s="11"/>
      <c r="K1106" s="12"/>
      <c r="L1106" s="11"/>
      <c r="M1106" s="11"/>
      <c r="N1106" s="11"/>
      <c r="O1106" s="11"/>
      <c r="P1106" s="8"/>
    </row>
    <row r="1107">
      <c r="A1107" s="11"/>
      <c r="B1107" s="9"/>
      <c r="C1107" s="8"/>
      <c r="D1107" s="8"/>
      <c r="E1107" s="8"/>
      <c r="F1107" s="12"/>
      <c r="G1107" s="11"/>
      <c r="H1107" s="11"/>
      <c r="I1107" s="11"/>
      <c r="J1107" s="11"/>
      <c r="K1107" s="12"/>
      <c r="L1107" s="11"/>
      <c r="M1107" s="11"/>
      <c r="N1107" s="11"/>
      <c r="O1107" s="11"/>
      <c r="P1107" s="8"/>
    </row>
    <row r="1108">
      <c r="A1108" s="11"/>
      <c r="B1108" s="9"/>
      <c r="C1108" s="8"/>
      <c r="D1108" s="8"/>
      <c r="E1108" s="8"/>
      <c r="F1108" s="12"/>
      <c r="G1108" s="11"/>
      <c r="H1108" s="11"/>
      <c r="I1108" s="11"/>
      <c r="J1108" s="11"/>
      <c r="K1108" s="12"/>
      <c r="L1108" s="11"/>
      <c r="M1108" s="11"/>
      <c r="N1108" s="11"/>
      <c r="O1108" s="11"/>
      <c r="P1108" s="8"/>
    </row>
    <row r="1109">
      <c r="A1109" s="11"/>
      <c r="B1109" s="9"/>
      <c r="C1109" s="8"/>
      <c r="D1109" s="8"/>
      <c r="E1109" s="8"/>
      <c r="F1109" s="12"/>
      <c r="G1109" s="11"/>
      <c r="H1109" s="11"/>
      <c r="I1109" s="11"/>
      <c r="J1109" s="11"/>
      <c r="K1109" s="12"/>
      <c r="L1109" s="11"/>
      <c r="M1109" s="11"/>
      <c r="N1109" s="11"/>
      <c r="O1109" s="11"/>
      <c r="P1109" s="8"/>
    </row>
    <row r="1110">
      <c r="A1110" s="11"/>
      <c r="B1110" s="9"/>
      <c r="C1110" s="8"/>
      <c r="D1110" s="8"/>
      <c r="E1110" s="8"/>
      <c r="F1110" s="12"/>
      <c r="G1110" s="11"/>
      <c r="H1110" s="11"/>
      <c r="I1110" s="11"/>
      <c r="J1110" s="11"/>
      <c r="K1110" s="12"/>
      <c r="L1110" s="11"/>
      <c r="M1110" s="11"/>
      <c r="N1110" s="11"/>
      <c r="O1110" s="11"/>
      <c r="P1110" s="8"/>
    </row>
    <row r="1111">
      <c r="A1111" s="11"/>
      <c r="B1111" s="9"/>
      <c r="C1111" s="8"/>
      <c r="D1111" s="8"/>
      <c r="E1111" s="8"/>
      <c r="F1111" s="12"/>
      <c r="G1111" s="11"/>
      <c r="H1111" s="11"/>
      <c r="I1111" s="11"/>
      <c r="J1111" s="11"/>
      <c r="K1111" s="12"/>
      <c r="L1111" s="11"/>
      <c r="M1111" s="11"/>
      <c r="N1111" s="11"/>
      <c r="O1111" s="11"/>
      <c r="P1111" s="8"/>
    </row>
    <row r="1112">
      <c r="A1112" s="11"/>
      <c r="B1112" s="9"/>
      <c r="C1112" s="8"/>
      <c r="D1112" s="8"/>
      <c r="E1112" s="8"/>
      <c r="F1112" s="12"/>
      <c r="G1112" s="11"/>
      <c r="H1112" s="11"/>
      <c r="I1112" s="11"/>
      <c r="J1112" s="11"/>
      <c r="K1112" s="12"/>
      <c r="L1112" s="11"/>
      <c r="M1112" s="11"/>
      <c r="N1112" s="11"/>
      <c r="O1112" s="11"/>
      <c r="P1112" s="8"/>
    </row>
    <row r="1113">
      <c r="A1113" s="11"/>
      <c r="B1113" s="9"/>
      <c r="C1113" s="8"/>
      <c r="D1113" s="8"/>
      <c r="E1113" s="8"/>
      <c r="F1113" s="12"/>
      <c r="G1113" s="11"/>
      <c r="H1113" s="11"/>
      <c r="I1113" s="11"/>
      <c r="J1113" s="11"/>
      <c r="K1113" s="12"/>
      <c r="L1113" s="11"/>
      <c r="M1113" s="11"/>
      <c r="N1113" s="11"/>
      <c r="O1113" s="11"/>
      <c r="P1113" s="8"/>
    </row>
    <row r="1114">
      <c r="A1114" s="11"/>
      <c r="B1114" s="9"/>
      <c r="C1114" s="8"/>
      <c r="D1114" s="8"/>
      <c r="E1114" s="8"/>
      <c r="F1114" s="12"/>
      <c r="G1114" s="11"/>
      <c r="H1114" s="11"/>
      <c r="I1114" s="11"/>
      <c r="J1114" s="11"/>
      <c r="K1114" s="12"/>
      <c r="L1114" s="11"/>
      <c r="M1114" s="11"/>
      <c r="N1114" s="11"/>
      <c r="O1114" s="11"/>
      <c r="P1114" s="8"/>
    </row>
    <row r="1115">
      <c r="A1115" s="11"/>
      <c r="B1115" s="9"/>
      <c r="C1115" s="8"/>
      <c r="D1115" s="8"/>
      <c r="E1115" s="8"/>
      <c r="F1115" s="12"/>
      <c r="G1115" s="11"/>
      <c r="H1115" s="11"/>
      <c r="I1115" s="11"/>
      <c r="J1115" s="11"/>
      <c r="K1115" s="12"/>
      <c r="L1115" s="11"/>
      <c r="M1115" s="11"/>
      <c r="N1115" s="11"/>
      <c r="O1115" s="11"/>
      <c r="P1115" s="8"/>
    </row>
    <row r="1116">
      <c r="A1116" s="11"/>
      <c r="B1116" s="9"/>
      <c r="C1116" s="8"/>
      <c r="D1116" s="8"/>
      <c r="E1116" s="8"/>
      <c r="F1116" s="12"/>
      <c r="G1116" s="11"/>
      <c r="H1116" s="11"/>
      <c r="I1116" s="11"/>
      <c r="J1116" s="11"/>
      <c r="K1116" s="12"/>
      <c r="L1116" s="11"/>
      <c r="M1116" s="11"/>
      <c r="N1116" s="11"/>
      <c r="O1116" s="11"/>
      <c r="P1116" s="8"/>
    </row>
    <row r="1117">
      <c r="A1117" s="11"/>
      <c r="B1117" s="9"/>
      <c r="C1117" s="8"/>
      <c r="D1117" s="8"/>
      <c r="E1117" s="8"/>
      <c r="F1117" s="12"/>
      <c r="G1117" s="11"/>
      <c r="H1117" s="11"/>
      <c r="I1117" s="11"/>
      <c r="J1117" s="11"/>
      <c r="K1117" s="12"/>
      <c r="L1117" s="11"/>
      <c r="M1117" s="11"/>
      <c r="N1117" s="11"/>
      <c r="O1117" s="11"/>
      <c r="P1117" s="8"/>
    </row>
    <row r="1118">
      <c r="A1118" s="11"/>
      <c r="B1118" s="9"/>
      <c r="C1118" s="8"/>
      <c r="D1118" s="8"/>
      <c r="E1118" s="8"/>
      <c r="F1118" s="12"/>
      <c r="G1118" s="11"/>
      <c r="H1118" s="11"/>
      <c r="I1118" s="11"/>
      <c r="J1118" s="11"/>
      <c r="K1118" s="12"/>
      <c r="L1118" s="11"/>
      <c r="M1118" s="11"/>
      <c r="N1118" s="11"/>
      <c r="O1118" s="11"/>
      <c r="P1118" s="8"/>
    </row>
    <row r="1119">
      <c r="A1119" s="11"/>
      <c r="B1119" s="9"/>
      <c r="C1119" s="8"/>
      <c r="D1119" s="8"/>
      <c r="E1119" s="8"/>
      <c r="F1119" s="12"/>
      <c r="G1119" s="11"/>
      <c r="H1119" s="11"/>
      <c r="I1119" s="11"/>
      <c r="J1119" s="11"/>
      <c r="K1119" s="12"/>
      <c r="L1119" s="11"/>
      <c r="M1119" s="11"/>
      <c r="N1119" s="11"/>
      <c r="O1119" s="11"/>
      <c r="P1119" s="8"/>
    </row>
    <row r="1120">
      <c r="A1120" s="11"/>
      <c r="B1120" s="9"/>
      <c r="C1120" s="8"/>
      <c r="D1120" s="8"/>
      <c r="E1120" s="8"/>
      <c r="F1120" s="12"/>
      <c r="G1120" s="11"/>
      <c r="H1120" s="11"/>
      <c r="I1120" s="11"/>
      <c r="J1120" s="11"/>
      <c r="K1120" s="12"/>
      <c r="L1120" s="11"/>
      <c r="M1120" s="11"/>
      <c r="N1120" s="11"/>
      <c r="O1120" s="11"/>
      <c r="P1120" s="8"/>
    </row>
    <row r="1121">
      <c r="A1121" s="11"/>
      <c r="B1121" s="9"/>
      <c r="C1121" s="8"/>
      <c r="D1121" s="8"/>
      <c r="E1121" s="8"/>
      <c r="F1121" s="12"/>
      <c r="G1121" s="11"/>
      <c r="H1121" s="11"/>
      <c r="I1121" s="11"/>
      <c r="J1121" s="11"/>
      <c r="K1121" s="12"/>
      <c r="L1121" s="11"/>
      <c r="M1121" s="11"/>
      <c r="N1121" s="11"/>
      <c r="O1121" s="11"/>
      <c r="P1121" s="8"/>
    </row>
    <row r="1122">
      <c r="A1122" s="11"/>
      <c r="B1122" s="9"/>
      <c r="C1122" s="8"/>
      <c r="D1122" s="8"/>
      <c r="E1122" s="8"/>
      <c r="F1122" s="12"/>
      <c r="G1122" s="11"/>
      <c r="H1122" s="11"/>
      <c r="I1122" s="11"/>
      <c r="J1122" s="11"/>
      <c r="K1122" s="12"/>
      <c r="L1122" s="11"/>
      <c r="M1122" s="11"/>
      <c r="N1122" s="11"/>
      <c r="O1122" s="11"/>
      <c r="P1122" s="8"/>
    </row>
    <row r="1123">
      <c r="A1123" s="11"/>
      <c r="B1123" s="9"/>
      <c r="C1123" s="8"/>
      <c r="D1123" s="8"/>
      <c r="E1123" s="8"/>
      <c r="F1123" s="12"/>
      <c r="G1123" s="11"/>
      <c r="H1123" s="11"/>
      <c r="I1123" s="11"/>
      <c r="J1123" s="11"/>
      <c r="K1123" s="12"/>
      <c r="L1123" s="11"/>
      <c r="M1123" s="11"/>
      <c r="N1123" s="11"/>
      <c r="O1123" s="11"/>
      <c r="P1123" s="8"/>
    </row>
    <row r="1124">
      <c r="A1124" s="11"/>
      <c r="B1124" s="9"/>
      <c r="C1124" s="8"/>
      <c r="D1124" s="8"/>
      <c r="E1124" s="8"/>
      <c r="F1124" s="12"/>
      <c r="G1124" s="11"/>
      <c r="H1124" s="11"/>
      <c r="I1124" s="11"/>
      <c r="J1124" s="11"/>
      <c r="K1124" s="12"/>
      <c r="L1124" s="11"/>
      <c r="M1124" s="11"/>
      <c r="N1124" s="11"/>
      <c r="O1124" s="11"/>
      <c r="P1124" s="8"/>
    </row>
    <row r="1125">
      <c r="A1125" s="11"/>
      <c r="B1125" s="9"/>
      <c r="C1125" s="8"/>
      <c r="D1125" s="8"/>
      <c r="E1125" s="8"/>
      <c r="F1125" s="12"/>
      <c r="G1125" s="11"/>
      <c r="H1125" s="11"/>
      <c r="I1125" s="11"/>
      <c r="J1125" s="11"/>
      <c r="K1125" s="12"/>
      <c r="L1125" s="11"/>
      <c r="M1125" s="11"/>
      <c r="N1125" s="11"/>
      <c r="O1125" s="11"/>
      <c r="P1125" s="8"/>
    </row>
    <row r="1126">
      <c r="A1126" s="11"/>
      <c r="B1126" s="9"/>
      <c r="C1126" s="8"/>
      <c r="D1126" s="8"/>
      <c r="E1126" s="8"/>
      <c r="F1126" s="12"/>
      <c r="G1126" s="11"/>
      <c r="H1126" s="11"/>
      <c r="I1126" s="11"/>
      <c r="J1126" s="11"/>
      <c r="K1126" s="12"/>
      <c r="L1126" s="11"/>
      <c r="M1126" s="11"/>
      <c r="N1126" s="11"/>
      <c r="O1126" s="11"/>
      <c r="P1126" s="8"/>
    </row>
    <row r="1127">
      <c r="A1127" s="11"/>
      <c r="B1127" s="9"/>
      <c r="C1127" s="8"/>
      <c r="D1127" s="8"/>
      <c r="E1127" s="8"/>
      <c r="F1127" s="12"/>
      <c r="G1127" s="11"/>
      <c r="H1127" s="11"/>
      <c r="I1127" s="11"/>
      <c r="J1127" s="11"/>
      <c r="K1127" s="12"/>
      <c r="L1127" s="11"/>
      <c r="M1127" s="11"/>
      <c r="N1127" s="11"/>
      <c r="O1127" s="11"/>
      <c r="P1127" s="8"/>
    </row>
    <row r="1128">
      <c r="A1128" s="11"/>
      <c r="B1128" s="9"/>
      <c r="C1128" s="8"/>
      <c r="D1128" s="8"/>
      <c r="E1128" s="8"/>
      <c r="F1128" s="12"/>
      <c r="G1128" s="11"/>
      <c r="H1128" s="11"/>
      <c r="I1128" s="11"/>
      <c r="J1128" s="11"/>
      <c r="K1128" s="12"/>
      <c r="L1128" s="11"/>
      <c r="M1128" s="11"/>
      <c r="N1128" s="11"/>
      <c r="O1128" s="11"/>
      <c r="P1128" s="8"/>
    </row>
    <row r="1129">
      <c r="A1129" s="11"/>
      <c r="B1129" s="9"/>
      <c r="C1129" s="8"/>
      <c r="D1129" s="8"/>
      <c r="E1129" s="8"/>
      <c r="F1129" s="12"/>
      <c r="G1129" s="11"/>
      <c r="H1129" s="11"/>
      <c r="I1129" s="11"/>
      <c r="J1129" s="11"/>
      <c r="K1129" s="12"/>
      <c r="L1129" s="11"/>
      <c r="M1129" s="11"/>
      <c r="N1129" s="11"/>
      <c r="O1129" s="11"/>
      <c r="P1129" s="8"/>
    </row>
    <row r="1130">
      <c r="A1130" s="11"/>
      <c r="B1130" s="9"/>
      <c r="C1130" s="8"/>
      <c r="D1130" s="8"/>
      <c r="E1130" s="8"/>
      <c r="F1130" s="12"/>
      <c r="G1130" s="11"/>
      <c r="H1130" s="11"/>
      <c r="I1130" s="11"/>
      <c r="J1130" s="11"/>
      <c r="K1130" s="12"/>
      <c r="L1130" s="11"/>
      <c r="M1130" s="11"/>
      <c r="N1130" s="11"/>
      <c r="O1130" s="11"/>
      <c r="P1130" s="8"/>
    </row>
    <row r="1131">
      <c r="A1131" s="11"/>
      <c r="B1131" s="9"/>
      <c r="C1131" s="8"/>
      <c r="D1131" s="8"/>
      <c r="E1131" s="8"/>
      <c r="F1131" s="12"/>
      <c r="G1131" s="11"/>
      <c r="H1131" s="11"/>
      <c r="I1131" s="11"/>
      <c r="J1131" s="11"/>
      <c r="K1131" s="12"/>
      <c r="L1131" s="11"/>
      <c r="M1131" s="11"/>
      <c r="N1131" s="11"/>
      <c r="O1131" s="11"/>
      <c r="P1131" s="8"/>
    </row>
    <row r="1132">
      <c r="A1132" s="11"/>
      <c r="B1132" s="9"/>
      <c r="C1132" s="8"/>
      <c r="D1132" s="8"/>
      <c r="E1132" s="8"/>
      <c r="F1132" s="12"/>
      <c r="G1132" s="11"/>
      <c r="H1132" s="11"/>
      <c r="I1132" s="11"/>
      <c r="J1132" s="11"/>
      <c r="K1132" s="12"/>
      <c r="L1132" s="11"/>
      <c r="M1132" s="11"/>
      <c r="N1132" s="11"/>
      <c r="O1132" s="11"/>
      <c r="P1132" s="8"/>
    </row>
    <row r="1133">
      <c r="A1133" s="11"/>
      <c r="B1133" s="9"/>
      <c r="C1133" s="8"/>
      <c r="D1133" s="8"/>
      <c r="E1133" s="8"/>
      <c r="F1133" s="12"/>
      <c r="G1133" s="11"/>
      <c r="H1133" s="11"/>
      <c r="I1133" s="11"/>
      <c r="J1133" s="11"/>
      <c r="K1133" s="12"/>
      <c r="L1133" s="11"/>
      <c r="M1133" s="11"/>
      <c r="N1133" s="11"/>
      <c r="O1133" s="11"/>
      <c r="P1133" s="8"/>
    </row>
    <row r="1134">
      <c r="A1134" s="11"/>
      <c r="B1134" s="9"/>
      <c r="C1134" s="8"/>
      <c r="D1134" s="8"/>
      <c r="E1134" s="8"/>
      <c r="F1134" s="12"/>
      <c r="G1134" s="11"/>
      <c r="H1134" s="11"/>
      <c r="I1134" s="11"/>
      <c r="J1134" s="11"/>
      <c r="K1134" s="12"/>
      <c r="L1134" s="11"/>
      <c r="M1134" s="11"/>
      <c r="N1134" s="11"/>
      <c r="O1134" s="11"/>
      <c r="P1134" s="8"/>
    </row>
    <row r="1135">
      <c r="A1135" s="11"/>
      <c r="B1135" s="9"/>
      <c r="C1135" s="8"/>
      <c r="D1135" s="8"/>
      <c r="E1135" s="8"/>
      <c r="F1135" s="12"/>
      <c r="G1135" s="11"/>
      <c r="H1135" s="11"/>
      <c r="I1135" s="11"/>
      <c r="J1135" s="11"/>
      <c r="K1135" s="12"/>
      <c r="L1135" s="11"/>
      <c r="M1135" s="11"/>
      <c r="N1135" s="11"/>
      <c r="O1135" s="11"/>
      <c r="P1135" s="8"/>
    </row>
    <row r="1136">
      <c r="A1136" s="11"/>
      <c r="B1136" s="9"/>
      <c r="C1136" s="8"/>
      <c r="D1136" s="8"/>
      <c r="E1136" s="8"/>
      <c r="F1136" s="12"/>
      <c r="G1136" s="11"/>
      <c r="H1136" s="11"/>
      <c r="I1136" s="11"/>
      <c r="J1136" s="11"/>
      <c r="K1136" s="12"/>
      <c r="L1136" s="11"/>
      <c r="M1136" s="11"/>
      <c r="N1136" s="11"/>
      <c r="O1136" s="11"/>
      <c r="P1136" s="8"/>
    </row>
    <row r="1137">
      <c r="A1137" s="11"/>
      <c r="B1137" s="9"/>
      <c r="C1137" s="8"/>
      <c r="D1137" s="8"/>
      <c r="E1137" s="8"/>
      <c r="F1137" s="12"/>
      <c r="G1137" s="11"/>
      <c r="H1137" s="11"/>
      <c r="I1137" s="11"/>
      <c r="J1137" s="11"/>
      <c r="K1137" s="12"/>
      <c r="L1137" s="11"/>
      <c r="M1137" s="11"/>
      <c r="N1137" s="11"/>
      <c r="O1137" s="11"/>
      <c r="P1137" s="8"/>
    </row>
    <row r="1138">
      <c r="A1138" s="11"/>
      <c r="B1138" s="9"/>
      <c r="C1138" s="8"/>
      <c r="D1138" s="8"/>
      <c r="E1138" s="8"/>
      <c r="F1138" s="12"/>
      <c r="G1138" s="11"/>
      <c r="H1138" s="11"/>
      <c r="I1138" s="11"/>
      <c r="J1138" s="11"/>
      <c r="K1138" s="12"/>
      <c r="L1138" s="11"/>
      <c r="M1138" s="11"/>
      <c r="N1138" s="11"/>
      <c r="O1138" s="11"/>
      <c r="P1138" s="8"/>
    </row>
    <row r="1139">
      <c r="A1139" s="11"/>
      <c r="B1139" s="9"/>
      <c r="C1139" s="8"/>
      <c r="D1139" s="8"/>
      <c r="E1139" s="8"/>
      <c r="F1139" s="12"/>
      <c r="G1139" s="11"/>
      <c r="H1139" s="11"/>
      <c r="I1139" s="11"/>
      <c r="J1139" s="11"/>
      <c r="K1139" s="12"/>
      <c r="L1139" s="11"/>
      <c r="M1139" s="11"/>
      <c r="N1139" s="11"/>
      <c r="O1139" s="11"/>
      <c r="P1139" s="8"/>
    </row>
    <row r="1140">
      <c r="A1140" s="11"/>
      <c r="B1140" s="9"/>
      <c r="C1140" s="8"/>
      <c r="D1140" s="8"/>
      <c r="E1140" s="8"/>
      <c r="F1140" s="12"/>
      <c r="G1140" s="11"/>
      <c r="H1140" s="11"/>
      <c r="I1140" s="11"/>
      <c r="J1140" s="11"/>
      <c r="K1140" s="12"/>
      <c r="L1140" s="11"/>
      <c r="M1140" s="11"/>
      <c r="N1140" s="11"/>
      <c r="O1140" s="11"/>
      <c r="P1140" s="8"/>
    </row>
    <row r="1141">
      <c r="A1141" s="11"/>
      <c r="B1141" s="9"/>
      <c r="C1141" s="8"/>
      <c r="D1141" s="8"/>
      <c r="E1141" s="8"/>
      <c r="F1141" s="12"/>
      <c r="G1141" s="11"/>
      <c r="H1141" s="11"/>
      <c r="I1141" s="11"/>
      <c r="J1141" s="11"/>
      <c r="K1141" s="12"/>
      <c r="L1141" s="11"/>
      <c r="M1141" s="11"/>
      <c r="N1141" s="11"/>
      <c r="O1141" s="11"/>
      <c r="P1141" s="8"/>
    </row>
    <row r="1142">
      <c r="A1142" s="11"/>
      <c r="B1142" s="9"/>
      <c r="C1142" s="8"/>
      <c r="D1142" s="8"/>
      <c r="E1142" s="8"/>
      <c r="F1142" s="12"/>
      <c r="G1142" s="11"/>
      <c r="H1142" s="11"/>
      <c r="I1142" s="11"/>
      <c r="J1142" s="11"/>
      <c r="K1142" s="12"/>
      <c r="L1142" s="11"/>
      <c r="M1142" s="11"/>
      <c r="N1142" s="11"/>
      <c r="O1142" s="11"/>
      <c r="P1142" s="8"/>
    </row>
    <row r="1143">
      <c r="A1143" s="11"/>
      <c r="B1143" s="9"/>
      <c r="C1143" s="8"/>
      <c r="D1143" s="8"/>
      <c r="E1143" s="8"/>
      <c r="F1143" s="12"/>
      <c r="G1143" s="11"/>
      <c r="H1143" s="11"/>
      <c r="I1143" s="11"/>
      <c r="J1143" s="11"/>
      <c r="K1143" s="12"/>
      <c r="L1143" s="11"/>
      <c r="M1143" s="11"/>
      <c r="N1143" s="11"/>
      <c r="O1143" s="11"/>
      <c r="P1143" s="8"/>
    </row>
    <row r="1144">
      <c r="A1144" s="11"/>
      <c r="B1144" s="9"/>
      <c r="C1144" s="8"/>
      <c r="D1144" s="8"/>
      <c r="E1144" s="8"/>
      <c r="F1144" s="12"/>
      <c r="G1144" s="11"/>
      <c r="H1144" s="11"/>
      <c r="I1144" s="11"/>
      <c r="J1144" s="11"/>
      <c r="K1144" s="12"/>
      <c r="L1144" s="11"/>
      <c r="M1144" s="11"/>
      <c r="N1144" s="11"/>
      <c r="O1144" s="11"/>
      <c r="P1144" s="8"/>
    </row>
    <row r="1145">
      <c r="A1145" s="11"/>
      <c r="B1145" s="9"/>
      <c r="C1145" s="8"/>
      <c r="D1145" s="8"/>
      <c r="E1145" s="8"/>
      <c r="F1145" s="12"/>
      <c r="G1145" s="11"/>
      <c r="H1145" s="11"/>
      <c r="I1145" s="11"/>
      <c r="J1145" s="11"/>
      <c r="K1145" s="12"/>
      <c r="L1145" s="11"/>
      <c r="M1145" s="11"/>
      <c r="N1145" s="11"/>
      <c r="O1145" s="11"/>
      <c r="P1145" s="8"/>
    </row>
    <row r="1146">
      <c r="A1146" s="11"/>
      <c r="B1146" s="9"/>
      <c r="C1146" s="8"/>
      <c r="D1146" s="8"/>
      <c r="E1146" s="8"/>
      <c r="F1146" s="12"/>
      <c r="G1146" s="11"/>
      <c r="H1146" s="11"/>
      <c r="I1146" s="11"/>
      <c r="J1146" s="11"/>
      <c r="K1146" s="12"/>
      <c r="L1146" s="11"/>
      <c r="M1146" s="11"/>
      <c r="N1146" s="11"/>
      <c r="O1146" s="11"/>
      <c r="P1146" s="8"/>
    </row>
    <row r="1147">
      <c r="A1147" s="11"/>
      <c r="B1147" s="9"/>
      <c r="C1147" s="8"/>
      <c r="D1147" s="8"/>
      <c r="E1147" s="8"/>
      <c r="F1147" s="12"/>
      <c r="G1147" s="11"/>
      <c r="H1147" s="11"/>
      <c r="I1147" s="11"/>
      <c r="J1147" s="11"/>
      <c r="K1147" s="12"/>
      <c r="L1147" s="11"/>
      <c r="M1147" s="11"/>
      <c r="N1147" s="11"/>
      <c r="O1147" s="11"/>
      <c r="P1147" s="8"/>
    </row>
    <row r="1148">
      <c r="A1148" s="11"/>
      <c r="B1148" s="9"/>
      <c r="C1148" s="8"/>
      <c r="D1148" s="8"/>
      <c r="E1148" s="8"/>
      <c r="F1148" s="12"/>
      <c r="G1148" s="11"/>
      <c r="H1148" s="11"/>
      <c r="I1148" s="11"/>
      <c r="J1148" s="11"/>
      <c r="K1148" s="12"/>
      <c r="L1148" s="11"/>
      <c r="M1148" s="11"/>
      <c r="N1148" s="11"/>
      <c r="O1148" s="11"/>
      <c r="P1148" s="8"/>
    </row>
    <row r="1149">
      <c r="A1149" s="11"/>
      <c r="B1149" s="9"/>
      <c r="C1149" s="8"/>
      <c r="D1149" s="8"/>
      <c r="E1149" s="8"/>
      <c r="F1149" s="12"/>
      <c r="G1149" s="11"/>
      <c r="H1149" s="11"/>
      <c r="I1149" s="11"/>
      <c r="J1149" s="11"/>
      <c r="K1149" s="12"/>
      <c r="L1149" s="11"/>
      <c r="M1149" s="11"/>
      <c r="N1149" s="11"/>
      <c r="O1149" s="11"/>
      <c r="P1149" s="8"/>
    </row>
    <row r="1150">
      <c r="A1150" s="11"/>
      <c r="B1150" s="9"/>
      <c r="C1150" s="8"/>
      <c r="D1150" s="8"/>
      <c r="E1150" s="8"/>
      <c r="F1150" s="12"/>
      <c r="G1150" s="11"/>
      <c r="H1150" s="11"/>
      <c r="I1150" s="11"/>
      <c r="J1150" s="11"/>
      <c r="K1150" s="12"/>
      <c r="L1150" s="11"/>
      <c r="M1150" s="11"/>
      <c r="N1150" s="11"/>
      <c r="O1150" s="11"/>
      <c r="P1150" s="8"/>
    </row>
    <row r="1151">
      <c r="A1151" s="11"/>
      <c r="B1151" s="9"/>
      <c r="C1151" s="8"/>
      <c r="D1151" s="8"/>
      <c r="E1151" s="8"/>
      <c r="F1151" s="12"/>
      <c r="G1151" s="11"/>
      <c r="H1151" s="11"/>
      <c r="I1151" s="11"/>
      <c r="J1151" s="11"/>
      <c r="K1151" s="12"/>
      <c r="L1151" s="11"/>
      <c r="M1151" s="11"/>
      <c r="N1151" s="11"/>
      <c r="O1151" s="11"/>
      <c r="P1151" s="8"/>
    </row>
    <row r="1152">
      <c r="A1152" s="11"/>
      <c r="B1152" s="9"/>
      <c r="C1152" s="8"/>
      <c r="D1152" s="8"/>
      <c r="E1152" s="8"/>
      <c r="F1152" s="12"/>
      <c r="G1152" s="11"/>
      <c r="H1152" s="11"/>
      <c r="I1152" s="11"/>
      <c r="J1152" s="11"/>
      <c r="K1152" s="12"/>
      <c r="L1152" s="11"/>
      <c r="M1152" s="11"/>
      <c r="N1152" s="11"/>
      <c r="O1152" s="11"/>
      <c r="P1152" s="8"/>
    </row>
    <row r="1153">
      <c r="A1153" s="11"/>
      <c r="B1153" s="9"/>
      <c r="C1153" s="8"/>
      <c r="D1153" s="8"/>
      <c r="E1153" s="8"/>
      <c r="F1153" s="12"/>
      <c r="G1153" s="11"/>
      <c r="H1153" s="11"/>
      <c r="I1153" s="11"/>
      <c r="J1153" s="11"/>
      <c r="K1153" s="12"/>
      <c r="L1153" s="11"/>
      <c r="M1153" s="11"/>
      <c r="N1153" s="11"/>
      <c r="O1153" s="11"/>
      <c r="P1153" s="8"/>
    </row>
    <row r="1154">
      <c r="A1154" s="11"/>
      <c r="B1154" s="9"/>
      <c r="C1154" s="8"/>
      <c r="D1154" s="8"/>
      <c r="E1154" s="8"/>
      <c r="F1154" s="12"/>
      <c r="G1154" s="11"/>
      <c r="H1154" s="11"/>
      <c r="I1154" s="11"/>
      <c r="J1154" s="11"/>
      <c r="K1154" s="12"/>
      <c r="L1154" s="11"/>
      <c r="M1154" s="11"/>
      <c r="N1154" s="11"/>
      <c r="O1154" s="11"/>
      <c r="P1154" s="8"/>
    </row>
    <row r="1155">
      <c r="A1155" s="11"/>
      <c r="B1155" s="9"/>
      <c r="C1155" s="8"/>
      <c r="D1155" s="8"/>
      <c r="E1155" s="8"/>
      <c r="F1155" s="12"/>
      <c r="G1155" s="11"/>
      <c r="H1155" s="11"/>
      <c r="I1155" s="11"/>
      <c r="J1155" s="11"/>
      <c r="K1155" s="12"/>
      <c r="L1155" s="11"/>
      <c r="M1155" s="11"/>
      <c r="N1155" s="11"/>
      <c r="O1155" s="11"/>
      <c r="P1155" s="8"/>
    </row>
    <row r="1156">
      <c r="A1156" s="11"/>
      <c r="B1156" s="9"/>
      <c r="C1156" s="8"/>
      <c r="D1156" s="8"/>
      <c r="E1156" s="8"/>
      <c r="F1156" s="12"/>
      <c r="G1156" s="11"/>
      <c r="H1156" s="11"/>
      <c r="I1156" s="11"/>
      <c r="J1156" s="11"/>
      <c r="K1156" s="12"/>
      <c r="L1156" s="11"/>
      <c r="M1156" s="11"/>
      <c r="N1156" s="11"/>
      <c r="O1156" s="11"/>
      <c r="P1156" s="8"/>
    </row>
    <row r="1157">
      <c r="A1157" s="11"/>
      <c r="B1157" s="9"/>
      <c r="C1157" s="8"/>
      <c r="D1157" s="8"/>
      <c r="E1157" s="8"/>
      <c r="F1157" s="12"/>
      <c r="G1157" s="11"/>
      <c r="H1157" s="11"/>
      <c r="I1157" s="11"/>
      <c r="J1157" s="11"/>
      <c r="K1157" s="12"/>
      <c r="L1157" s="11"/>
      <c r="M1157" s="11"/>
      <c r="N1157" s="11"/>
      <c r="O1157" s="11"/>
      <c r="P1157" s="8"/>
    </row>
    <row r="1158">
      <c r="A1158" s="11"/>
      <c r="B1158" s="9"/>
      <c r="C1158" s="8"/>
      <c r="D1158" s="8"/>
      <c r="E1158" s="8"/>
      <c r="F1158" s="12"/>
      <c r="G1158" s="11"/>
      <c r="H1158" s="11"/>
      <c r="I1158" s="11"/>
      <c r="J1158" s="11"/>
      <c r="K1158" s="12"/>
      <c r="L1158" s="11"/>
      <c r="M1158" s="11"/>
      <c r="N1158" s="11"/>
      <c r="O1158" s="11"/>
      <c r="P1158" s="8"/>
    </row>
    <row r="1159">
      <c r="A1159" s="11"/>
      <c r="B1159" s="9"/>
      <c r="C1159" s="8"/>
      <c r="D1159" s="8"/>
      <c r="E1159" s="8"/>
      <c r="F1159" s="12"/>
      <c r="G1159" s="11"/>
      <c r="H1159" s="11"/>
      <c r="I1159" s="11"/>
      <c r="J1159" s="11"/>
      <c r="K1159" s="12"/>
      <c r="L1159" s="11"/>
      <c r="M1159" s="11"/>
      <c r="N1159" s="11"/>
      <c r="O1159" s="11"/>
      <c r="P1159" s="8"/>
    </row>
    <row r="1160">
      <c r="A1160" s="11"/>
      <c r="B1160" s="9"/>
      <c r="C1160" s="8"/>
      <c r="D1160" s="8"/>
      <c r="E1160" s="8"/>
      <c r="F1160" s="12"/>
      <c r="G1160" s="11"/>
      <c r="H1160" s="11"/>
      <c r="I1160" s="11"/>
      <c r="J1160" s="11"/>
      <c r="K1160" s="12"/>
      <c r="L1160" s="11"/>
      <c r="M1160" s="11"/>
      <c r="N1160" s="11"/>
      <c r="O1160" s="11"/>
      <c r="P1160" s="8"/>
    </row>
    <row r="1161">
      <c r="A1161" s="11"/>
      <c r="B1161" s="9"/>
      <c r="C1161" s="8"/>
      <c r="D1161" s="8"/>
      <c r="E1161" s="8"/>
      <c r="F1161" s="12"/>
      <c r="G1161" s="11"/>
      <c r="H1161" s="11"/>
      <c r="I1161" s="11"/>
      <c r="J1161" s="11"/>
      <c r="K1161" s="12"/>
      <c r="L1161" s="11"/>
      <c r="M1161" s="11"/>
      <c r="N1161" s="11"/>
      <c r="O1161" s="11"/>
      <c r="P1161" s="8"/>
    </row>
    <row r="1162">
      <c r="A1162" s="11"/>
      <c r="B1162" s="9"/>
      <c r="C1162" s="8"/>
      <c r="D1162" s="8"/>
      <c r="E1162" s="8"/>
      <c r="F1162" s="12"/>
      <c r="G1162" s="11"/>
      <c r="H1162" s="11"/>
      <c r="I1162" s="11"/>
      <c r="J1162" s="11"/>
      <c r="K1162" s="12"/>
      <c r="L1162" s="11"/>
      <c r="M1162" s="11"/>
      <c r="N1162" s="11"/>
      <c r="O1162" s="11"/>
      <c r="P1162" s="8"/>
    </row>
    <row r="1163">
      <c r="A1163" s="11"/>
      <c r="B1163" s="9"/>
      <c r="C1163" s="8"/>
      <c r="D1163" s="8"/>
      <c r="E1163" s="8"/>
      <c r="F1163" s="12"/>
      <c r="G1163" s="11"/>
      <c r="H1163" s="11"/>
      <c r="I1163" s="11"/>
      <c r="J1163" s="11"/>
      <c r="K1163" s="12"/>
      <c r="L1163" s="11"/>
      <c r="M1163" s="11"/>
      <c r="N1163" s="11"/>
      <c r="O1163" s="11"/>
      <c r="P1163" s="8"/>
    </row>
    <row r="1164">
      <c r="A1164" s="11"/>
      <c r="B1164" s="9"/>
      <c r="C1164" s="8"/>
      <c r="D1164" s="8"/>
      <c r="E1164" s="8"/>
      <c r="F1164" s="12"/>
      <c r="G1164" s="11"/>
      <c r="H1164" s="11"/>
      <c r="I1164" s="11"/>
      <c r="J1164" s="11"/>
      <c r="K1164" s="12"/>
      <c r="L1164" s="11"/>
      <c r="M1164" s="11"/>
      <c r="N1164" s="11"/>
      <c r="O1164" s="11"/>
      <c r="P1164" s="8"/>
    </row>
    <row r="1165">
      <c r="A1165" s="11"/>
      <c r="B1165" s="9"/>
      <c r="C1165" s="8"/>
      <c r="D1165" s="8"/>
      <c r="E1165" s="8"/>
      <c r="F1165" s="12"/>
      <c r="G1165" s="11"/>
      <c r="H1165" s="11"/>
      <c r="I1165" s="11"/>
      <c r="J1165" s="11"/>
      <c r="K1165" s="12"/>
      <c r="L1165" s="11"/>
      <c r="M1165" s="11"/>
      <c r="N1165" s="11"/>
      <c r="O1165" s="11"/>
      <c r="P1165" s="8"/>
    </row>
    <row r="1166">
      <c r="A1166" s="11"/>
      <c r="B1166" s="9"/>
      <c r="C1166" s="8"/>
      <c r="D1166" s="8"/>
      <c r="E1166" s="8"/>
      <c r="F1166" s="12"/>
      <c r="G1166" s="11"/>
      <c r="H1166" s="11"/>
      <c r="I1166" s="11"/>
      <c r="J1166" s="11"/>
      <c r="K1166" s="12"/>
      <c r="L1166" s="11"/>
      <c r="M1166" s="11"/>
      <c r="N1166" s="11"/>
      <c r="O1166" s="11"/>
      <c r="P1166" s="8"/>
    </row>
    <row r="1167">
      <c r="A1167" s="11"/>
      <c r="B1167" s="9"/>
      <c r="C1167" s="8"/>
      <c r="D1167" s="8"/>
      <c r="E1167" s="8"/>
      <c r="F1167" s="12"/>
      <c r="G1167" s="11"/>
      <c r="H1167" s="11"/>
      <c r="I1167" s="11"/>
      <c r="J1167" s="11"/>
      <c r="K1167" s="12"/>
      <c r="L1167" s="11"/>
      <c r="M1167" s="11"/>
      <c r="N1167" s="11"/>
      <c r="O1167" s="11"/>
      <c r="P1167" s="8"/>
    </row>
    <row r="1168">
      <c r="A1168" s="11"/>
      <c r="B1168" s="9"/>
      <c r="C1168" s="8"/>
      <c r="D1168" s="8"/>
      <c r="E1168" s="8"/>
      <c r="F1168" s="12"/>
      <c r="G1168" s="11"/>
      <c r="H1168" s="11"/>
      <c r="I1168" s="11"/>
      <c r="J1168" s="11"/>
      <c r="K1168" s="12"/>
      <c r="L1168" s="11"/>
      <c r="M1168" s="11"/>
      <c r="N1168" s="11"/>
      <c r="O1168" s="11"/>
      <c r="P1168" s="8"/>
    </row>
    <row r="1169">
      <c r="A1169" s="11"/>
      <c r="B1169" s="9"/>
      <c r="C1169" s="8"/>
      <c r="D1169" s="8"/>
      <c r="E1169" s="8"/>
      <c r="F1169" s="12"/>
      <c r="G1169" s="11"/>
      <c r="H1169" s="11"/>
      <c r="I1169" s="11"/>
      <c r="J1169" s="11"/>
      <c r="K1169" s="12"/>
      <c r="L1169" s="11"/>
      <c r="M1169" s="11"/>
      <c r="N1169" s="11"/>
      <c r="O1169" s="11"/>
      <c r="P1169" s="8"/>
    </row>
    <row r="1170">
      <c r="A1170" s="11"/>
      <c r="B1170" s="9"/>
      <c r="C1170" s="8"/>
      <c r="D1170" s="8"/>
      <c r="E1170" s="8"/>
      <c r="F1170" s="12"/>
      <c r="G1170" s="11"/>
      <c r="H1170" s="11"/>
      <c r="I1170" s="11"/>
      <c r="J1170" s="11"/>
      <c r="K1170" s="12"/>
      <c r="L1170" s="11"/>
      <c r="M1170" s="11"/>
      <c r="N1170" s="11"/>
      <c r="O1170" s="11"/>
      <c r="P1170" s="8"/>
    </row>
    <row r="1171">
      <c r="A1171" s="11"/>
      <c r="B1171" s="9"/>
      <c r="C1171" s="8"/>
      <c r="D1171" s="8"/>
      <c r="E1171" s="8"/>
      <c r="F1171" s="12"/>
      <c r="G1171" s="11"/>
      <c r="H1171" s="11"/>
      <c r="I1171" s="11"/>
      <c r="J1171" s="11"/>
      <c r="K1171" s="12"/>
      <c r="L1171" s="11"/>
      <c r="M1171" s="11"/>
      <c r="N1171" s="11"/>
      <c r="O1171" s="11"/>
      <c r="P1171" s="8"/>
    </row>
    <row r="1172">
      <c r="A1172" s="11"/>
      <c r="B1172" s="9"/>
      <c r="C1172" s="8"/>
      <c r="D1172" s="8"/>
      <c r="E1172" s="8"/>
      <c r="F1172" s="12"/>
      <c r="G1172" s="11"/>
      <c r="H1172" s="11"/>
      <c r="I1172" s="11"/>
      <c r="J1172" s="11"/>
      <c r="K1172" s="12"/>
      <c r="L1172" s="11"/>
      <c r="M1172" s="11"/>
      <c r="N1172" s="11"/>
      <c r="O1172" s="11"/>
      <c r="P1172" s="8"/>
    </row>
    <row r="1173">
      <c r="A1173" s="11"/>
      <c r="B1173" s="9"/>
      <c r="C1173" s="8"/>
      <c r="D1173" s="8"/>
      <c r="E1173" s="8"/>
      <c r="F1173" s="12"/>
      <c r="G1173" s="11"/>
      <c r="H1173" s="11"/>
      <c r="I1173" s="11"/>
      <c r="J1173" s="11"/>
      <c r="K1173" s="12"/>
      <c r="L1173" s="11"/>
      <c r="M1173" s="11"/>
      <c r="N1173" s="11"/>
      <c r="O1173" s="11"/>
      <c r="P1173" s="8"/>
    </row>
    <row r="1174">
      <c r="A1174" s="11"/>
      <c r="B1174" s="9"/>
      <c r="C1174" s="8"/>
      <c r="D1174" s="8"/>
      <c r="E1174" s="8"/>
      <c r="F1174" s="12"/>
      <c r="G1174" s="11"/>
      <c r="H1174" s="11"/>
      <c r="I1174" s="11"/>
      <c r="J1174" s="11"/>
      <c r="K1174" s="12"/>
      <c r="L1174" s="11"/>
      <c r="M1174" s="11"/>
      <c r="N1174" s="11"/>
      <c r="O1174" s="11"/>
      <c r="P1174" s="8"/>
    </row>
    <row r="1175">
      <c r="A1175" s="11"/>
      <c r="B1175" s="9"/>
      <c r="C1175" s="8"/>
      <c r="D1175" s="8"/>
      <c r="E1175" s="8"/>
      <c r="F1175" s="12"/>
      <c r="G1175" s="11"/>
      <c r="H1175" s="11"/>
      <c r="I1175" s="11"/>
      <c r="J1175" s="11"/>
      <c r="K1175" s="12"/>
      <c r="L1175" s="11"/>
      <c r="M1175" s="11"/>
      <c r="N1175" s="11"/>
      <c r="O1175" s="11"/>
      <c r="P1175" s="8"/>
    </row>
    <row r="1176">
      <c r="A1176" s="11"/>
      <c r="B1176" s="9"/>
      <c r="C1176" s="8"/>
      <c r="D1176" s="8"/>
      <c r="E1176" s="8"/>
      <c r="F1176" s="12"/>
      <c r="G1176" s="11"/>
      <c r="H1176" s="11"/>
      <c r="I1176" s="11"/>
      <c r="J1176" s="11"/>
      <c r="K1176" s="12"/>
      <c r="L1176" s="11"/>
      <c r="M1176" s="11"/>
      <c r="N1176" s="11"/>
      <c r="O1176" s="11"/>
      <c r="P1176" s="8"/>
    </row>
    <row r="1177">
      <c r="A1177" s="11"/>
      <c r="B1177" s="9"/>
      <c r="C1177" s="8"/>
      <c r="D1177" s="8"/>
      <c r="E1177" s="8"/>
      <c r="F1177" s="12"/>
      <c r="G1177" s="11"/>
      <c r="H1177" s="11"/>
      <c r="I1177" s="11"/>
      <c r="J1177" s="11"/>
      <c r="K1177" s="12"/>
      <c r="L1177" s="11"/>
      <c r="M1177" s="11"/>
      <c r="N1177" s="11"/>
      <c r="O1177" s="11"/>
      <c r="P1177" s="8"/>
    </row>
    <row r="1178">
      <c r="A1178" s="11"/>
      <c r="B1178" s="9"/>
      <c r="C1178" s="8"/>
      <c r="D1178" s="8"/>
      <c r="E1178" s="8"/>
      <c r="F1178" s="12"/>
      <c r="G1178" s="11"/>
      <c r="H1178" s="11"/>
      <c r="I1178" s="11"/>
      <c r="J1178" s="11"/>
      <c r="K1178" s="12"/>
      <c r="L1178" s="11"/>
      <c r="M1178" s="11"/>
      <c r="N1178" s="11"/>
      <c r="O1178" s="11"/>
      <c r="P1178" s="8"/>
    </row>
    <row r="1179">
      <c r="A1179" s="11"/>
      <c r="B1179" s="9"/>
      <c r="C1179" s="8"/>
      <c r="D1179" s="8"/>
      <c r="E1179" s="8"/>
      <c r="F1179" s="12"/>
      <c r="G1179" s="11"/>
      <c r="H1179" s="11"/>
      <c r="I1179" s="11"/>
      <c r="J1179" s="11"/>
      <c r="K1179" s="12"/>
      <c r="L1179" s="11"/>
      <c r="M1179" s="11"/>
      <c r="N1179" s="11"/>
      <c r="O1179" s="11"/>
      <c r="P1179" s="8"/>
    </row>
    <row r="1180">
      <c r="A1180" s="11"/>
      <c r="B1180" s="9"/>
      <c r="C1180" s="8"/>
      <c r="D1180" s="8"/>
      <c r="E1180" s="8"/>
      <c r="F1180" s="12"/>
      <c r="G1180" s="11"/>
      <c r="H1180" s="11"/>
      <c r="I1180" s="11"/>
      <c r="J1180" s="11"/>
      <c r="K1180" s="12"/>
      <c r="L1180" s="11"/>
      <c r="M1180" s="11"/>
      <c r="N1180" s="11"/>
      <c r="O1180" s="11"/>
      <c r="P1180" s="8"/>
    </row>
    <row r="1181">
      <c r="A1181" s="11"/>
      <c r="B1181" s="9"/>
      <c r="C1181" s="8"/>
      <c r="D1181" s="8"/>
      <c r="E1181" s="8"/>
      <c r="F1181" s="12"/>
      <c r="G1181" s="11"/>
      <c r="H1181" s="11"/>
      <c r="I1181" s="11"/>
      <c r="J1181" s="11"/>
      <c r="K1181" s="12"/>
      <c r="L1181" s="11"/>
      <c r="M1181" s="11"/>
      <c r="N1181" s="11"/>
      <c r="O1181" s="11"/>
      <c r="P1181" s="8"/>
    </row>
    <row r="1182">
      <c r="A1182" s="11"/>
      <c r="B1182" s="9"/>
      <c r="C1182" s="8"/>
      <c r="D1182" s="8"/>
      <c r="E1182" s="8"/>
      <c r="F1182" s="12"/>
      <c r="G1182" s="11"/>
      <c r="H1182" s="11"/>
      <c r="I1182" s="11"/>
      <c r="J1182" s="11"/>
      <c r="K1182" s="12"/>
      <c r="L1182" s="11"/>
      <c r="M1182" s="11"/>
      <c r="N1182" s="11"/>
      <c r="O1182" s="11"/>
      <c r="P1182" s="8"/>
    </row>
    <row r="1183">
      <c r="A1183" s="11"/>
      <c r="B1183" s="9"/>
      <c r="C1183" s="8"/>
      <c r="D1183" s="8"/>
      <c r="E1183" s="8"/>
      <c r="F1183" s="12"/>
      <c r="G1183" s="11"/>
      <c r="H1183" s="11"/>
      <c r="I1183" s="11"/>
      <c r="J1183" s="11"/>
      <c r="K1183" s="12"/>
      <c r="L1183" s="11"/>
      <c r="M1183" s="11"/>
      <c r="N1183" s="11"/>
      <c r="O1183" s="11"/>
      <c r="P1183" s="8"/>
    </row>
    <row r="1184">
      <c r="A1184" s="11"/>
      <c r="B1184" s="9"/>
      <c r="C1184" s="8"/>
      <c r="D1184" s="8"/>
      <c r="E1184" s="8"/>
      <c r="F1184" s="12"/>
      <c r="G1184" s="11"/>
      <c r="H1184" s="11"/>
      <c r="I1184" s="11"/>
      <c r="J1184" s="11"/>
      <c r="K1184" s="12"/>
      <c r="L1184" s="11"/>
      <c r="M1184" s="11"/>
      <c r="N1184" s="11"/>
      <c r="O1184" s="11"/>
      <c r="P1184" s="8"/>
    </row>
    <row r="1185">
      <c r="A1185" s="11"/>
      <c r="B1185" s="9"/>
      <c r="C1185" s="8"/>
      <c r="D1185" s="8"/>
      <c r="E1185" s="8"/>
      <c r="F1185" s="12"/>
      <c r="G1185" s="11"/>
      <c r="H1185" s="11"/>
      <c r="I1185" s="11"/>
      <c r="J1185" s="11"/>
      <c r="K1185" s="12"/>
      <c r="L1185" s="11"/>
      <c r="M1185" s="11"/>
      <c r="N1185" s="11"/>
      <c r="O1185" s="11"/>
      <c r="P1185" s="8"/>
    </row>
    <row r="1186">
      <c r="A1186" s="11"/>
      <c r="B1186" s="9"/>
      <c r="C1186" s="8"/>
      <c r="D1186" s="8"/>
      <c r="E1186" s="8"/>
      <c r="F1186" s="12"/>
      <c r="G1186" s="11"/>
      <c r="H1186" s="11"/>
      <c r="I1186" s="11"/>
      <c r="J1186" s="11"/>
      <c r="K1186" s="12"/>
      <c r="L1186" s="11"/>
      <c r="M1186" s="11"/>
      <c r="N1186" s="11"/>
      <c r="O1186" s="11"/>
      <c r="P1186" s="8"/>
    </row>
    <row r="1187">
      <c r="A1187" s="11"/>
      <c r="B1187" s="9"/>
      <c r="C1187" s="8"/>
      <c r="D1187" s="8"/>
      <c r="E1187" s="8"/>
      <c r="F1187" s="12"/>
      <c r="G1187" s="11"/>
      <c r="H1187" s="11"/>
      <c r="I1187" s="11"/>
      <c r="J1187" s="11"/>
      <c r="K1187" s="12"/>
      <c r="L1187" s="11"/>
      <c r="M1187" s="11"/>
      <c r="N1187" s="11"/>
      <c r="O1187" s="11"/>
      <c r="P1187" s="8"/>
    </row>
    <row r="1188">
      <c r="A1188" s="11"/>
      <c r="B1188" s="9"/>
      <c r="C1188" s="8"/>
      <c r="D1188" s="8"/>
      <c r="E1188" s="8"/>
      <c r="F1188" s="12"/>
      <c r="G1188" s="11"/>
      <c r="H1188" s="11"/>
      <c r="I1188" s="11"/>
      <c r="J1188" s="11"/>
      <c r="K1188" s="12"/>
      <c r="L1188" s="11"/>
      <c r="M1188" s="11"/>
      <c r="N1188" s="11"/>
      <c r="O1188" s="11"/>
      <c r="P1188" s="8"/>
    </row>
    <row r="1189">
      <c r="A1189" s="11"/>
      <c r="B1189" s="9"/>
      <c r="C1189" s="8"/>
      <c r="D1189" s="8"/>
      <c r="E1189" s="8"/>
      <c r="F1189" s="12"/>
      <c r="G1189" s="11"/>
      <c r="H1189" s="11"/>
      <c r="I1189" s="11"/>
      <c r="J1189" s="11"/>
      <c r="K1189" s="12"/>
      <c r="L1189" s="11"/>
      <c r="M1189" s="11"/>
      <c r="N1189" s="11"/>
      <c r="O1189" s="11"/>
      <c r="P1189" s="8"/>
    </row>
    <row r="1190">
      <c r="A1190" s="11"/>
      <c r="B1190" s="9"/>
      <c r="C1190" s="8"/>
      <c r="D1190" s="8"/>
      <c r="E1190" s="8"/>
      <c r="F1190" s="12"/>
      <c r="G1190" s="11"/>
      <c r="H1190" s="11"/>
      <c r="I1190" s="11"/>
      <c r="J1190" s="11"/>
      <c r="K1190" s="12"/>
      <c r="L1190" s="11"/>
      <c r="M1190" s="11"/>
      <c r="N1190" s="11"/>
      <c r="O1190" s="11"/>
      <c r="P1190" s="8"/>
    </row>
    <row r="1191">
      <c r="A1191" s="11"/>
      <c r="B1191" s="9"/>
      <c r="C1191" s="8"/>
      <c r="D1191" s="8"/>
      <c r="E1191" s="8"/>
      <c r="F1191" s="12"/>
      <c r="G1191" s="11"/>
      <c r="H1191" s="11"/>
      <c r="I1191" s="11"/>
      <c r="J1191" s="11"/>
      <c r="K1191" s="12"/>
      <c r="L1191" s="11"/>
      <c r="M1191" s="11"/>
      <c r="N1191" s="11"/>
      <c r="O1191" s="11"/>
      <c r="P1191" s="8"/>
    </row>
    <row r="1192">
      <c r="A1192" s="11"/>
      <c r="B1192" s="9"/>
      <c r="C1192" s="8"/>
      <c r="D1192" s="8"/>
      <c r="E1192" s="8"/>
      <c r="F1192" s="12"/>
      <c r="G1192" s="11"/>
      <c r="H1192" s="11"/>
      <c r="I1192" s="11"/>
      <c r="J1192" s="11"/>
      <c r="K1192" s="12"/>
      <c r="L1192" s="11"/>
      <c r="M1192" s="11"/>
      <c r="N1192" s="11"/>
      <c r="O1192" s="11"/>
      <c r="P1192" s="8"/>
    </row>
    <row r="1193">
      <c r="A1193" s="11"/>
      <c r="B1193" s="9"/>
      <c r="C1193" s="8"/>
      <c r="D1193" s="8"/>
      <c r="E1193" s="8"/>
      <c r="F1193" s="12"/>
      <c r="G1193" s="11"/>
      <c r="H1193" s="11"/>
      <c r="I1193" s="11"/>
      <c r="J1193" s="11"/>
      <c r="K1193" s="12"/>
      <c r="L1193" s="11"/>
      <c r="M1193" s="11"/>
      <c r="N1193" s="11"/>
      <c r="O1193" s="11"/>
      <c r="P1193" s="8"/>
    </row>
    <row r="1194">
      <c r="A1194" s="11"/>
      <c r="B1194" s="9"/>
      <c r="C1194" s="8"/>
      <c r="D1194" s="8"/>
      <c r="E1194" s="8"/>
      <c r="F1194" s="12"/>
      <c r="G1194" s="11"/>
      <c r="H1194" s="11"/>
      <c r="I1194" s="11"/>
      <c r="J1194" s="11"/>
      <c r="K1194" s="12"/>
      <c r="L1194" s="11"/>
      <c r="M1194" s="11"/>
      <c r="N1194" s="11"/>
      <c r="O1194" s="11"/>
      <c r="P1194" s="8"/>
    </row>
    <row r="1195">
      <c r="A1195" s="11"/>
      <c r="B1195" s="9"/>
      <c r="C1195" s="8"/>
      <c r="D1195" s="8"/>
      <c r="E1195" s="8"/>
      <c r="F1195" s="12"/>
      <c r="G1195" s="11"/>
      <c r="H1195" s="11"/>
      <c r="I1195" s="11"/>
      <c r="J1195" s="11"/>
      <c r="K1195" s="12"/>
      <c r="L1195" s="11"/>
      <c r="M1195" s="11"/>
      <c r="N1195" s="11"/>
      <c r="O1195" s="11"/>
      <c r="P1195" s="8"/>
    </row>
    <row r="1196">
      <c r="A1196" s="11"/>
      <c r="B1196" s="9"/>
      <c r="C1196" s="8"/>
      <c r="D1196" s="8"/>
      <c r="E1196" s="8"/>
      <c r="F1196" s="12"/>
      <c r="G1196" s="11"/>
      <c r="H1196" s="11"/>
      <c r="I1196" s="11"/>
      <c r="J1196" s="11"/>
      <c r="K1196" s="12"/>
      <c r="L1196" s="11"/>
      <c r="M1196" s="11"/>
      <c r="N1196" s="11"/>
      <c r="O1196" s="11"/>
      <c r="P1196" s="8"/>
    </row>
    <row r="1197">
      <c r="A1197" s="11"/>
      <c r="B1197" s="9"/>
      <c r="C1197" s="8"/>
      <c r="D1197" s="8"/>
      <c r="E1197" s="8"/>
      <c r="F1197" s="12"/>
      <c r="G1197" s="11"/>
      <c r="H1197" s="11"/>
      <c r="I1197" s="11"/>
      <c r="J1197" s="11"/>
      <c r="K1197" s="12"/>
      <c r="L1197" s="11"/>
      <c r="M1197" s="11"/>
      <c r="N1197" s="11"/>
      <c r="O1197" s="11"/>
      <c r="P1197" s="8"/>
    </row>
    <row r="1198">
      <c r="A1198" s="11"/>
      <c r="B1198" s="9"/>
      <c r="C1198" s="8"/>
      <c r="D1198" s="8"/>
      <c r="E1198" s="8"/>
      <c r="F1198" s="12"/>
      <c r="G1198" s="11"/>
      <c r="H1198" s="11"/>
      <c r="I1198" s="11"/>
      <c r="J1198" s="11"/>
      <c r="K1198" s="12"/>
      <c r="L1198" s="11"/>
      <c r="M1198" s="11"/>
      <c r="N1198" s="11"/>
      <c r="O1198" s="11"/>
      <c r="P1198" s="8"/>
    </row>
    <row r="1199">
      <c r="A1199" s="11"/>
      <c r="B1199" s="9"/>
      <c r="C1199" s="8"/>
      <c r="D1199" s="8"/>
      <c r="E1199" s="8"/>
      <c r="F1199" s="12"/>
      <c r="G1199" s="11"/>
      <c r="H1199" s="11"/>
      <c r="I1199" s="11"/>
      <c r="J1199" s="11"/>
      <c r="K1199" s="12"/>
      <c r="L1199" s="11"/>
      <c r="M1199" s="11"/>
      <c r="N1199" s="11"/>
      <c r="O1199" s="11"/>
      <c r="P1199" s="8"/>
    </row>
    <row r="1200">
      <c r="A1200" s="11"/>
      <c r="B1200" s="9"/>
      <c r="C1200" s="8"/>
      <c r="D1200" s="8"/>
      <c r="E1200" s="8"/>
      <c r="F1200" s="12"/>
      <c r="G1200" s="11"/>
      <c r="H1200" s="11"/>
      <c r="I1200" s="11"/>
      <c r="J1200" s="11"/>
      <c r="K1200" s="12"/>
      <c r="L1200" s="11"/>
      <c r="M1200" s="11"/>
      <c r="N1200" s="11"/>
      <c r="O1200" s="11"/>
      <c r="P1200" s="8"/>
    </row>
    <row r="1201">
      <c r="A1201" s="11"/>
      <c r="B1201" s="9"/>
      <c r="C1201" s="8"/>
      <c r="D1201" s="8"/>
      <c r="E1201" s="8"/>
      <c r="F1201" s="12"/>
      <c r="G1201" s="11"/>
      <c r="H1201" s="11"/>
      <c r="I1201" s="11"/>
      <c r="J1201" s="11"/>
      <c r="K1201" s="12"/>
      <c r="L1201" s="11"/>
      <c r="M1201" s="11"/>
      <c r="N1201" s="11"/>
      <c r="O1201" s="11"/>
      <c r="P1201" s="8"/>
    </row>
    <row r="1202">
      <c r="A1202" s="11"/>
      <c r="B1202" s="9"/>
      <c r="C1202" s="8"/>
      <c r="D1202" s="8"/>
      <c r="E1202" s="8"/>
      <c r="F1202" s="12"/>
      <c r="G1202" s="11"/>
      <c r="H1202" s="11"/>
      <c r="I1202" s="11"/>
      <c r="J1202" s="11"/>
      <c r="K1202" s="12"/>
      <c r="L1202" s="11"/>
      <c r="M1202" s="11"/>
      <c r="N1202" s="11"/>
      <c r="O1202" s="11"/>
      <c r="P1202" s="8"/>
    </row>
    <row r="1203">
      <c r="A1203" s="11"/>
      <c r="B1203" s="9"/>
      <c r="C1203" s="8"/>
      <c r="D1203" s="8"/>
      <c r="E1203" s="8"/>
      <c r="F1203" s="12"/>
      <c r="G1203" s="11"/>
      <c r="H1203" s="11"/>
      <c r="I1203" s="11"/>
      <c r="J1203" s="11"/>
      <c r="K1203" s="12"/>
      <c r="L1203" s="11"/>
      <c r="M1203" s="11"/>
      <c r="N1203" s="11"/>
      <c r="O1203" s="11"/>
      <c r="P1203" s="8"/>
    </row>
    <row r="1204">
      <c r="A1204" s="11"/>
      <c r="B1204" s="9"/>
      <c r="C1204" s="8"/>
      <c r="D1204" s="8"/>
      <c r="E1204" s="8"/>
      <c r="F1204" s="12"/>
      <c r="G1204" s="11"/>
      <c r="H1204" s="11"/>
      <c r="I1204" s="11"/>
      <c r="J1204" s="11"/>
      <c r="K1204" s="12"/>
      <c r="L1204" s="11"/>
      <c r="M1204" s="11"/>
      <c r="N1204" s="11"/>
      <c r="O1204" s="11"/>
      <c r="P1204" s="8"/>
    </row>
    <row r="1205">
      <c r="A1205" s="11"/>
      <c r="B1205" s="9"/>
      <c r="C1205" s="8"/>
      <c r="D1205" s="8"/>
      <c r="E1205" s="8"/>
      <c r="F1205" s="12"/>
      <c r="G1205" s="11"/>
      <c r="H1205" s="11"/>
      <c r="I1205" s="11"/>
      <c r="J1205" s="11"/>
      <c r="K1205" s="12"/>
      <c r="L1205" s="11"/>
      <c r="M1205" s="11"/>
      <c r="N1205" s="11"/>
      <c r="O1205" s="11"/>
      <c r="P1205" s="8"/>
    </row>
    <row r="1206">
      <c r="A1206" s="11"/>
      <c r="B1206" s="9"/>
      <c r="C1206" s="8"/>
      <c r="D1206" s="8"/>
      <c r="E1206" s="8"/>
      <c r="F1206" s="12"/>
      <c r="G1206" s="11"/>
      <c r="H1206" s="11"/>
      <c r="I1206" s="11"/>
      <c r="J1206" s="11"/>
      <c r="K1206" s="12"/>
      <c r="L1206" s="11"/>
      <c r="M1206" s="11"/>
      <c r="N1206" s="11"/>
      <c r="O1206" s="11"/>
      <c r="P1206" s="8"/>
    </row>
    <row r="1207">
      <c r="A1207" s="11"/>
      <c r="B1207" s="9"/>
      <c r="C1207" s="8"/>
      <c r="D1207" s="8"/>
      <c r="E1207" s="8"/>
      <c r="F1207" s="12"/>
      <c r="G1207" s="11"/>
      <c r="H1207" s="11"/>
      <c r="I1207" s="11"/>
      <c r="J1207" s="11"/>
      <c r="K1207" s="12"/>
      <c r="L1207" s="11"/>
      <c r="M1207" s="11"/>
      <c r="N1207" s="11"/>
      <c r="O1207" s="11"/>
      <c r="P1207" s="8"/>
    </row>
    <row r="1208">
      <c r="A1208" s="11"/>
      <c r="B1208" s="9"/>
      <c r="C1208" s="8"/>
      <c r="D1208" s="8"/>
      <c r="E1208" s="8"/>
      <c r="F1208" s="12"/>
      <c r="G1208" s="11"/>
      <c r="H1208" s="11"/>
      <c r="I1208" s="11"/>
      <c r="J1208" s="11"/>
      <c r="K1208" s="12"/>
      <c r="L1208" s="11"/>
      <c r="M1208" s="11"/>
      <c r="N1208" s="11"/>
      <c r="O1208" s="11"/>
      <c r="P1208" s="8"/>
    </row>
    <row r="1209">
      <c r="A1209" s="11"/>
      <c r="B1209" s="9"/>
      <c r="C1209" s="8"/>
      <c r="D1209" s="8"/>
      <c r="E1209" s="8"/>
      <c r="F1209" s="12"/>
      <c r="G1209" s="11"/>
      <c r="H1209" s="11"/>
      <c r="I1209" s="11"/>
      <c r="J1209" s="11"/>
      <c r="K1209" s="12"/>
      <c r="L1209" s="11"/>
      <c r="M1209" s="11"/>
      <c r="N1209" s="11"/>
      <c r="O1209" s="11"/>
      <c r="P1209" s="8"/>
    </row>
    <row r="1210">
      <c r="A1210" s="11"/>
      <c r="B1210" s="9"/>
      <c r="C1210" s="8"/>
      <c r="D1210" s="8"/>
      <c r="E1210" s="8"/>
      <c r="F1210" s="12"/>
      <c r="G1210" s="11"/>
      <c r="H1210" s="11"/>
      <c r="I1210" s="11"/>
      <c r="J1210" s="11"/>
      <c r="K1210" s="12"/>
      <c r="L1210" s="11"/>
      <c r="M1210" s="11"/>
      <c r="N1210" s="11"/>
      <c r="O1210" s="11"/>
      <c r="P1210" s="8"/>
    </row>
    <row r="1211">
      <c r="A1211" s="11"/>
      <c r="B1211" s="9"/>
      <c r="C1211" s="8"/>
      <c r="D1211" s="8"/>
      <c r="E1211" s="8"/>
      <c r="F1211" s="12"/>
      <c r="G1211" s="11"/>
      <c r="H1211" s="11"/>
      <c r="I1211" s="11"/>
      <c r="J1211" s="11"/>
      <c r="K1211" s="12"/>
      <c r="L1211" s="11"/>
      <c r="M1211" s="11"/>
      <c r="N1211" s="11"/>
      <c r="O1211" s="11"/>
      <c r="P1211" s="8"/>
    </row>
    <row r="1212">
      <c r="A1212" s="11"/>
      <c r="B1212" s="9"/>
      <c r="C1212" s="8"/>
      <c r="D1212" s="8"/>
      <c r="E1212" s="8"/>
      <c r="F1212" s="12"/>
      <c r="G1212" s="11"/>
      <c r="H1212" s="11"/>
      <c r="I1212" s="11"/>
      <c r="J1212" s="11"/>
      <c r="K1212" s="12"/>
      <c r="L1212" s="11"/>
      <c r="M1212" s="11"/>
      <c r="N1212" s="11"/>
      <c r="O1212" s="11"/>
      <c r="P1212" s="8"/>
    </row>
    <row r="1213">
      <c r="A1213" s="11"/>
      <c r="B1213" s="9"/>
      <c r="C1213" s="8"/>
      <c r="D1213" s="8"/>
      <c r="E1213" s="8"/>
      <c r="F1213" s="12"/>
      <c r="G1213" s="11"/>
      <c r="H1213" s="11"/>
      <c r="I1213" s="11"/>
      <c r="J1213" s="11"/>
      <c r="K1213" s="12"/>
      <c r="L1213" s="11"/>
      <c r="M1213" s="11"/>
      <c r="N1213" s="11"/>
      <c r="O1213" s="11"/>
      <c r="P1213" s="8"/>
    </row>
    <row r="1214">
      <c r="A1214" s="11"/>
      <c r="B1214" s="9"/>
      <c r="C1214" s="8"/>
      <c r="D1214" s="8"/>
      <c r="E1214" s="8"/>
      <c r="F1214" s="12"/>
      <c r="G1214" s="11"/>
      <c r="H1214" s="11"/>
      <c r="I1214" s="11"/>
      <c r="J1214" s="11"/>
      <c r="K1214" s="12"/>
      <c r="L1214" s="11"/>
      <c r="M1214" s="11"/>
      <c r="N1214" s="11"/>
      <c r="O1214" s="11"/>
      <c r="P1214" s="8"/>
    </row>
    <row r="1215">
      <c r="A1215" s="11"/>
      <c r="B1215" s="9"/>
      <c r="C1215" s="8"/>
      <c r="D1215" s="8"/>
      <c r="E1215" s="8"/>
      <c r="F1215" s="12"/>
      <c r="G1215" s="11"/>
      <c r="H1215" s="11"/>
      <c r="I1215" s="11"/>
      <c r="J1215" s="11"/>
      <c r="K1215" s="12"/>
      <c r="L1215" s="11"/>
      <c r="M1215" s="11"/>
      <c r="N1215" s="11"/>
      <c r="O1215" s="11"/>
      <c r="P1215" s="8"/>
    </row>
    <row r="1216">
      <c r="A1216" s="11"/>
      <c r="B1216" s="9"/>
      <c r="C1216" s="8"/>
      <c r="D1216" s="8"/>
      <c r="E1216" s="8"/>
      <c r="F1216" s="12"/>
      <c r="G1216" s="11"/>
      <c r="H1216" s="11"/>
      <c r="I1216" s="11"/>
      <c r="J1216" s="11"/>
      <c r="K1216" s="12"/>
      <c r="L1216" s="11"/>
      <c r="M1216" s="11"/>
      <c r="N1216" s="11"/>
      <c r="O1216" s="11"/>
      <c r="P1216" s="8"/>
    </row>
    <row r="1217">
      <c r="A1217" s="11"/>
      <c r="B1217" s="9"/>
      <c r="C1217" s="8"/>
      <c r="D1217" s="8"/>
      <c r="E1217" s="8"/>
      <c r="F1217" s="12"/>
      <c r="G1217" s="11"/>
      <c r="H1217" s="11"/>
      <c r="I1217" s="11"/>
      <c r="J1217" s="11"/>
      <c r="K1217" s="12"/>
      <c r="L1217" s="11"/>
      <c r="M1217" s="11"/>
      <c r="N1217" s="11"/>
      <c r="O1217" s="11"/>
      <c r="P1217" s="8"/>
    </row>
    <row r="1218">
      <c r="A1218" s="11"/>
      <c r="B1218" s="9"/>
      <c r="C1218" s="8"/>
      <c r="D1218" s="8"/>
      <c r="E1218" s="8"/>
      <c r="F1218" s="12"/>
      <c r="G1218" s="11"/>
      <c r="H1218" s="11"/>
      <c r="I1218" s="11"/>
      <c r="J1218" s="11"/>
      <c r="K1218" s="12"/>
      <c r="L1218" s="11"/>
      <c r="M1218" s="11"/>
      <c r="N1218" s="11"/>
      <c r="O1218" s="11"/>
      <c r="P1218" s="8"/>
    </row>
    <row r="1219">
      <c r="A1219" s="11"/>
      <c r="B1219" s="9"/>
      <c r="C1219" s="8"/>
      <c r="D1219" s="8"/>
      <c r="E1219" s="8"/>
      <c r="F1219" s="12"/>
      <c r="G1219" s="11"/>
      <c r="H1219" s="11"/>
      <c r="I1219" s="11"/>
      <c r="J1219" s="11"/>
      <c r="K1219" s="12"/>
      <c r="L1219" s="11"/>
      <c r="M1219" s="11"/>
      <c r="N1219" s="11"/>
      <c r="O1219" s="11"/>
      <c r="P1219" s="8"/>
    </row>
    <row r="1220">
      <c r="A1220" s="11"/>
      <c r="B1220" s="9"/>
      <c r="C1220" s="8"/>
      <c r="D1220" s="8"/>
      <c r="E1220" s="8"/>
      <c r="F1220" s="12"/>
      <c r="G1220" s="11"/>
      <c r="H1220" s="11"/>
      <c r="I1220" s="11"/>
      <c r="J1220" s="11"/>
      <c r="K1220" s="12"/>
      <c r="L1220" s="11"/>
      <c r="M1220" s="11"/>
      <c r="N1220" s="11"/>
      <c r="O1220" s="11"/>
      <c r="P1220" s="8"/>
    </row>
    <row r="1221">
      <c r="A1221" s="11"/>
      <c r="B1221" s="9"/>
      <c r="C1221" s="8"/>
      <c r="D1221" s="8"/>
      <c r="E1221" s="8"/>
      <c r="F1221" s="12"/>
      <c r="G1221" s="11"/>
      <c r="H1221" s="11"/>
      <c r="I1221" s="11"/>
      <c r="J1221" s="11"/>
      <c r="K1221" s="12"/>
      <c r="L1221" s="11"/>
      <c r="M1221" s="11"/>
      <c r="N1221" s="11"/>
      <c r="O1221" s="11"/>
      <c r="P1221" s="8"/>
    </row>
    <row r="1222">
      <c r="A1222" s="11"/>
      <c r="B1222" s="9"/>
      <c r="C1222" s="8"/>
      <c r="D1222" s="8"/>
      <c r="E1222" s="8"/>
      <c r="F1222" s="12"/>
      <c r="G1222" s="11"/>
      <c r="H1222" s="11"/>
      <c r="I1222" s="11"/>
      <c r="J1222" s="11"/>
      <c r="K1222" s="12"/>
      <c r="L1222" s="11"/>
      <c r="M1222" s="11"/>
      <c r="N1222" s="11"/>
      <c r="O1222" s="11"/>
      <c r="P1222" s="8"/>
    </row>
    <row r="1223">
      <c r="A1223" s="11"/>
      <c r="B1223" s="9"/>
      <c r="C1223" s="8"/>
      <c r="D1223" s="8"/>
      <c r="E1223" s="8"/>
      <c r="F1223" s="12"/>
      <c r="G1223" s="11"/>
      <c r="H1223" s="11"/>
      <c r="I1223" s="11"/>
      <c r="J1223" s="11"/>
      <c r="K1223" s="12"/>
      <c r="L1223" s="11"/>
      <c r="M1223" s="11"/>
      <c r="N1223" s="11"/>
      <c r="O1223" s="11"/>
      <c r="P1223" s="8"/>
    </row>
    <row r="1224">
      <c r="A1224" s="11"/>
      <c r="B1224" s="9"/>
      <c r="C1224" s="8"/>
      <c r="D1224" s="8"/>
      <c r="E1224" s="8"/>
      <c r="F1224" s="12"/>
      <c r="G1224" s="11"/>
      <c r="H1224" s="11"/>
      <c r="I1224" s="11"/>
      <c r="J1224" s="11"/>
      <c r="K1224" s="12"/>
      <c r="L1224" s="11"/>
      <c r="M1224" s="11"/>
      <c r="N1224" s="11"/>
      <c r="O1224" s="11"/>
      <c r="P1224" s="8"/>
    </row>
    <row r="1225">
      <c r="A1225" s="11"/>
      <c r="B1225" s="9"/>
      <c r="C1225" s="8"/>
      <c r="D1225" s="8"/>
      <c r="E1225" s="8"/>
      <c r="F1225" s="12"/>
      <c r="G1225" s="11"/>
      <c r="H1225" s="11"/>
      <c r="I1225" s="11"/>
      <c r="J1225" s="11"/>
      <c r="K1225" s="12"/>
      <c r="L1225" s="11"/>
      <c r="M1225" s="11"/>
      <c r="N1225" s="11"/>
      <c r="O1225" s="11"/>
      <c r="P1225" s="8"/>
    </row>
    <row r="1226">
      <c r="A1226" s="11"/>
      <c r="B1226" s="9"/>
      <c r="C1226" s="8"/>
      <c r="D1226" s="8"/>
      <c r="E1226" s="8"/>
      <c r="F1226" s="12"/>
      <c r="G1226" s="11"/>
      <c r="H1226" s="11"/>
      <c r="I1226" s="11"/>
      <c r="J1226" s="11"/>
      <c r="K1226" s="12"/>
      <c r="L1226" s="11"/>
      <c r="M1226" s="11"/>
      <c r="N1226" s="11"/>
      <c r="O1226" s="11"/>
      <c r="P1226" s="8"/>
    </row>
    <row r="1227">
      <c r="A1227" s="11"/>
      <c r="B1227" s="9"/>
      <c r="C1227" s="8"/>
      <c r="D1227" s="8"/>
      <c r="E1227" s="8"/>
      <c r="F1227" s="12"/>
      <c r="G1227" s="11"/>
      <c r="H1227" s="11"/>
      <c r="I1227" s="11"/>
      <c r="J1227" s="11"/>
      <c r="K1227" s="12"/>
      <c r="L1227" s="11"/>
      <c r="M1227" s="11"/>
      <c r="N1227" s="11"/>
      <c r="O1227" s="11"/>
      <c r="P1227" s="8"/>
    </row>
    <row r="1228">
      <c r="A1228" s="11"/>
      <c r="B1228" s="9"/>
      <c r="C1228" s="8"/>
      <c r="D1228" s="8"/>
      <c r="E1228" s="8"/>
      <c r="F1228" s="12"/>
      <c r="G1228" s="11"/>
      <c r="H1228" s="11"/>
      <c r="I1228" s="11"/>
      <c r="J1228" s="11"/>
      <c r="K1228" s="12"/>
      <c r="L1228" s="11"/>
      <c r="M1228" s="11"/>
      <c r="N1228" s="11"/>
      <c r="O1228" s="11"/>
      <c r="P1228" s="8"/>
    </row>
    <row r="1229">
      <c r="A1229" s="11"/>
      <c r="B1229" s="9"/>
      <c r="C1229" s="8"/>
      <c r="D1229" s="8"/>
      <c r="E1229" s="8"/>
      <c r="F1229" s="12"/>
      <c r="G1229" s="11"/>
      <c r="H1229" s="11"/>
      <c r="I1229" s="11"/>
      <c r="J1229" s="11"/>
      <c r="K1229" s="12"/>
      <c r="L1229" s="11"/>
      <c r="M1229" s="11"/>
      <c r="N1229" s="11"/>
      <c r="O1229" s="11"/>
      <c r="P1229" s="8"/>
    </row>
    <row r="1230">
      <c r="A1230" s="11"/>
      <c r="B1230" s="9"/>
      <c r="C1230" s="8"/>
      <c r="D1230" s="8"/>
      <c r="E1230" s="8"/>
      <c r="F1230" s="12"/>
      <c r="G1230" s="11"/>
      <c r="H1230" s="11"/>
      <c r="I1230" s="11"/>
      <c r="J1230" s="11"/>
      <c r="K1230" s="12"/>
      <c r="L1230" s="11"/>
      <c r="M1230" s="11"/>
      <c r="N1230" s="11"/>
      <c r="O1230" s="11"/>
      <c r="P1230" s="8"/>
    </row>
    <row r="1231">
      <c r="A1231" s="11"/>
      <c r="B1231" s="9"/>
      <c r="C1231" s="8"/>
      <c r="D1231" s="8"/>
      <c r="E1231" s="8"/>
      <c r="F1231" s="12"/>
      <c r="G1231" s="11"/>
      <c r="H1231" s="11"/>
      <c r="I1231" s="11"/>
      <c r="J1231" s="11"/>
      <c r="K1231" s="12"/>
      <c r="L1231" s="11"/>
      <c r="M1231" s="11"/>
      <c r="N1231" s="11"/>
      <c r="O1231" s="11"/>
      <c r="P1231" s="8"/>
    </row>
    <row r="1232">
      <c r="A1232" s="11"/>
      <c r="B1232" s="9"/>
      <c r="C1232" s="8"/>
      <c r="D1232" s="8"/>
      <c r="E1232" s="8"/>
      <c r="F1232" s="12"/>
      <c r="G1232" s="11"/>
      <c r="H1232" s="11"/>
      <c r="I1232" s="11"/>
      <c r="J1232" s="11"/>
      <c r="K1232" s="12"/>
      <c r="L1232" s="11"/>
      <c r="M1232" s="11"/>
      <c r="N1232" s="11"/>
      <c r="O1232" s="11"/>
      <c r="P1232" s="8"/>
    </row>
    <row r="1233">
      <c r="A1233" s="11"/>
      <c r="B1233" s="9"/>
      <c r="C1233" s="8"/>
      <c r="D1233" s="8"/>
      <c r="E1233" s="8"/>
      <c r="F1233" s="12"/>
      <c r="G1233" s="11"/>
      <c r="H1233" s="11"/>
      <c r="I1233" s="11"/>
      <c r="J1233" s="11"/>
      <c r="K1233" s="12"/>
      <c r="L1233" s="11"/>
      <c r="M1233" s="11"/>
      <c r="N1233" s="11"/>
      <c r="O1233" s="11"/>
      <c r="P1233" s="8"/>
    </row>
    <row r="1234">
      <c r="A1234" s="11"/>
      <c r="B1234" s="9"/>
      <c r="C1234" s="8"/>
      <c r="D1234" s="8"/>
      <c r="E1234" s="8"/>
      <c r="F1234" s="12"/>
      <c r="G1234" s="11"/>
      <c r="H1234" s="11"/>
      <c r="I1234" s="11"/>
      <c r="J1234" s="11"/>
      <c r="K1234" s="12"/>
      <c r="L1234" s="11"/>
      <c r="M1234" s="11"/>
      <c r="N1234" s="11"/>
      <c r="O1234" s="11"/>
      <c r="P1234" s="8"/>
    </row>
    <row r="1235">
      <c r="A1235" s="11"/>
      <c r="B1235" s="9"/>
      <c r="C1235" s="8"/>
      <c r="D1235" s="8"/>
      <c r="E1235" s="8"/>
      <c r="F1235" s="12"/>
      <c r="G1235" s="11"/>
      <c r="H1235" s="11"/>
      <c r="I1235" s="11"/>
      <c r="J1235" s="11"/>
      <c r="K1235" s="12"/>
      <c r="L1235" s="11"/>
      <c r="M1235" s="11"/>
      <c r="N1235" s="11"/>
      <c r="O1235" s="11"/>
      <c r="P1235" s="8"/>
    </row>
    <row r="1236">
      <c r="A1236" s="11"/>
      <c r="B1236" s="9"/>
      <c r="C1236" s="8"/>
      <c r="D1236" s="8"/>
      <c r="E1236" s="8"/>
      <c r="F1236" s="12"/>
      <c r="G1236" s="11"/>
      <c r="H1236" s="11"/>
      <c r="I1236" s="11"/>
      <c r="J1236" s="11"/>
      <c r="K1236" s="12"/>
      <c r="L1236" s="11"/>
      <c r="M1236" s="11"/>
      <c r="N1236" s="11"/>
      <c r="O1236" s="11"/>
      <c r="P1236" s="8"/>
    </row>
    <row r="1237">
      <c r="A1237" s="11"/>
      <c r="B1237" s="9"/>
      <c r="C1237" s="8"/>
      <c r="D1237" s="8"/>
      <c r="E1237" s="8"/>
      <c r="F1237" s="12"/>
      <c r="G1237" s="11"/>
      <c r="H1237" s="11"/>
      <c r="I1237" s="11"/>
      <c r="J1237" s="11"/>
      <c r="K1237" s="12"/>
      <c r="L1237" s="11"/>
      <c r="M1237" s="11"/>
      <c r="N1237" s="11"/>
      <c r="O1237" s="11"/>
      <c r="P1237" s="8"/>
    </row>
    <row r="1238">
      <c r="A1238" s="11"/>
      <c r="B1238" s="9"/>
      <c r="C1238" s="8"/>
      <c r="D1238" s="8"/>
      <c r="E1238" s="8"/>
      <c r="F1238" s="12"/>
      <c r="G1238" s="11"/>
      <c r="H1238" s="11"/>
      <c r="I1238" s="11"/>
      <c r="J1238" s="11"/>
      <c r="K1238" s="12"/>
      <c r="L1238" s="11"/>
      <c r="M1238" s="11"/>
      <c r="N1238" s="11"/>
      <c r="O1238" s="11"/>
      <c r="P1238" s="8"/>
    </row>
    <row r="1239">
      <c r="A1239" s="11"/>
      <c r="B1239" s="9"/>
      <c r="C1239" s="8"/>
      <c r="D1239" s="8"/>
      <c r="E1239" s="8"/>
      <c r="F1239" s="12"/>
      <c r="G1239" s="11"/>
      <c r="H1239" s="11"/>
      <c r="I1239" s="11"/>
      <c r="J1239" s="11"/>
      <c r="K1239" s="12"/>
      <c r="L1239" s="11"/>
      <c r="M1239" s="11"/>
      <c r="N1239" s="11"/>
      <c r="O1239" s="11"/>
      <c r="P1239" s="8"/>
    </row>
    <row r="1240">
      <c r="A1240" s="11"/>
      <c r="B1240" s="9"/>
      <c r="C1240" s="8"/>
      <c r="D1240" s="8"/>
      <c r="E1240" s="8"/>
      <c r="F1240" s="12"/>
      <c r="G1240" s="11"/>
      <c r="H1240" s="11"/>
      <c r="I1240" s="11"/>
      <c r="J1240" s="11"/>
      <c r="K1240" s="12"/>
      <c r="L1240" s="11"/>
      <c r="M1240" s="11"/>
      <c r="N1240" s="11"/>
      <c r="O1240" s="11"/>
      <c r="P1240" s="8"/>
    </row>
    <row r="1241">
      <c r="A1241" s="11"/>
      <c r="B1241" s="9"/>
      <c r="C1241" s="8"/>
      <c r="D1241" s="8"/>
      <c r="E1241" s="8"/>
      <c r="F1241" s="12"/>
      <c r="G1241" s="11"/>
      <c r="H1241" s="11"/>
      <c r="I1241" s="11"/>
      <c r="J1241" s="11"/>
      <c r="K1241" s="12"/>
      <c r="L1241" s="11"/>
      <c r="M1241" s="11"/>
      <c r="N1241" s="11"/>
      <c r="O1241" s="11"/>
      <c r="P1241" s="8"/>
    </row>
    <row r="1242">
      <c r="A1242" s="11"/>
      <c r="B1242" s="9"/>
      <c r="C1242" s="8"/>
      <c r="D1242" s="8"/>
      <c r="E1242" s="8"/>
      <c r="F1242" s="12"/>
      <c r="G1242" s="11"/>
      <c r="H1242" s="11"/>
      <c r="I1242" s="11"/>
      <c r="J1242" s="11"/>
      <c r="K1242" s="12"/>
      <c r="L1242" s="11"/>
      <c r="M1242" s="11"/>
      <c r="N1242" s="11"/>
      <c r="O1242" s="11"/>
      <c r="P1242" s="8"/>
    </row>
    <row r="1243">
      <c r="A1243" s="11"/>
      <c r="B1243" s="9"/>
      <c r="C1243" s="8"/>
      <c r="D1243" s="8"/>
      <c r="E1243" s="8"/>
      <c r="F1243" s="12"/>
      <c r="G1243" s="11"/>
      <c r="H1243" s="11"/>
      <c r="I1243" s="11"/>
      <c r="J1243" s="11"/>
      <c r="K1243" s="12"/>
      <c r="L1243" s="11"/>
      <c r="M1243" s="11"/>
      <c r="N1243" s="11"/>
      <c r="O1243" s="11"/>
      <c r="P1243" s="8"/>
    </row>
    <row r="1244">
      <c r="A1244" s="11"/>
      <c r="B1244" s="9"/>
      <c r="C1244" s="8"/>
      <c r="D1244" s="8"/>
      <c r="E1244" s="8"/>
      <c r="F1244" s="12"/>
      <c r="G1244" s="11"/>
      <c r="H1244" s="11"/>
      <c r="I1244" s="11"/>
      <c r="J1244" s="11"/>
      <c r="K1244" s="12"/>
      <c r="L1244" s="11"/>
      <c r="M1244" s="11"/>
      <c r="N1244" s="11"/>
      <c r="O1244" s="11"/>
      <c r="P1244" s="8"/>
    </row>
    <row r="1245">
      <c r="A1245" s="11"/>
      <c r="B1245" s="9"/>
      <c r="C1245" s="8"/>
      <c r="D1245" s="8"/>
      <c r="E1245" s="8"/>
      <c r="F1245" s="12"/>
      <c r="G1245" s="11"/>
      <c r="H1245" s="11"/>
      <c r="I1245" s="11"/>
      <c r="J1245" s="11"/>
      <c r="K1245" s="12"/>
      <c r="L1245" s="11"/>
      <c r="M1245" s="11"/>
      <c r="N1245" s="11"/>
      <c r="O1245" s="11"/>
      <c r="P1245" s="8"/>
    </row>
    <row r="1246">
      <c r="A1246" s="11"/>
      <c r="B1246" s="9"/>
      <c r="C1246" s="8"/>
      <c r="D1246" s="8"/>
      <c r="E1246" s="8"/>
      <c r="F1246" s="12"/>
      <c r="G1246" s="11"/>
      <c r="H1246" s="11"/>
      <c r="I1246" s="11"/>
      <c r="J1246" s="11"/>
      <c r="K1246" s="12"/>
      <c r="L1246" s="11"/>
      <c r="M1246" s="11"/>
      <c r="N1246" s="11"/>
      <c r="O1246" s="11"/>
      <c r="P1246" s="8"/>
    </row>
    <row r="1247">
      <c r="A1247" s="11"/>
      <c r="B1247" s="9"/>
      <c r="C1247" s="8"/>
      <c r="D1247" s="8"/>
      <c r="E1247" s="8"/>
      <c r="F1247" s="12"/>
      <c r="G1247" s="11"/>
      <c r="H1247" s="11"/>
      <c r="I1247" s="11"/>
      <c r="J1247" s="11"/>
      <c r="K1247" s="12"/>
      <c r="L1247" s="11"/>
      <c r="M1247" s="11"/>
      <c r="N1247" s="11"/>
      <c r="O1247" s="11"/>
      <c r="P1247" s="8"/>
    </row>
    <row r="1248">
      <c r="A1248" s="11"/>
      <c r="B1248" s="9"/>
      <c r="C1248" s="8"/>
      <c r="D1248" s="8"/>
      <c r="E1248" s="8"/>
      <c r="F1248" s="12"/>
      <c r="G1248" s="11"/>
      <c r="H1248" s="11"/>
      <c r="I1248" s="11"/>
      <c r="J1248" s="11"/>
      <c r="K1248" s="12"/>
      <c r="L1248" s="11"/>
      <c r="M1248" s="11"/>
      <c r="N1248" s="11"/>
      <c r="O1248" s="11"/>
      <c r="P1248" s="8"/>
    </row>
    <row r="1249">
      <c r="A1249" s="11"/>
      <c r="B1249" s="9"/>
      <c r="C1249" s="8"/>
      <c r="D1249" s="8"/>
      <c r="E1249" s="8"/>
      <c r="F1249" s="12"/>
      <c r="G1249" s="11"/>
      <c r="H1249" s="11"/>
      <c r="I1249" s="11"/>
      <c r="J1249" s="11"/>
      <c r="K1249" s="12"/>
      <c r="L1249" s="11"/>
      <c r="M1249" s="11"/>
      <c r="N1249" s="11"/>
      <c r="O1249" s="11"/>
      <c r="P1249" s="8"/>
    </row>
    <row r="1250">
      <c r="A1250" s="11"/>
      <c r="B1250" s="9"/>
      <c r="C1250" s="8"/>
      <c r="D1250" s="8"/>
      <c r="E1250" s="8"/>
      <c r="F1250" s="12"/>
      <c r="G1250" s="11"/>
      <c r="H1250" s="11"/>
      <c r="I1250" s="11"/>
      <c r="J1250" s="11"/>
      <c r="K1250" s="12"/>
      <c r="L1250" s="11"/>
      <c r="M1250" s="11"/>
      <c r="N1250" s="11"/>
      <c r="O1250" s="11"/>
      <c r="P1250" s="8"/>
    </row>
    <row r="1251">
      <c r="A1251" s="11"/>
      <c r="B1251" s="9"/>
      <c r="C1251" s="8"/>
      <c r="D1251" s="8"/>
      <c r="E1251" s="8"/>
      <c r="F1251" s="12"/>
      <c r="G1251" s="11"/>
      <c r="H1251" s="11"/>
      <c r="I1251" s="11"/>
      <c r="J1251" s="11"/>
      <c r="K1251" s="12"/>
      <c r="L1251" s="11"/>
      <c r="M1251" s="11"/>
      <c r="N1251" s="11"/>
      <c r="O1251" s="11"/>
      <c r="P1251" s="8"/>
    </row>
    <row r="1252">
      <c r="A1252" s="11"/>
      <c r="B1252" s="9"/>
      <c r="C1252" s="8"/>
      <c r="D1252" s="8"/>
      <c r="E1252" s="8"/>
      <c r="F1252" s="12"/>
      <c r="G1252" s="11"/>
      <c r="H1252" s="11"/>
      <c r="I1252" s="11"/>
      <c r="J1252" s="11"/>
      <c r="K1252" s="12"/>
      <c r="L1252" s="11"/>
      <c r="M1252" s="11"/>
      <c r="N1252" s="11"/>
      <c r="O1252" s="11"/>
      <c r="P1252" s="8"/>
    </row>
    <row r="1253">
      <c r="A1253" s="11"/>
      <c r="B1253" s="9"/>
      <c r="C1253" s="8"/>
      <c r="D1253" s="8"/>
      <c r="E1253" s="8"/>
      <c r="F1253" s="12"/>
      <c r="G1253" s="11"/>
      <c r="H1253" s="11"/>
      <c r="I1253" s="11"/>
      <c r="J1253" s="11"/>
      <c r="K1253" s="12"/>
      <c r="L1253" s="11"/>
      <c r="M1253" s="11"/>
      <c r="N1253" s="11"/>
      <c r="O1253" s="11"/>
      <c r="P1253" s="8"/>
    </row>
    <row r="1254">
      <c r="A1254" s="11"/>
      <c r="B1254" s="9"/>
      <c r="C1254" s="8"/>
      <c r="D1254" s="8"/>
      <c r="E1254" s="8"/>
      <c r="F1254" s="12"/>
      <c r="G1254" s="11"/>
      <c r="H1254" s="11"/>
      <c r="I1254" s="11"/>
      <c r="J1254" s="11"/>
      <c r="K1254" s="12"/>
      <c r="L1254" s="11"/>
      <c r="M1254" s="11"/>
      <c r="N1254" s="11"/>
      <c r="O1254" s="11"/>
      <c r="P1254" s="8"/>
    </row>
    <row r="1255">
      <c r="A1255" s="11"/>
      <c r="B1255" s="9"/>
      <c r="C1255" s="8"/>
      <c r="D1255" s="8"/>
      <c r="E1255" s="8"/>
      <c r="F1255" s="12"/>
      <c r="G1255" s="11"/>
      <c r="H1255" s="11"/>
      <c r="I1255" s="11"/>
      <c r="J1255" s="11"/>
      <c r="K1255" s="12"/>
      <c r="L1255" s="11"/>
      <c r="M1255" s="11"/>
      <c r="N1255" s="11"/>
      <c r="O1255" s="11"/>
      <c r="P1255" s="8"/>
    </row>
    <row r="1256">
      <c r="A1256" s="11"/>
      <c r="B1256" s="9"/>
      <c r="C1256" s="8"/>
      <c r="D1256" s="8"/>
      <c r="E1256" s="8"/>
      <c r="F1256" s="12"/>
      <c r="G1256" s="11"/>
      <c r="H1256" s="11"/>
      <c r="I1256" s="11"/>
      <c r="J1256" s="11"/>
      <c r="K1256" s="12"/>
      <c r="L1256" s="11"/>
      <c r="M1256" s="11"/>
      <c r="N1256" s="11"/>
      <c r="O1256" s="11"/>
      <c r="P1256" s="8"/>
    </row>
    <row r="1257">
      <c r="A1257" s="11"/>
      <c r="B1257" s="9"/>
      <c r="C1257" s="8"/>
      <c r="D1257" s="8"/>
      <c r="E1257" s="8"/>
      <c r="F1257" s="12"/>
      <c r="G1257" s="11"/>
      <c r="H1257" s="11"/>
      <c r="I1257" s="11"/>
      <c r="J1257" s="11"/>
      <c r="K1257" s="12"/>
      <c r="L1257" s="11"/>
      <c r="M1257" s="11"/>
      <c r="N1257" s="11"/>
      <c r="O1257" s="11"/>
      <c r="P1257" s="8"/>
    </row>
    <row r="1258">
      <c r="A1258" s="11"/>
      <c r="B1258" s="9"/>
      <c r="C1258" s="8"/>
      <c r="D1258" s="8"/>
      <c r="E1258" s="8"/>
      <c r="F1258" s="12"/>
      <c r="G1258" s="11"/>
      <c r="H1258" s="11"/>
      <c r="I1258" s="11"/>
      <c r="J1258" s="11"/>
      <c r="K1258" s="12"/>
      <c r="L1258" s="11"/>
      <c r="M1258" s="11"/>
      <c r="N1258" s="11"/>
      <c r="O1258" s="11"/>
      <c r="P1258" s="8"/>
    </row>
    <row r="1259">
      <c r="A1259" s="11"/>
      <c r="B1259" s="9"/>
      <c r="C1259" s="8"/>
      <c r="D1259" s="8"/>
      <c r="E1259" s="8"/>
      <c r="F1259" s="12"/>
      <c r="G1259" s="11"/>
      <c r="H1259" s="11"/>
      <c r="I1259" s="11"/>
      <c r="J1259" s="11"/>
      <c r="K1259" s="12"/>
      <c r="L1259" s="11"/>
      <c r="M1259" s="11"/>
      <c r="N1259" s="11"/>
      <c r="O1259" s="11"/>
      <c r="P1259" s="8"/>
    </row>
    <row r="1260">
      <c r="A1260" s="11"/>
      <c r="B1260" s="9"/>
      <c r="C1260" s="8"/>
      <c r="D1260" s="8"/>
      <c r="E1260" s="8"/>
      <c r="F1260" s="12"/>
      <c r="G1260" s="11"/>
      <c r="H1260" s="11"/>
      <c r="I1260" s="11"/>
      <c r="J1260" s="11"/>
      <c r="K1260" s="12"/>
      <c r="L1260" s="11"/>
      <c r="M1260" s="11"/>
      <c r="N1260" s="11"/>
      <c r="O1260" s="11"/>
      <c r="P1260" s="8"/>
    </row>
    <row r="1261">
      <c r="A1261" s="11"/>
      <c r="B1261" s="9"/>
      <c r="C1261" s="8"/>
      <c r="D1261" s="8"/>
      <c r="E1261" s="8"/>
      <c r="F1261" s="12"/>
      <c r="G1261" s="11"/>
      <c r="H1261" s="11"/>
      <c r="I1261" s="11"/>
      <c r="J1261" s="11"/>
      <c r="K1261" s="12"/>
      <c r="L1261" s="11"/>
      <c r="M1261" s="11"/>
      <c r="N1261" s="11"/>
      <c r="O1261" s="11"/>
      <c r="P1261" s="8"/>
    </row>
    <row r="1262">
      <c r="A1262" s="11"/>
      <c r="B1262" s="9"/>
      <c r="C1262" s="8"/>
      <c r="D1262" s="8"/>
      <c r="E1262" s="8"/>
      <c r="F1262" s="12"/>
      <c r="G1262" s="11"/>
      <c r="H1262" s="11"/>
      <c r="I1262" s="11"/>
      <c r="J1262" s="11"/>
      <c r="K1262" s="12"/>
      <c r="L1262" s="11"/>
      <c r="M1262" s="11"/>
      <c r="N1262" s="11"/>
      <c r="O1262" s="11"/>
      <c r="P1262" s="8"/>
    </row>
    <row r="1263">
      <c r="A1263" s="11"/>
      <c r="B1263" s="9"/>
      <c r="C1263" s="8"/>
      <c r="D1263" s="8"/>
      <c r="E1263" s="8"/>
      <c r="F1263" s="12"/>
      <c r="G1263" s="11"/>
      <c r="H1263" s="11"/>
      <c r="I1263" s="11"/>
      <c r="J1263" s="11"/>
      <c r="K1263" s="12"/>
      <c r="L1263" s="11"/>
      <c r="M1263" s="11"/>
      <c r="N1263" s="11"/>
      <c r="O1263" s="11"/>
      <c r="P1263" s="8"/>
    </row>
    <row r="1264">
      <c r="A1264" s="11"/>
      <c r="B1264" s="9"/>
      <c r="C1264" s="8"/>
      <c r="D1264" s="8"/>
      <c r="E1264" s="8"/>
      <c r="F1264" s="12"/>
      <c r="G1264" s="11"/>
      <c r="H1264" s="11"/>
      <c r="I1264" s="11"/>
      <c r="J1264" s="11"/>
      <c r="K1264" s="12"/>
      <c r="L1264" s="11"/>
      <c r="M1264" s="11"/>
      <c r="N1264" s="11"/>
      <c r="O1264" s="11"/>
      <c r="P1264" s="8"/>
    </row>
    <row r="1265">
      <c r="A1265" s="11"/>
      <c r="B1265" s="9"/>
      <c r="C1265" s="8"/>
      <c r="D1265" s="8"/>
      <c r="E1265" s="8"/>
      <c r="F1265" s="12"/>
      <c r="G1265" s="11"/>
      <c r="H1265" s="11"/>
      <c r="I1265" s="11"/>
      <c r="J1265" s="11"/>
      <c r="K1265" s="12"/>
      <c r="L1265" s="11"/>
      <c r="M1265" s="11"/>
      <c r="N1265" s="11"/>
      <c r="O1265" s="11"/>
      <c r="P1265" s="8"/>
    </row>
    <row r="1266">
      <c r="A1266" s="11"/>
      <c r="B1266" s="9"/>
      <c r="C1266" s="8"/>
      <c r="D1266" s="8"/>
      <c r="E1266" s="8"/>
      <c r="F1266" s="12"/>
      <c r="G1266" s="11"/>
      <c r="H1266" s="11"/>
      <c r="I1266" s="11"/>
      <c r="J1266" s="11"/>
      <c r="K1266" s="12"/>
      <c r="L1266" s="11"/>
      <c r="M1266" s="11"/>
      <c r="N1266" s="11"/>
      <c r="O1266" s="11"/>
      <c r="P1266" s="8"/>
    </row>
    <row r="1267">
      <c r="A1267" s="11"/>
      <c r="B1267" s="9"/>
      <c r="C1267" s="8"/>
      <c r="D1267" s="8"/>
      <c r="E1267" s="8"/>
      <c r="F1267" s="12"/>
      <c r="G1267" s="11"/>
      <c r="H1267" s="11"/>
      <c r="I1267" s="11"/>
      <c r="J1267" s="11"/>
      <c r="K1267" s="12"/>
      <c r="L1267" s="11"/>
      <c r="M1267" s="11"/>
      <c r="N1267" s="11"/>
      <c r="O1267" s="11"/>
      <c r="P1267" s="8"/>
    </row>
    <row r="1268">
      <c r="A1268" s="11"/>
      <c r="B1268" s="9"/>
      <c r="C1268" s="8"/>
      <c r="D1268" s="8"/>
      <c r="E1268" s="8"/>
      <c r="F1268" s="12"/>
      <c r="G1268" s="11"/>
      <c r="H1268" s="11"/>
      <c r="I1268" s="11"/>
      <c r="J1268" s="11"/>
      <c r="K1268" s="12"/>
      <c r="L1268" s="11"/>
      <c r="M1268" s="11"/>
      <c r="N1268" s="11"/>
      <c r="O1268" s="11"/>
      <c r="P1268" s="8"/>
    </row>
    <row r="1269">
      <c r="A1269" s="11"/>
      <c r="B1269" s="9"/>
      <c r="C1269" s="8"/>
      <c r="D1269" s="8"/>
      <c r="E1269" s="8"/>
      <c r="F1269" s="12"/>
      <c r="G1269" s="11"/>
      <c r="H1269" s="11"/>
      <c r="I1269" s="11"/>
      <c r="J1269" s="11"/>
      <c r="K1269" s="12"/>
      <c r="L1269" s="11"/>
      <c r="M1269" s="11"/>
      <c r="N1269" s="11"/>
      <c r="O1269" s="11"/>
      <c r="P1269" s="8"/>
    </row>
    <row r="1270">
      <c r="A1270" s="11"/>
      <c r="B1270" s="9"/>
      <c r="C1270" s="8"/>
      <c r="D1270" s="8"/>
      <c r="E1270" s="8"/>
      <c r="F1270" s="12"/>
      <c r="G1270" s="11"/>
      <c r="H1270" s="11"/>
      <c r="I1270" s="11"/>
      <c r="J1270" s="11"/>
      <c r="K1270" s="12"/>
      <c r="L1270" s="11"/>
      <c r="M1270" s="11"/>
      <c r="N1270" s="11"/>
      <c r="O1270" s="11"/>
      <c r="P1270" s="8"/>
    </row>
    <row r="1271">
      <c r="A1271" s="11"/>
      <c r="B1271" s="9"/>
      <c r="C1271" s="8"/>
      <c r="D1271" s="8"/>
      <c r="E1271" s="8"/>
      <c r="F1271" s="12"/>
      <c r="G1271" s="11"/>
      <c r="H1271" s="11"/>
      <c r="I1271" s="11"/>
      <c r="J1271" s="11"/>
      <c r="K1271" s="12"/>
      <c r="L1271" s="11"/>
      <c r="M1271" s="11"/>
      <c r="N1271" s="11"/>
      <c r="O1271" s="11"/>
      <c r="P1271" s="8"/>
    </row>
    <row r="1272">
      <c r="A1272" s="11"/>
      <c r="B1272" s="9"/>
      <c r="C1272" s="8"/>
      <c r="D1272" s="8"/>
      <c r="E1272" s="8"/>
      <c r="F1272" s="12"/>
      <c r="G1272" s="11"/>
      <c r="H1272" s="11"/>
      <c r="I1272" s="11"/>
      <c r="J1272" s="11"/>
      <c r="K1272" s="12"/>
      <c r="L1272" s="11"/>
      <c r="M1272" s="11"/>
      <c r="N1272" s="11"/>
      <c r="O1272" s="11"/>
      <c r="P1272" s="8"/>
    </row>
    <row r="1273">
      <c r="A1273" s="11"/>
      <c r="B1273" s="9"/>
      <c r="C1273" s="8"/>
      <c r="D1273" s="8"/>
      <c r="E1273" s="8"/>
      <c r="F1273" s="12"/>
      <c r="G1273" s="11"/>
      <c r="H1273" s="11"/>
      <c r="I1273" s="11"/>
      <c r="J1273" s="11"/>
      <c r="K1273" s="12"/>
      <c r="L1273" s="11"/>
      <c r="M1273" s="11"/>
      <c r="N1273" s="11"/>
      <c r="O1273" s="11"/>
      <c r="P1273" s="8"/>
    </row>
    <row r="1274">
      <c r="A1274" s="11"/>
      <c r="B1274" s="9"/>
      <c r="C1274" s="8"/>
      <c r="D1274" s="8"/>
      <c r="E1274" s="8"/>
      <c r="F1274" s="12"/>
      <c r="G1274" s="11"/>
      <c r="H1274" s="11"/>
      <c r="I1274" s="11"/>
      <c r="J1274" s="11"/>
      <c r="K1274" s="12"/>
      <c r="L1274" s="11"/>
      <c r="M1274" s="11"/>
      <c r="N1274" s="11"/>
      <c r="O1274" s="11"/>
      <c r="P1274" s="8"/>
    </row>
    <row r="1275">
      <c r="A1275" s="11"/>
      <c r="B1275" s="9"/>
      <c r="C1275" s="8"/>
      <c r="D1275" s="8"/>
      <c r="E1275" s="8"/>
      <c r="F1275" s="12"/>
      <c r="G1275" s="11"/>
      <c r="H1275" s="11"/>
      <c r="I1275" s="11"/>
      <c r="J1275" s="11"/>
      <c r="K1275" s="12"/>
      <c r="L1275" s="11"/>
      <c r="M1275" s="11"/>
      <c r="N1275" s="11"/>
      <c r="O1275" s="11"/>
      <c r="P1275" s="8"/>
    </row>
    <row r="1276">
      <c r="A1276" s="11"/>
      <c r="B1276" s="9"/>
      <c r="C1276" s="8"/>
      <c r="D1276" s="8"/>
      <c r="E1276" s="8"/>
      <c r="F1276" s="12"/>
      <c r="G1276" s="11"/>
      <c r="H1276" s="11"/>
      <c r="I1276" s="11"/>
      <c r="J1276" s="11"/>
      <c r="K1276" s="12"/>
      <c r="L1276" s="11"/>
      <c r="M1276" s="11"/>
      <c r="N1276" s="11"/>
      <c r="O1276" s="11"/>
      <c r="P1276" s="8"/>
    </row>
    <row r="1277">
      <c r="A1277" s="11"/>
      <c r="B1277" s="9"/>
      <c r="C1277" s="8"/>
      <c r="D1277" s="8"/>
      <c r="E1277" s="8"/>
      <c r="F1277" s="12"/>
      <c r="G1277" s="11"/>
      <c r="H1277" s="11"/>
      <c r="I1277" s="11"/>
      <c r="J1277" s="11"/>
      <c r="K1277" s="12"/>
      <c r="L1277" s="11"/>
      <c r="M1277" s="11"/>
      <c r="N1277" s="11"/>
      <c r="O1277" s="11"/>
      <c r="P1277" s="8"/>
    </row>
    <row r="1278">
      <c r="A1278" s="11"/>
      <c r="B1278" s="9"/>
      <c r="C1278" s="8"/>
      <c r="D1278" s="8"/>
      <c r="E1278" s="8"/>
      <c r="F1278" s="12"/>
      <c r="G1278" s="11"/>
      <c r="H1278" s="11"/>
      <c r="I1278" s="11"/>
      <c r="J1278" s="11"/>
      <c r="K1278" s="12"/>
      <c r="L1278" s="11"/>
      <c r="M1278" s="11"/>
      <c r="N1278" s="11"/>
      <c r="O1278" s="11"/>
      <c r="P1278" s="8"/>
    </row>
    <row r="1279">
      <c r="A1279" s="11"/>
      <c r="B1279" s="9"/>
      <c r="C1279" s="8"/>
      <c r="D1279" s="8"/>
      <c r="E1279" s="8"/>
      <c r="F1279" s="12"/>
      <c r="G1279" s="11"/>
      <c r="H1279" s="11"/>
      <c r="I1279" s="11"/>
      <c r="J1279" s="11"/>
      <c r="K1279" s="12"/>
      <c r="L1279" s="11"/>
      <c r="M1279" s="11"/>
      <c r="N1279" s="11"/>
      <c r="O1279" s="11"/>
      <c r="P1279" s="8"/>
    </row>
    <row r="1280">
      <c r="A1280" s="11"/>
      <c r="B1280" s="9"/>
      <c r="C1280" s="8"/>
      <c r="D1280" s="8"/>
      <c r="E1280" s="8"/>
      <c r="F1280" s="12"/>
      <c r="G1280" s="11"/>
      <c r="H1280" s="11"/>
      <c r="I1280" s="11"/>
      <c r="J1280" s="11"/>
      <c r="K1280" s="12"/>
      <c r="L1280" s="11"/>
      <c r="M1280" s="11"/>
      <c r="N1280" s="11"/>
      <c r="O1280" s="11"/>
      <c r="P1280" s="8"/>
    </row>
    <row r="1281">
      <c r="A1281" s="11"/>
      <c r="B1281" s="9"/>
      <c r="C1281" s="8"/>
      <c r="D1281" s="8"/>
      <c r="E1281" s="8"/>
      <c r="F1281" s="12"/>
      <c r="G1281" s="11"/>
      <c r="H1281" s="11"/>
      <c r="I1281" s="11"/>
      <c r="J1281" s="11"/>
      <c r="K1281" s="12"/>
      <c r="L1281" s="11"/>
      <c r="M1281" s="11"/>
      <c r="N1281" s="11"/>
      <c r="O1281" s="11"/>
      <c r="P1281" s="8"/>
    </row>
    <row r="1282">
      <c r="A1282" s="11"/>
      <c r="B1282" s="9"/>
      <c r="C1282" s="8"/>
      <c r="D1282" s="8"/>
      <c r="E1282" s="8"/>
      <c r="F1282" s="12"/>
      <c r="G1282" s="11"/>
      <c r="H1282" s="11"/>
      <c r="I1282" s="11"/>
      <c r="J1282" s="11"/>
      <c r="K1282" s="12"/>
      <c r="L1282" s="11"/>
      <c r="M1282" s="11"/>
      <c r="N1282" s="11"/>
      <c r="O1282" s="11"/>
      <c r="P1282" s="8"/>
    </row>
    <row r="1283">
      <c r="A1283" s="11"/>
      <c r="B1283" s="9"/>
      <c r="C1283" s="8"/>
      <c r="D1283" s="8"/>
      <c r="E1283" s="8"/>
      <c r="F1283" s="12"/>
      <c r="G1283" s="11"/>
      <c r="H1283" s="11"/>
      <c r="I1283" s="11"/>
      <c r="J1283" s="11"/>
      <c r="K1283" s="12"/>
      <c r="L1283" s="11"/>
      <c r="M1283" s="11"/>
      <c r="N1283" s="11"/>
      <c r="O1283" s="11"/>
      <c r="P1283" s="8"/>
    </row>
    <row r="1284">
      <c r="A1284" s="11"/>
      <c r="B1284" s="9"/>
      <c r="C1284" s="8"/>
      <c r="D1284" s="8"/>
      <c r="E1284" s="8"/>
      <c r="F1284" s="12"/>
      <c r="G1284" s="11"/>
      <c r="H1284" s="11"/>
      <c r="I1284" s="11"/>
      <c r="J1284" s="11"/>
      <c r="K1284" s="12"/>
      <c r="L1284" s="11"/>
      <c r="M1284" s="11"/>
      <c r="N1284" s="11"/>
      <c r="O1284" s="11"/>
      <c r="P1284" s="8"/>
    </row>
    <row r="1285">
      <c r="A1285" s="11"/>
      <c r="B1285" s="9"/>
      <c r="C1285" s="8"/>
      <c r="D1285" s="8"/>
      <c r="E1285" s="8"/>
      <c r="F1285" s="12"/>
      <c r="G1285" s="11"/>
      <c r="H1285" s="11"/>
      <c r="I1285" s="11"/>
      <c r="J1285" s="11"/>
      <c r="K1285" s="12"/>
      <c r="L1285" s="11"/>
      <c r="M1285" s="11"/>
      <c r="N1285" s="11"/>
      <c r="O1285" s="11"/>
      <c r="P1285" s="8"/>
    </row>
    <row r="1286">
      <c r="A1286" s="11"/>
      <c r="B1286" s="9"/>
      <c r="C1286" s="8"/>
      <c r="D1286" s="8"/>
      <c r="E1286" s="8"/>
      <c r="F1286" s="12"/>
      <c r="G1286" s="11"/>
      <c r="H1286" s="11"/>
      <c r="I1286" s="11"/>
      <c r="J1286" s="11"/>
      <c r="K1286" s="12"/>
      <c r="L1286" s="11"/>
      <c r="M1286" s="11"/>
      <c r="N1286" s="11"/>
      <c r="O1286" s="11"/>
      <c r="P1286" s="8"/>
    </row>
    <row r="1287">
      <c r="A1287" s="11"/>
      <c r="B1287" s="9"/>
      <c r="C1287" s="8"/>
      <c r="D1287" s="8"/>
      <c r="E1287" s="8"/>
      <c r="F1287" s="12"/>
      <c r="G1287" s="11"/>
      <c r="H1287" s="11"/>
      <c r="I1287" s="11"/>
      <c r="J1287" s="11"/>
      <c r="K1287" s="12"/>
      <c r="L1287" s="11"/>
      <c r="M1287" s="11"/>
      <c r="N1287" s="11"/>
      <c r="O1287" s="11"/>
      <c r="P1287" s="8"/>
    </row>
    <row r="1288">
      <c r="A1288" s="11"/>
      <c r="B1288" s="9"/>
      <c r="C1288" s="8"/>
      <c r="D1288" s="8"/>
      <c r="E1288" s="8"/>
      <c r="F1288" s="12"/>
      <c r="G1288" s="11"/>
      <c r="H1288" s="11"/>
      <c r="I1288" s="11"/>
      <c r="J1288" s="11"/>
      <c r="K1288" s="12"/>
      <c r="L1288" s="11"/>
      <c r="M1288" s="11"/>
      <c r="N1288" s="11"/>
      <c r="O1288" s="11"/>
      <c r="P1288" s="8"/>
    </row>
    <row r="1289">
      <c r="A1289" s="11"/>
      <c r="B1289" s="9"/>
      <c r="C1289" s="8"/>
      <c r="D1289" s="8"/>
      <c r="E1289" s="8"/>
      <c r="F1289" s="12"/>
      <c r="G1289" s="11"/>
      <c r="H1289" s="11"/>
      <c r="I1289" s="11"/>
      <c r="J1289" s="11"/>
      <c r="K1289" s="12"/>
      <c r="L1289" s="11"/>
      <c r="M1289" s="11"/>
      <c r="N1289" s="11"/>
      <c r="O1289" s="11"/>
      <c r="P1289" s="8"/>
    </row>
    <row r="1290">
      <c r="A1290" s="11"/>
      <c r="B1290" s="9"/>
      <c r="C1290" s="8"/>
      <c r="D1290" s="8"/>
      <c r="E1290" s="8"/>
      <c r="F1290" s="12"/>
      <c r="G1290" s="11"/>
      <c r="H1290" s="11"/>
      <c r="I1290" s="11"/>
      <c r="J1290" s="11"/>
      <c r="K1290" s="12"/>
      <c r="L1290" s="11"/>
      <c r="M1290" s="11"/>
      <c r="N1290" s="11"/>
      <c r="O1290" s="11"/>
      <c r="P1290" s="8"/>
    </row>
    <row r="1291">
      <c r="A1291" s="11"/>
      <c r="B1291" s="9"/>
      <c r="C1291" s="8"/>
      <c r="D1291" s="8"/>
      <c r="E1291" s="8"/>
      <c r="F1291" s="12"/>
      <c r="G1291" s="11"/>
      <c r="H1291" s="11"/>
      <c r="I1291" s="11"/>
      <c r="J1291" s="11"/>
      <c r="K1291" s="12"/>
      <c r="L1291" s="11"/>
      <c r="M1291" s="11"/>
      <c r="N1291" s="11"/>
      <c r="O1291" s="11"/>
      <c r="P1291" s="8"/>
    </row>
    <row r="1292">
      <c r="A1292" s="11"/>
      <c r="B1292" s="9"/>
      <c r="C1292" s="8"/>
      <c r="D1292" s="8"/>
      <c r="E1292" s="8"/>
      <c r="F1292" s="12"/>
      <c r="G1292" s="11"/>
      <c r="H1292" s="11"/>
      <c r="I1292" s="11"/>
      <c r="J1292" s="11"/>
      <c r="K1292" s="12"/>
      <c r="L1292" s="11"/>
      <c r="M1292" s="11"/>
      <c r="N1292" s="11"/>
      <c r="O1292" s="11"/>
      <c r="P1292" s="8"/>
    </row>
    <row r="1293">
      <c r="A1293" s="11"/>
      <c r="B1293" s="9"/>
      <c r="C1293" s="8"/>
      <c r="D1293" s="8"/>
      <c r="E1293" s="8"/>
      <c r="F1293" s="12"/>
      <c r="G1293" s="11"/>
      <c r="H1293" s="11"/>
      <c r="I1293" s="11"/>
      <c r="J1293" s="11"/>
      <c r="K1293" s="12"/>
      <c r="L1293" s="11"/>
      <c r="M1293" s="11"/>
      <c r="N1293" s="11"/>
      <c r="O1293" s="11"/>
      <c r="P1293" s="8"/>
    </row>
    <row r="1294">
      <c r="A1294" s="11"/>
      <c r="B1294" s="9"/>
      <c r="C1294" s="8"/>
      <c r="D1294" s="8"/>
      <c r="E1294" s="8"/>
      <c r="F1294" s="12"/>
      <c r="G1294" s="11"/>
      <c r="H1294" s="11"/>
      <c r="I1294" s="11"/>
      <c r="J1294" s="11"/>
      <c r="K1294" s="12"/>
      <c r="L1294" s="11"/>
      <c r="M1294" s="11"/>
      <c r="N1294" s="11"/>
      <c r="O1294" s="11"/>
      <c r="P1294" s="8"/>
    </row>
    <row r="1295">
      <c r="A1295" s="11"/>
      <c r="B1295" s="9"/>
      <c r="C1295" s="8"/>
      <c r="D1295" s="8"/>
      <c r="E1295" s="8"/>
      <c r="F1295" s="12"/>
      <c r="G1295" s="11"/>
      <c r="H1295" s="11"/>
      <c r="I1295" s="11"/>
      <c r="J1295" s="11"/>
      <c r="K1295" s="12"/>
      <c r="L1295" s="11"/>
      <c r="M1295" s="11"/>
      <c r="N1295" s="11"/>
      <c r="O1295" s="11"/>
      <c r="P1295" s="8"/>
    </row>
    <row r="1296">
      <c r="A1296" s="11"/>
      <c r="B1296" s="9"/>
      <c r="C1296" s="8"/>
      <c r="D1296" s="8"/>
      <c r="E1296" s="8"/>
      <c r="F1296" s="12"/>
      <c r="G1296" s="11"/>
      <c r="H1296" s="11"/>
      <c r="I1296" s="11"/>
      <c r="J1296" s="11"/>
      <c r="K1296" s="12"/>
      <c r="L1296" s="11"/>
      <c r="M1296" s="11"/>
      <c r="N1296" s="11"/>
      <c r="O1296" s="11"/>
      <c r="P1296" s="8"/>
    </row>
    <row r="1297">
      <c r="A1297" s="11"/>
      <c r="B1297" s="9"/>
      <c r="C1297" s="8"/>
      <c r="D1297" s="8"/>
      <c r="E1297" s="8"/>
      <c r="F1297" s="12"/>
      <c r="G1297" s="11"/>
      <c r="H1297" s="11"/>
      <c r="I1297" s="11"/>
      <c r="J1297" s="11"/>
      <c r="K1297" s="12"/>
      <c r="L1297" s="11"/>
      <c r="M1297" s="11"/>
      <c r="N1297" s="11"/>
      <c r="O1297" s="11"/>
      <c r="P1297" s="8"/>
    </row>
    <row r="1298">
      <c r="A1298" s="11"/>
      <c r="B1298" s="9"/>
      <c r="C1298" s="8"/>
      <c r="D1298" s="8"/>
      <c r="E1298" s="8"/>
      <c r="F1298" s="12"/>
      <c r="G1298" s="11"/>
      <c r="H1298" s="11"/>
      <c r="I1298" s="11"/>
      <c r="J1298" s="11"/>
      <c r="K1298" s="12"/>
      <c r="L1298" s="11"/>
      <c r="M1298" s="11"/>
      <c r="N1298" s="11"/>
      <c r="O1298" s="11"/>
      <c r="P1298" s="8"/>
    </row>
    <row r="1299">
      <c r="A1299" s="11"/>
      <c r="B1299" s="9"/>
      <c r="C1299" s="8"/>
      <c r="D1299" s="8"/>
      <c r="E1299" s="8"/>
      <c r="F1299" s="12"/>
      <c r="G1299" s="11"/>
      <c r="H1299" s="11"/>
      <c r="I1299" s="11"/>
      <c r="J1299" s="11"/>
      <c r="K1299" s="12"/>
      <c r="L1299" s="11"/>
      <c r="M1299" s="11"/>
      <c r="N1299" s="11"/>
      <c r="O1299" s="11"/>
      <c r="P1299" s="8"/>
    </row>
    <row r="1300">
      <c r="A1300" s="11"/>
      <c r="B1300" s="9"/>
      <c r="C1300" s="8"/>
      <c r="D1300" s="8"/>
      <c r="E1300" s="8"/>
      <c r="F1300" s="12"/>
      <c r="G1300" s="11"/>
      <c r="H1300" s="11"/>
      <c r="I1300" s="11"/>
      <c r="J1300" s="11"/>
      <c r="K1300" s="12"/>
      <c r="L1300" s="11"/>
      <c r="M1300" s="11"/>
      <c r="N1300" s="11"/>
      <c r="O1300" s="11"/>
      <c r="P1300" s="8"/>
    </row>
    <row r="1301">
      <c r="A1301" s="11"/>
      <c r="B1301" s="9"/>
      <c r="C1301" s="8"/>
      <c r="D1301" s="8"/>
      <c r="E1301" s="8"/>
      <c r="F1301" s="12"/>
      <c r="G1301" s="11"/>
      <c r="H1301" s="11"/>
      <c r="I1301" s="11"/>
      <c r="J1301" s="11"/>
      <c r="K1301" s="12"/>
      <c r="L1301" s="11"/>
      <c r="M1301" s="11"/>
      <c r="N1301" s="11"/>
      <c r="O1301" s="11"/>
      <c r="P1301" s="8"/>
    </row>
    <row r="1302">
      <c r="A1302" s="11"/>
      <c r="B1302" s="9"/>
      <c r="C1302" s="8"/>
      <c r="D1302" s="8"/>
      <c r="E1302" s="8"/>
      <c r="F1302" s="12"/>
      <c r="G1302" s="11"/>
      <c r="H1302" s="11"/>
      <c r="I1302" s="11"/>
      <c r="J1302" s="11"/>
      <c r="K1302" s="12"/>
      <c r="L1302" s="11"/>
      <c r="M1302" s="11"/>
      <c r="N1302" s="11"/>
      <c r="O1302" s="11"/>
      <c r="P1302" s="8"/>
    </row>
    <row r="1303">
      <c r="A1303" s="11"/>
      <c r="B1303" s="9"/>
      <c r="C1303" s="8"/>
      <c r="D1303" s="8"/>
      <c r="E1303" s="8"/>
      <c r="F1303" s="12"/>
      <c r="G1303" s="11"/>
      <c r="H1303" s="11"/>
      <c r="I1303" s="11"/>
      <c r="J1303" s="11"/>
      <c r="K1303" s="12"/>
      <c r="L1303" s="11"/>
      <c r="M1303" s="11"/>
      <c r="N1303" s="11"/>
      <c r="O1303" s="11"/>
      <c r="P1303" s="8"/>
    </row>
    <row r="1304">
      <c r="A1304" s="11"/>
      <c r="B1304" s="9"/>
      <c r="C1304" s="8"/>
      <c r="D1304" s="8"/>
      <c r="E1304" s="8"/>
      <c r="F1304" s="12"/>
      <c r="G1304" s="11"/>
      <c r="H1304" s="11"/>
      <c r="I1304" s="11"/>
      <c r="J1304" s="11"/>
      <c r="K1304" s="12"/>
      <c r="L1304" s="11"/>
      <c r="M1304" s="11"/>
      <c r="N1304" s="11"/>
      <c r="O1304" s="11"/>
      <c r="P1304" s="8"/>
    </row>
    <row r="1305">
      <c r="A1305" s="11"/>
      <c r="B1305" s="9"/>
      <c r="C1305" s="8"/>
      <c r="D1305" s="8"/>
      <c r="E1305" s="8"/>
      <c r="F1305" s="12"/>
      <c r="G1305" s="11"/>
      <c r="H1305" s="11"/>
      <c r="I1305" s="11"/>
      <c r="J1305" s="11"/>
      <c r="K1305" s="12"/>
      <c r="L1305" s="11"/>
      <c r="M1305" s="11"/>
      <c r="N1305" s="11"/>
      <c r="O1305" s="11"/>
      <c r="P1305" s="8"/>
    </row>
    <row r="1306">
      <c r="A1306" s="11"/>
      <c r="B1306" s="9"/>
      <c r="C1306" s="8"/>
      <c r="D1306" s="8"/>
      <c r="E1306" s="8"/>
      <c r="F1306" s="12"/>
      <c r="G1306" s="11"/>
      <c r="H1306" s="11"/>
      <c r="I1306" s="11"/>
      <c r="J1306" s="11"/>
      <c r="K1306" s="12"/>
      <c r="L1306" s="11"/>
      <c r="M1306" s="11"/>
      <c r="N1306" s="11"/>
      <c r="O1306" s="11"/>
      <c r="P1306" s="8"/>
    </row>
    <row r="1307">
      <c r="A1307" s="11"/>
      <c r="B1307" s="9"/>
      <c r="C1307" s="8"/>
      <c r="D1307" s="8"/>
      <c r="E1307" s="8"/>
      <c r="F1307" s="12"/>
      <c r="G1307" s="11"/>
      <c r="H1307" s="11"/>
      <c r="I1307" s="11"/>
      <c r="J1307" s="11"/>
      <c r="K1307" s="12"/>
      <c r="L1307" s="11"/>
      <c r="M1307" s="11"/>
      <c r="N1307" s="11"/>
      <c r="O1307" s="11"/>
      <c r="P1307" s="8"/>
    </row>
    <row r="1308">
      <c r="A1308" s="11"/>
      <c r="B1308" s="9"/>
      <c r="C1308" s="8"/>
      <c r="D1308" s="8"/>
      <c r="E1308" s="8"/>
      <c r="F1308" s="12"/>
      <c r="G1308" s="11"/>
      <c r="H1308" s="11"/>
      <c r="I1308" s="11"/>
      <c r="J1308" s="11"/>
      <c r="K1308" s="12"/>
      <c r="L1308" s="11"/>
      <c r="M1308" s="11"/>
      <c r="N1308" s="11"/>
      <c r="O1308" s="11"/>
      <c r="P1308" s="8"/>
    </row>
    <row r="1309">
      <c r="A1309" s="11"/>
      <c r="B1309" s="9"/>
      <c r="C1309" s="8"/>
      <c r="D1309" s="8"/>
      <c r="E1309" s="8"/>
      <c r="F1309" s="12"/>
      <c r="G1309" s="11"/>
      <c r="H1309" s="11"/>
      <c r="I1309" s="11"/>
      <c r="J1309" s="11"/>
      <c r="K1309" s="12"/>
      <c r="L1309" s="11"/>
      <c r="M1309" s="11"/>
      <c r="N1309" s="11"/>
      <c r="O1309" s="11"/>
      <c r="P1309" s="8"/>
    </row>
    <row r="1310">
      <c r="A1310" s="11"/>
      <c r="B1310" s="9"/>
      <c r="C1310" s="8"/>
      <c r="D1310" s="8"/>
      <c r="E1310" s="8"/>
      <c r="F1310" s="12"/>
      <c r="G1310" s="11"/>
      <c r="H1310" s="11"/>
      <c r="I1310" s="11"/>
      <c r="J1310" s="11"/>
      <c r="K1310" s="12"/>
      <c r="L1310" s="11"/>
      <c r="M1310" s="11"/>
      <c r="N1310" s="11"/>
      <c r="O1310" s="11"/>
      <c r="P1310" s="8"/>
    </row>
    <row r="1311">
      <c r="A1311" s="11"/>
      <c r="B1311" s="9"/>
      <c r="C1311" s="8"/>
      <c r="D1311" s="8"/>
      <c r="E1311" s="8"/>
      <c r="F1311" s="12"/>
      <c r="G1311" s="11"/>
      <c r="H1311" s="11"/>
      <c r="I1311" s="11"/>
      <c r="J1311" s="11"/>
      <c r="K1311" s="12"/>
      <c r="L1311" s="11"/>
      <c r="M1311" s="11"/>
      <c r="N1311" s="11"/>
      <c r="O1311" s="11"/>
      <c r="P1311" s="8"/>
    </row>
    <row r="1312">
      <c r="A1312" s="11"/>
      <c r="B1312" s="9"/>
      <c r="C1312" s="8"/>
      <c r="D1312" s="8"/>
      <c r="E1312" s="8"/>
      <c r="F1312" s="12"/>
      <c r="G1312" s="11"/>
      <c r="H1312" s="11"/>
      <c r="I1312" s="11"/>
      <c r="J1312" s="11"/>
      <c r="K1312" s="12"/>
      <c r="L1312" s="11"/>
      <c r="M1312" s="11"/>
      <c r="N1312" s="11"/>
      <c r="O1312" s="11"/>
      <c r="P1312" s="8"/>
    </row>
    <row r="1313">
      <c r="A1313" s="11"/>
      <c r="B1313" s="9"/>
      <c r="C1313" s="8"/>
      <c r="D1313" s="8"/>
      <c r="E1313" s="8"/>
      <c r="F1313" s="12"/>
      <c r="G1313" s="11"/>
      <c r="H1313" s="11"/>
      <c r="I1313" s="11"/>
      <c r="J1313" s="11"/>
      <c r="K1313" s="12"/>
      <c r="L1313" s="11"/>
      <c r="M1313" s="11"/>
      <c r="N1313" s="11"/>
      <c r="O1313" s="11"/>
      <c r="P1313" s="8"/>
    </row>
    <row r="1314">
      <c r="A1314" s="11"/>
      <c r="B1314" s="9"/>
      <c r="C1314" s="8"/>
      <c r="D1314" s="8"/>
      <c r="E1314" s="8"/>
      <c r="F1314" s="12"/>
      <c r="G1314" s="11"/>
      <c r="H1314" s="11"/>
      <c r="I1314" s="11"/>
      <c r="J1314" s="11"/>
      <c r="K1314" s="12"/>
      <c r="L1314" s="11"/>
      <c r="M1314" s="11"/>
      <c r="N1314" s="11"/>
      <c r="O1314" s="11"/>
      <c r="P1314" s="8"/>
    </row>
    <row r="1315">
      <c r="A1315" s="11"/>
      <c r="B1315" s="9"/>
      <c r="C1315" s="8"/>
      <c r="D1315" s="8"/>
      <c r="E1315" s="8"/>
      <c r="F1315" s="12"/>
      <c r="G1315" s="11"/>
      <c r="H1315" s="11"/>
      <c r="I1315" s="11"/>
      <c r="J1315" s="11"/>
      <c r="K1315" s="12"/>
      <c r="L1315" s="11"/>
      <c r="M1315" s="11"/>
      <c r="N1315" s="11"/>
      <c r="O1315" s="11"/>
      <c r="P1315" s="8"/>
    </row>
    <row r="1316">
      <c r="A1316" s="11"/>
      <c r="B1316" s="9"/>
      <c r="C1316" s="8"/>
      <c r="D1316" s="8"/>
      <c r="E1316" s="8"/>
      <c r="F1316" s="12"/>
      <c r="G1316" s="11"/>
      <c r="H1316" s="11"/>
      <c r="I1316" s="11"/>
      <c r="J1316" s="11"/>
      <c r="K1316" s="12"/>
      <c r="L1316" s="11"/>
      <c r="M1316" s="11"/>
      <c r="N1316" s="11"/>
      <c r="O1316" s="11"/>
      <c r="P1316" s="8"/>
    </row>
    <row r="1317">
      <c r="A1317" s="11"/>
      <c r="B1317" s="9"/>
      <c r="C1317" s="8"/>
      <c r="D1317" s="8"/>
      <c r="E1317" s="8"/>
      <c r="F1317" s="12"/>
      <c r="G1317" s="11"/>
      <c r="H1317" s="11"/>
      <c r="I1317" s="11"/>
      <c r="J1317" s="11"/>
      <c r="K1317" s="12"/>
      <c r="L1317" s="11"/>
      <c r="M1317" s="11"/>
      <c r="N1317" s="11"/>
      <c r="O1317" s="11"/>
      <c r="P1317" s="8"/>
    </row>
    <row r="1318">
      <c r="A1318" s="11"/>
      <c r="B1318" s="9"/>
      <c r="C1318" s="8"/>
      <c r="D1318" s="8"/>
      <c r="E1318" s="8"/>
      <c r="F1318" s="12"/>
      <c r="G1318" s="11"/>
      <c r="H1318" s="11"/>
      <c r="I1318" s="11"/>
      <c r="J1318" s="11"/>
      <c r="K1318" s="12"/>
      <c r="L1318" s="11"/>
      <c r="M1318" s="11"/>
      <c r="N1318" s="11"/>
      <c r="O1318" s="11"/>
      <c r="P1318" s="8"/>
    </row>
    <row r="1319">
      <c r="A1319" s="11"/>
      <c r="B1319" s="9"/>
      <c r="C1319" s="8"/>
      <c r="D1319" s="8"/>
      <c r="E1319" s="8"/>
      <c r="F1319" s="12"/>
      <c r="G1319" s="11"/>
      <c r="H1319" s="11"/>
      <c r="I1319" s="11"/>
      <c r="J1319" s="11"/>
      <c r="K1319" s="12"/>
      <c r="L1319" s="11"/>
      <c r="M1319" s="11"/>
      <c r="N1319" s="11"/>
      <c r="O1319" s="11"/>
      <c r="P1319" s="8"/>
    </row>
    <row r="1320">
      <c r="A1320" s="11"/>
      <c r="B1320" s="9"/>
      <c r="C1320" s="8"/>
      <c r="D1320" s="8"/>
      <c r="E1320" s="8"/>
      <c r="F1320" s="12"/>
      <c r="G1320" s="11"/>
      <c r="H1320" s="11"/>
      <c r="I1320" s="11"/>
      <c r="J1320" s="11"/>
      <c r="K1320" s="12"/>
      <c r="L1320" s="11"/>
      <c r="M1320" s="11"/>
      <c r="N1320" s="11"/>
      <c r="O1320" s="11"/>
      <c r="P1320" s="8"/>
    </row>
    <row r="1321">
      <c r="A1321" s="11"/>
      <c r="B1321" s="9"/>
      <c r="C1321" s="8"/>
      <c r="D1321" s="8"/>
      <c r="E1321" s="8"/>
      <c r="F1321" s="12"/>
      <c r="G1321" s="11"/>
      <c r="H1321" s="11"/>
      <c r="I1321" s="11"/>
      <c r="J1321" s="11"/>
      <c r="K1321" s="12"/>
      <c r="L1321" s="11"/>
      <c r="M1321" s="11"/>
      <c r="N1321" s="11"/>
      <c r="O1321" s="11"/>
      <c r="P1321" s="8"/>
    </row>
    <row r="1322">
      <c r="A1322" s="11"/>
      <c r="B1322" s="9"/>
      <c r="C1322" s="8"/>
      <c r="D1322" s="8"/>
      <c r="E1322" s="8"/>
      <c r="F1322" s="12"/>
      <c r="G1322" s="11"/>
      <c r="H1322" s="11"/>
      <c r="I1322" s="11"/>
      <c r="J1322" s="11"/>
      <c r="K1322" s="12"/>
      <c r="L1322" s="11"/>
      <c r="M1322" s="11"/>
      <c r="N1322" s="11"/>
      <c r="O1322" s="11"/>
      <c r="P1322" s="8"/>
    </row>
    <row r="1323">
      <c r="A1323" s="11"/>
      <c r="B1323" s="9"/>
      <c r="C1323" s="8"/>
      <c r="D1323" s="8"/>
      <c r="E1323" s="8"/>
      <c r="F1323" s="12"/>
      <c r="G1323" s="11"/>
      <c r="H1323" s="11"/>
      <c r="I1323" s="11"/>
      <c r="J1323" s="11"/>
      <c r="K1323" s="12"/>
      <c r="L1323" s="11"/>
      <c r="M1323" s="11"/>
      <c r="N1323" s="11"/>
      <c r="O1323" s="11"/>
      <c r="P1323" s="8"/>
    </row>
    <row r="1324">
      <c r="A1324" s="11"/>
      <c r="B1324" s="9"/>
      <c r="C1324" s="8"/>
      <c r="D1324" s="8"/>
      <c r="E1324" s="8"/>
      <c r="F1324" s="12"/>
      <c r="G1324" s="11"/>
      <c r="H1324" s="11"/>
      <c r="I1324" s="11"/>
      <c r="J1324" s="11"/>
      <c r="K1324" s="12"/>
      <c r="L1324" s="11"/>
      <c r="M1324" s="11"/>
      <c r="N1324" s="11"/>
      <c r="O1324" s="11"/>
      <c r="P1324" s="8"/>
    </row>
    <row r="1325">
      <c r="A1325" s="11"/>
      <c r="B1325" s="9"/>
      <c r="C1325" s="8"/>
      <c r="D1325" s="8"/>
      <c r="E1325" s="8"/>
      <c r="F1325" s="12"/>
      <c r="G1325" s="11"/>
      <c r="H1325" s="11"/>
      <c r="I1325" s="11"/>
      <c r="J1325" s="11"/>
      <c r="K1325" s="12"/>
      <c r="L1325" s="11"/>
      <c r="M1325" s="11"/>
      <c r="N1325" s="11"/>
      <c r="O1325" s="11"/>
      <c r="P1325" s="8"/>
    </row>
    <row r="1326">
      <c r="A1326" s="11"/>
      <c r="B1326" s="9"/>
      <c r="C1326" s="8"/>
      <c r="D1326" s="8"/>
      <c r="E1326" s="8"/>
      <c r="F1326" s="12"/>
      <c r="G1326" s="11"/>
      <c r="H1326" s="11"/>
      <c r="I1326" s="11"/>
      <c r="J1326" s="11"/>
      <c r="K1326" s="12"/>
      <c r="L1326" s="11"/>
      <c r="M1326" s="11"/>
      <c r="N1326" s="11"/>
      <c r="O1326" s="11"/>
      <c r="P1326" s="8"/>
    </row>
    <row r="1327">
      <c r="A1327" s="11"/>
      <c r="B1327" s="9"/>
      <c r="C1327" s="8"/>
      <c r="D1327" s="8"/>
      <c r="E1327" s="8"/>
      <c r="F1327" s="12"/>
      <c r="G1327" s="11"/>
      <c r="H1327" s="11"/>
      <c r="I1327" s="11"/>
      <c r="J1327" s="11"/>
      <c r="K1327" s="12"/>
      <c r="L1327" s="11"/>
      <c r="M1327" s="11"/>
      <c r="N1327" s="11"/>
      <c r="O1327" s="11"/>
      <c r="P1327" s="8"/>
    </row>
    <row r="1328">
      <c r="A1328" s="11"/>
      <c r="B1328" s="9"/>
      <c r="C1328" s="8"/>
      <c r="D1328" s="8"/>
      <c r="E1328" s="8"/>
      <c r="F1328" s="12"/>
      <c r="G1328" s="11"/>
      <c r="H1328" s="11"/>
      <c r="I1328" s="11"/>
      <c r="J1328" s="11"/>
      <c r="K1328" s="12"/>
      <c r="L1328" s="11"/>
      <c r="M1328" s="11"/>
      <c r="N1328" s="11"/>
      <c r="O1328" s="11"/>
      <c r="P1328" s="8"/>
    </row>
    <row r="1329">
      <c r="A1329" s="11"/>
      <c r="B1329" s="9"/>
      <c r="C1329" s="8"/>
      <c r="D1329" s="8"/>
      <c r="E1329" s="8"/>
      <c r="F1329" s="12"/>
      <c r="G1329" s="11"/>
      <c r="H1329" s="11"/>
      <c r="I1329" s="11"/>
      <c r="J1329" s="11"/>
      <c r="K1329" s="12"/>
      <c r="L1329" s="11"/>
      <c r="M1329" s="11"/>
      <c r="N1329" s="11"/>
      <c r="O1329" s="11"/>
      <c r="P1329" s="8"/>
    </row>
    <row r="1330">
      <c r="A1330" s="11"/>
      <c r="B1330" s="9"/>
      <c r="C1330" s="8"/>
      <c r="D1330" s="8"/>
      <c r="E1330" s="8"/>
      <c r="F1330" s="12"/>
      <c r="G1330" s="11"/>
      <c r="H1330" s="11"/>
      <c r="I1330" s="11"/>
      <c r="J1330" s="11"/>
      <c r="K1330" s="12"/>
      <c r="L1330" s="11"/>
      <c r="M1330" s="11"/>
      <c r="N1330" s="11"/>
      <c r="O1330" s="11"/>
      <c r="P1330" s="8"/>
    </row>
    <row r="1331">
      <c r="A1331" s="11"/>
      <c r="B1331" s="9"/>
      <c r="C1331" s="8"/>
      <c r="D1331" s="8"/>
      <c r="E1331" s="8"/>
      <c r="F1331" s="12"/>
      <c r="G1331" s="11"/>
      <c r="H1331" s="11"/>
      <c r="I1331" s="11"/>
      <c r="J1331" s="11"/>
      <c r="K1331" s="12"/>
      <c r="L1331" s="11"/>
      <c r="M1331" s="11"/>
      <c r="N1331" s="11"/>
      <c r="O1331" s="11"/>
      <c r="P1331" s="8"/>
    </row>
    <row r="1332">
      <c r="A1332" s="11"/>
      <c r="B1332" s="9"/>
      <c r="C1332" s="8"/>
      <c r="D1332" s="8"/>
      <c r="E1332" s="8"/>
      <c r="F1332" s="12"/>
      <c r="G1332" s="11"/>
      <c r="H1332" s="11"/>
      <c r="I1332" s="11"/>
      <c r="J1332" s="11"/>
      <c r="K1332" s="12"/>
      <c r="L1332" s="11"/>
      <c r="M1332" s="11"/>
      <c r="N1332" s="11"/>
      <c r="O1332" s="11"/>
      <c r="P1332" s="8"/>
    </row>
    <row r="1333">
      <c r="A1333" s="11"/>
      <c r="B1333" s="9"/>
      <c r="C1333" s="8"/>
      <c r="D1333" s="8"/>
      <c r="E1333" s="8"/>
      <c r="F1333" s="12"/>
      <c r="G1333" s="11"/>
      <c r="H1333" s="11"/>
      <c r="I1333" s="11"/>
      <c r="J1333" s="11"/>
      <c r="K1333" s="12"/>
      <c r="L1333" s="11"/>
      <c r="M1333" s="11"/>
      <c r="N1333" s="11"/>
      <c r="O1333" s="11"/>
      <c r="P1333" s="8"/>
    </row>
    <row r="1334">
      <c r="A1334" s="11"/>
      <c r="B1334" s="9"/>
      <c r="C1334" s="8"/>
      <c r="D1334" s="8"/>
      <c r="E1334" s="8"/>
      <c r="F1334" s="12"/>
      <c r="G1334" s="11"/>
      <c r="H1334" s="11"/>
      <c r="I1334" s="11"/>
      <c r="J1334" s="11"/>
      <c r="K1334" s="12"/>
      <c r="L1334" s="11"/>
      <c r="M1334" s="11"/>
      <c r="N1334" s="11"/>
      <c r="O1334" s="11"/>
      <c r="P1334" s="8"/>
    </row>
  </sheetData>
  <autoFilter ref="$A$1:$O$1334">
    <sortState ref="A1:O1334">
      <sortCondition descending="1" ref="B1:B1334"/>
    </sortState>
  </autoFilter>
  <conditionalFormatting sqref="A2:A1334">
    <cfRule type="expression" dxfId="1" priority="1">
      <formula>COUNTIF(INDIRECT("MASTER_LIST!A$2:A"), A1)&gt;1</formula>
    </cfRule>
  </conditionalFormatting>
  <hyperlinks>
    <hyperlink r:id="rId1" ref="G16"/>
    <hyperlink r:id="rId2" ref="A21"/>
    <hyperlink r:id="rId3" ref="A22"/>
    <hyperlink r:id="rId4" ref="G66"/>
    <hyperlink r:id="rId5" ref="G93"/>
    <hyperlink r:id="rId6" ref="G101"/>
    <hyperlink r:id="rId7" ref="G137"/>
    <hyperlink r:id="rId8" ref="G256"/>
    <hyperlink r:id="rId9" ref="G325"/>
  </hyperlinks>
  <drawing r:id="rId1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0"/>
    <col customWidth="1" min="6" max="6" width="22.13"/>
    <col customWidth="1" min="8" max="8" width="25.63"/>
  </cols>
  <sheetData>
    <row r="1">
      <c r="A1" s="2" t="s">
        <v>50</v>
      </c>
      <c r="B1" s="19" t="s">
        <v>1258</v>
      </c>
      <c r="C1" s="20" t="s">
        <v>1259</v>
      </c>
      <c r="D1" s="21" t="s">
        <v>3385</v>
      </c>
      <c r="E1" s="20" t="s">
        <v>1260</v>
      </c>
      <c r="F1" s="21" t="s">
        <v>0</v>
      </c>
      <c r="G1" s="2" t="s">
        <v>1262</v>
      </c>
      <c r="H1" s="1" t="s">
        <v>1268</v>
      </c>
      <c r="I1" s="1" t="s">
        <v>3386</v>
      </c>
      <c r="J1" s="1" t="s">
        <v>3387</v>
      </c>
      <c r="K1" s="1" t="s">
        <v>3388</v>
      </c>
      <c r="L1" s="1" t="s">
        <v>3389</v>
      </c>
      <c r="M1" s="1" t="s">
        <v>3390</v>
      </c>
    </row>
    <row r="2">
      <c r="A2" s="1" t="s">
        <v>3391</v>
      </c>
      <c r="B2" s="22" t="s">
        <v>3392</v>
      </c>
      <c r="C2" s="2" t="s">
        <v>3393</v>
      </c>
      <c r="D2" s="2"/>
      <c r="E2" s="2" t="s">
        <v>3394</v>
      </c>
      <c r="F2" s="2"/>
      <c r="G2" s="1" t="s">
        <v>3394</v>
      </c>
      <c r="H2" s="1" t="s">
        <v>3395</v>
      </c>
      <c r="I2" s="1" t="s">
        <v>3396</v>
      </c>
      <c r="J2" s="1" t="s">
        <v>3397</v>
      </c>
      <c r="K2" s="1">
        <v>2022.0</v>
      </c>
      <c r="L2" s="1">
        <v>2024.0</v>
      </c>
      <c r="M2" s="1" t="s">
        <v>3398</v>
      </c>
    </row>
    <row r="3">
      <c r="A3" s="1" t="s">
        <v>3399</v>
      </c>
      <c r="B3" s="22" t="s">
        <v>3392</v>
      </c>
      <c r="C3" s="2" t="s">
        <v>3400</v>
      </c>
      <c r="D3" s="2"/>
      <c r="E3" s="2" t="s">
        <v>3401</v>
      </c>
      <c r="F3" s="2" t="s">
        <v>3402</v>
      </c>
      <c r="G3" s="1" t="s">
        <v>3401</v>
      </c>
      <c r="H3" s="1" t="s">
        <v>3403</v>
      </c>
      <c r="I3" s="1" t="s">
        <v>3396</v>
      </c>
      <c r="J3" s="1" t="s">
        <v>3404</v>
      </c>
      <c r="K3" s="1">
        <v>2024.0</v>
      </c>
      <c r="L3" s="1">
        <v>2024.0</v>
      </c>
      <c r="M3" s="1" t="s">
        <v>3398</v>
      </c>
    </row>
    <row r="4">
      <c r="A4" s="1" t="s">
        <v>3405</v>
      </c>
      <c r="B4" s="22" t="s">
        <v>3406</v>
      </c>
      <c r="C4" s="2" t="s">
        <v>3407</v>
      </c>
      <c r="D4" s="2"/>
      <c r="E4" s="2" t="s">
        <v>3408</v>
      </c>
      <c r="F4" s="2" t="s">
        <v>3409</v>
      </c>
      <c r="G4" s="1" t="s">
        <v>3408</v>
      </c>
      <c r="H4" s="1" t="s">
        <v>3410</v>
      </c>
      <c r="I4" s="1" t="s">
        <v>3396</v>
      </c>
      <c r="J4" s="1" t="s">
        <v>3411</v>
      </c>
      <c r="K4" s="1">
        <v>2022.0</v>
      </c>
      <c r="L4" s="1">
        <v>2022.0</v>
      </c>
      <c r="M4" s="1" t="s">
        <v>3412</v>
      </c>
    </row>
    <row r="5">
      <c r="A5" s="1" t="s">
        <v>3413</v>
      </c>
      <c r="B5" s="22" t="s">
        <v>3406</v>
      </c>
      <c r="C5" s="2" t="s">
        <v>3414</v>
      </c>
      <c r="D5" s="2"/>
      <c r="E5" s="2" t="s">
        <v>3415</v>
      </c>
      <c r="F5" s="2" t="s">
        <v>3416</v>
      </c>
      <c r="G5" s="1" t="s">
        <v>3417</v>
      </c>
      <c r="H5" s="1" t="s">
        <v>3418</v>
      </c>
      <c r="I5" s="1" t="s">
        <v>3396</v>
      </c>
      <c r="K5" s="1">
        <v>2019.0</v>
      </c>
      <c r="L5" s="1">
        <v>2020.0</v>
      </c>
      <c r="M5" s="1" t="s">
        <v>3419</v>
      </c>
    </row>
    <row r="6">
      <c r="A6" s="1" t="s">
        <v>3420</v>
      </c>
      <c r="B6" s="22" t="s">
        <v>3406</v>
      </c>
      <c r="C6" s="2" t="s">
        <v>3421</v>
      </c>
      <c r="D6" s="2"/>
      <c r="E6" s="2" t="s">
        <v>3422</v>
      </c>
      <c r="F6" s="2" t="s">
        <v>3423</v>
      </c>
      <c r="G6" s="1" t="s">
        <v>3424</v>
      </c>
      <c r="H6" s="1" t="s">
        <v>3425</v>
      </c>
      <c r="I6" s="1" t="s">
        <v>3426</v>
      </c>
      <c r="L6" s="1">
        <v>2022.0</v>
      </c>
      <c r="M6" s="1" t="s">
        <v>3427</v>
      </c>
    </row>
    <row r="7">
      <c r="A7" s="1" t="s">
        <v>3428</v>
      </c>
      <c r="B7" s="22" t="s">
        <v>3406</v>
      </c>
      <c r="C7" s="2" t="s">
        <v>3429</v>
      </c>
      <c r="D7" s="2"/>
      <c r="E7" s="2" t="s">
        <v>3430</v>
      </c>
      <c r="F7" s="2" t="s">
        <v>3431</v>
      </c>
      <c r="G7" s="1" t="s">
        <v>3430</v>
      </c>
      <c r="H7" s="1" t="s">
        <v>3432</v>
      </c>
      <c r="I7" s="1" t="s">
        <v>3426</v>
      </c>
      <c r="J7" s="1" t="s">
        <v>3411</v>
      </c>
      <c r="K7" s="1">
        <v>2022.0</v>
      </c>
      <c r="L7" s="1">
        <v>2022.0</v>
      </c>
      <c r="M7" s="1" t="s">
        <v>3433</v>
      </c>
    </row>
    <row r="8">
      <c r="A8" s="1" t="s">
        <v>3434</v>
      </c>
      <c r="B8" s="22" t="s">
        <v>3406</v>
      </c>
      <c r="C8" s="2" t="s">
        <v>3435</v>
      </c>
      <c r="D8" s="2"/>
      <c r="E8" s="2" t="s">
        <v>3436</v>
      </c>
      <c r="F8" s="2" t="s">
        <v>3437</v>
      </c>
      <c r="G8" s="1" t="s">
        <v>3438</v>
      </c>
      <c r="H8" s="1" t="s">
        <v>3439</v>
      </c>
      <c r="I8" s="1" t="s">
        <v>3426</v>
      </c>
      <c r="J8" s="1" t="s">
        <v>3404</v>
      </c>
      <c r="K8" s="1">
        <v>2020.0</v>
      </c>
      <c r="L8" s="1">
        <v>2020.0</v>
      </c>
      <c r="M8" s="1" t="s">
        <v>3419</v>
      </c>
    </row>
    <row r="9">
      <c r="A9" s="1" t="s">
        <v>3440</v>
      </c>
      <c r="B9" s="22" t="s">
        <v>3406</v>
      </c>
      <c r="C9" s="2" t="s">
        <v>3441</v>
      </c>
      <c r="D9" s="2"/>
      <c r="E9" s="2" t="s">
        <v>3442</v>
      </c>
      <c r="F9" s="2" t="s">
        <v>3443</v>
      </c>
      <c r="G9" s="1" t="s">
        <v>3442</v>
      </c>
      <c r="H9" s="1" t="s">
        <v>3444</v>
      </c>
      <c r="I9" s="1" t="s">
        <v>3396</v>
      </c>
      <c r="J9" s="1" t="s">
        <v>3445</v>
      </c>
      <c r="K9" s="1">
        <v>2021.0</v>
      </c>
      <c r="L9" s="1">
        <v>2022.0</v>
      </c>
      <c r="M9" s="1" t="s">
        <v>3419</v>
      </c>
    </row>
    <row r="10">
      <c r="A10" s="1" t="s">
        <v>3446</v>
      </c>
      <c r="B10" s="22" t="s">
        <v>3406</v>
      </c>
      <c r="C10" s="2" t="s">
        <v>3447</v>
      </c>
      <c r="D10" s="2"/>
      <c r="E10" s="2" t="s">
        <v>3448</v>
      </c>
      <c r="F10" s="2" t="s">
        <v>3449</v>
      </c>
      <c r="G10" s="1" t="s">
        <v>3448</v>
      </c>
      <c r="H10" s="1" t="s">
        <v>3450</v>
      </c>
      <c r="I10" s="1" t="s">
        <v>3426</v>
      </c>
      <c r="J10" s="1" t="s">
        <v>3445</v>
      </c>
      <c r="K10" s="1">
        <v>2022.0</v>
      </c>
      <c r="L10" s="1">
        <v>2022.0</v>
      </c>
      <c r="M10" s="1" t="s">
        <v>3419</v>
      </c>
    </row>
    <row r="11">
      <c r="A11" s="1" t="s">
        <v>3451</v>
      </c>
      <c r="B11" s="22" t="s">
        <v>3406</v>
      </c>
      <c r="C11" s="2" t="s">
        <v>3452</v>
      </c>
      <c r="D11" s="2"/>
      <c r="E11" s="2" t="s">
        <v>3453</v>
      </c>
      <c r="F11" s="2" t="s">
        <v>3454</v>
      </c>
      <c r="G11" s="1" t="s">
        <v>3453</v>
      </c>
      <c r="H11" s="1" t="s">
        <v>3455</v>
      </c>
      <c r="I11" s="1" t="s">
        <v>3426</v>
      </c>
      <c r="J11" s="1" t="s">
        <v>3445</v>
      </c>
      <c r="K11" s="1">
        <v>2022.0</v>
      </c>
      <c r="L11" s="1">
        <v>2023.0</v>
      </c>
      <c r="M11" s="1" t="s">
        <v>3419</v>
      </c>
    </row>
    <row r="12">
      <c r="A12" s="1" t="s">
        <v>3456</v>
      </c>
      <c r="B12" s="22" t="s">
        <v>3406</v>
      </c>
      <c r="C12" s="2" t="s">
        <v>3457</v>
      </c>
      <c r="D12" s="2"/>
      <c r="E12" s="2" t="s">
        <v>3458</v>
      </c>
      <c r="F12" s="2" t="s">
        <v>3459</v>
      </c>
      <c r="G12" s="1" t="s">
        <v>3458</v>
      </c>
      <c r="H12" s="1" t="s">
        <v>3460</v>
      </c>
      <c r="I12" s="1" t="s">
        <v>3396</v>
      </c>
      <c r="J12" s="1" t="s">
        <v>3461</v>
      </c>
      <c r="K12" s="1">
        <v>2020.0</v>
      </c>
      <c r="L12" s="1">
        <v>2022.0</v>
      </c>
      <c r="M12" s="1" t="s">
        <v>3419</v>
      </c>
    </row>
    <row r="13">
      <c r="A13" s="1" t="s">
        <v>3462</v>
      </c>
      <c r="B13" s="22" t="s">
        <v>3406</v>
      </c>
      <c r="C13" s="2" t="s">
        <v>3463</v>
      </c>
      <c r="D13" s="2"/>
      <c r="E13" s="2" t="s">
        <v>3464</v>
      </c>
      <c r="F13" s="2"/>
      <c r="G13" s="1" t="s">
        <v>3464</v>
      </c>
      <c r="H13" s="1" t="s">
        <v>3465</v>
      </c>
      <c r="I13" s="1" t="s">
        <v>3396</v>
      </c>
      <c r="J13" s="1" t="s">
        <v>3466</v>
      </c>
      <c r="K13" s="1">
        <v>2021.0</v>
      </c>
      <c r="L13" s="1">
        <v>2022.0</v>
      </c>
      <c r="M13" s="1" t="s">
        <v>3419</v>
      </c>
    </row>
    <row r="14">
      <c r="A14" s="1" t="s">
        <v>3467</v>
      </c>
      <c r="B14" s="22" t="s">
        <v>3406</v>
      </c>
      <c r="C14" s="2" t="s">
        <v>3468</v>
      </c>
      <c r="D14" s="2"/>
      <c r="E14" s="2" t="s">
        <v>3469</v>
      </c>
      <c r="F14" s="2" t="s">
        <v>3470</v>
      </c>
      <c r="G14" s="1" t="s">
        <v>3469</v>
      </c>
      <c r="H14" s="1" t="s">
        <v>3471</v>
      </c>
      <c r="I14" s="1" t="s">
        <v>3396</v>
      </c>
      <c r="J14" s="1" t="s">
        <v>3404</v>
      </c>
      <c r="K14" s="1">
        <v>2023.0</v>
      </c>
      <c r="L14" s="1">
        <v>2023.0</v>
      </c>
      <c r="M14" s="1" t="s">
        <v>3398</v>
      </c>
    </row>
    <row r="15">
      <c r="A15" s="1" t="s">
        <v>3472</v>
      </c>
      <c r="B15" s="22" t="s">
        <v>3406</v>
      </c>
      <c r="C15" s="2" t="s">
        <v>3473</v>
      </c>
      <c r="D15" s="2"/>
      <c r="E15" s="2" t="s">
        <v>3474</v>
      </c>
      <c r="F15" s="2" t="s">
        <v>3475</v>
      </c>
      <c r="G15" s="1" t="s">
        <v>3474</v>
      </c>
      <c r="H15" s="1" t="s">
        <v>3476</v>
      </c>
      <c r="I15" s="1" t="s">
        <v>3426</v>
      </c>
      <c r="K15" s="1">
        <v>2020.0</v>
      </c>
      <c r="L15" s="1">
        <v>2021.0</v>
      </c>
      <c r="M15" s="1" t="s">
        <v>3419</v>
      </c>
    </row>
    <row r="16">
      <c r="A16" s="1" t="s">
        <v>3477</v>
      </c>
      <c r="B16" s="22" t="s">
        <v>3406</v>
      </c>
      <c r="C16" s="2" t="s">
        <v>3478</v>
      </c>
      <c r="D16" s="2"/>
      <c r="E16" s="2" t="s">
        <v>3479</v>
      </c>
      <c r="F16" s="2" t="s">
        <v>3480</v>
      </c>
      <c r="G16" s="1" t="s">
        <v>3479</v>
      </c>
      <c r="H16" s="1" t="s">
        <v>3481</v>
      </c>
      <c r="I16" s="1" t="s">
        <v>3426</v>
      </c>
      <c r="K16" s="1">
        <v>2022.0</v>
      </c>
      <c r="L16" s="1">
        <v>2022.0</v>
      </c>
      <c r="M16" s="1" t="s">
        <v>3398</v>
      </c>
    </row>
    <row r="17">
      <c r="A17" s="1" t="s">
        <v>3482</v>
      </c>
      <c r="B17" s="22" t="s">
        <v>3406</v>
      </c>
      <c r="C17" s="2" t="s">
        <v>3483</v>
      </c>
      <c r="D17" s="2"/>
      <c r="E17" s="2" t="s">
        <v>3484</v>
      </c>
      <c r="F17" s="2" t="s">
        <v>3485</v>
      </c>
      <c r="G17" s="1" t="s">
        <v>3484</v>
      </c>
      <c r="H17" s="1" t="s">
        <v>3486</v>
      </c>
      <c r="I17" s="1" t="s">
        <v>3396</v>
      </c>
      <c r="J17" s="1" t="s">
        <v>3487</v>
      </c>
      <c r="K17" s="1">
        <v>2020.0</v>
      </c>
      <c r="L17" s="1">
        <v>2020.0</v>
      </c>
      <c r="M17" s="1" t="s">
        <v>3419</v>
      </c>
    </row>
    <row r="18">
      <c r="A18" s="1" t="s">
        <v>3488</v>
      </c>
      <c r="B18" s="22" t="s">
        <v>3406</v>
      </c>
      <c r="C18" s="2" t="s">
        <v>3489</v>
      </c>
      <c r="D18" s="2"/>
      <c r="E18" s="2" t="s">
        <v>3490</v>
      </c>
      <c r="F18" s="2" t="s">
        <v>3491</v>
      </c>
      <c r="G18" s="1" t="s">
        <v>3490</v>
      </c>
      <c r="H18" s="1" t="s">
        <v>3492</v>
      </c>
      <c r="I18" s="1" t="s">
        <v>3426</v>
      </c>
      <c r="J18" s="1" t="s">
        <v>3493</v>
      </c>
      <c r="K18" s="1">
        <v>2023.0</v>
      </c>
      <c r="L18" s="1">
        <v>2023.0</v>
      </c>
      <c r="M18" s="1" t="s">
        <v>3494</v>
      </c>
    </row>
    <row r="19">
      <c r="A19" s="1" t="s">
        <v>3495</v>
      </c>
      <c r="B19" s="22" t="s">
        <v>3406</v>
      </c>
      <c r="C19" s="2" t="s">
        <v>3496</v>
      </c>
      <c r="D19" s="2"/>
      <c r="E19" s="2" t="s">
        <v>3497</v>
      </c>
      <c r="F19" s="2" t="s">
        <v>3498</v>
      </c>
      <c r="G19" s="1" t="s">
        <v>3497</v>
      </c>
      <c r="H19" s="1" t="s">
        <v>3499</v>
      </c>
      <c r="I19" s="1" t="s">
        <v>3396</v>
      </c>
      <c r="J19" s="1" t="s">
        <v>3487</v>
      </c>
      <c r="K19" s="1">
        <v>2019.0</v>
      </c>
      <c r="L19" s="1">
        <v>2019.0</v>
      </c>
      <c r="M19" s="1" t="s">
        <v>3419</v>
      </c>
    </row>
    <row r="20">
      <c r="A20" s="1" t="s">
        <v>3500</v>
      </c>
      <c r="B20" s="22" t="s">
        <v>3406</v>
      </c>
      <c r="C20" s="2" t="s">
        <v>3501</v>
      </c>
      <c r="D20" s="2"/>
      <c r="E20" s="2" t="s">
        <v>3502</v>
      </c>
      <c r="F20" s="2" t="s">
        <v>3503</v>
      </c>
      <c r="G20" s="1" t="s">
        <v>3502</v>
      </c>
      <c r="H20" s="1" t="s">
        <v>3504</v>
      </c>
      <c r="I20" s="1" t="s">
        <v>3396</v>
      </c>
      <c r="J20" s="1" t="s">
        <v>3505</v>
      </c>
      <c r="K20" s="1">
        <v>2017.0</v>
      </c>
      <c r="L20" s="1">
        <v>2021.0</v>
      </c>
      <c r="M20" s="1" t="s">
        <v>3506</v>
      </c>
    </row>
    <row r="21">
      <c r="A21" s="1" t="s">
        <v>3507</v>
      </c>
      <c r="B21" s="22" t="s">
        <v>3406</v>
      </c>
      <c r="C21" s="2" t="s">
        <v>3508</v>
      </c>
      <c r="D21" s="2"/>
      <c r="E21" s="2" t="s">
        <v>3509</v>
      </c>
      <c r="F21" s="2" t="s">
        <v>3510</v>
      </c>
      <c r="G21" s="1" t="s">
        <v>3509</v>
      </c>
      <c r="H21" s="1" t="s">
        <v>3511</v>
      </c>
      <c r="I21" s="1" t="s">
        <v>3426</v>
      </c>
      <c r="J21" s="1" t="s">
        <v>3512</v>
      </c>
      <c r="K21" s="1">
        <v>2023.0</v>
      </c>
      <c r="L21" s="1">
        <v>2023.0</v>
      </c>
      <c r="M21" s="1" t="s">
        <v>3513</v>
      </c>
    </row>
    <row r="22">
      <c r="A22" s="1" t="s">
        <v>3514</v>
      </c>
      <c r="B22" s="22" t="s">
        <v>3406</v>
      </c>
      <c r="C22" s="2" t="s">
        <v>3515</v>
      </c>
      <c r="D22" s="2"/>
      <c r="E22" s="2" t="s">
        <v>3516</v>
      </c>
      <c r="F22" s="2" t="s">
        <v>3517</v>
      </c>
      <c r="G22" s="1" t="s">
        <v>3516</v>
      </c>
      <c r="H22" s="1" t="s">
        <v>3518</v>
      </c>
      <c r="I22" s="1" t="s">
        <v>3396</v>
      </c>
      <c r="J22" s="1" t="s">
        <v>3519</v>
      </c>
      <c r="K22" s="1">
        <v>2019.0</v>
      </c>
      <c r="L22" s="1">
        <v>2020.0</v>
      </c>
      <c r="M22" s="1" t="s">
        <v>3419</v>
      </c>
    </row>
    <row r="23">
      <c r="A23" s="1" t="s">
        <v>3520</v>
      </c>
      <c r="B23" s="22" t="s">
        <v>3406</v>
      </c>
      <c r="C23" s="2" t="s">
        <v>2437</v>
      </c>
      <c r="D23" s="2"/>
      <c r="E23" s="2" t="s">
        <v>3521</v>
      </c>
      <c r="F23" s="2" t="s">
        <v>3522</v>
      </c>
      <c r="G23" s="1" t="s">
        <v>3523</v>
      </c>
      <c r="H23" s="1" t="s">
        <v>3524</v>
      </c>
      <c r="I23" s="1" t="s">
        <v>3396</v>
      </c>
      <c r="J23" s="1" t="s">
        <v>3445</v>
      </c>
      <c r="K23" s="1">
        <v>2022.0</v>
      </c>
      <c r="L23" s="1">
        <v>2023.0</v>
      </c>
      <c r="M23" s="1" t="s">
        <v>3419</v>
      </c>
    </row>
    <row r="24">
      <c r="A24" s="1" t="s">
        <v>3525</v>
      </c>
      <c r="B24" s="22" t="s">
        <v>3406</v>
      </c>
      <c r="C24" s="2" t="s">
        <v>3526</v>
      </c>
      <c r="D24" s="2"/>
      <c r="E24" s="2" t="s">
        <v>3527</v>
      </c>
      <c r="F24" s="2" t="s">
        <v>3528</v>
      </c>
      <c r="G24" s="1" t="s">
        <v>3527</v>
      </c>
      <c r="H24" s="1" t="s">
        <v>3529</v>
      </c>
      <c r="I24" s="1" t="s">
        <v>3396</v>
      </c>
      <c r="J24" s="1" t="s">
        <v>3487</v>
      </c>
      <c r="K24" s="1">
        <v>2018.0</v>
      </c>
      <c r="L24" s="1">
        <v>2019.0</v>
      </c>
      <c r="M24" s="1" t="s">
        <v>3419</v>
      </c>
    </row>
    <row r="25">
      <c r="A25" s="1" t="s">
        <v>3530</v>
      </c>
      <c r="B25" s="22" t="s">
        <v>3406</v>
      </c>
      <c r="C25" s="2" t="s">
        <v>3531</v>
      </c>
      <c r="D25" s="2"/>
      <c r="E25" s="2" t="s">
        <v>3532</v>
      </c>
      <c r="F25" s="2" t="s">
        <v>3533</v>
      </c>
      <c r="G25" s="1" t="s">
        <v>3534</v>
      </c>
      <c r="H25" s="1" t="s">
        <v>3535</v>
      </c>
      <c r="I25" s="1" t="s">
        <v>3426</v>
      </c>
      <c r="K25" s="1">
        <v>2020.0</v>
      </c>
      <c r="L25" s="1">
        <v>2022.0</v>
      </c>
      <c r="M25" s="1" t="s">
        <v>3506</v>
      </c>
    </row>
    <row r="26">
      <c r="A26" s="1" t="s">
        <v>3536</v>
      </c>
      <c r="B26" s="22" t="s">
        <v>3406</v>
      </c>
      <c r="C26" s="2" t="s">
        <v>3537</v>
      </c>
      <c r="D26" s="2"/>
      <c r="E26" s="2" t="s">
        <v>3538</v>
      </c>
      <c r="F26" s="2" t="s">
        <v>3539</v>
      </c>
      <c r="G26" s="1" t="s">
        <v>3538</v>
      </c>
      <c r="H26" s="1" t="s">
        <v>3540</v>
      </c>
      <c r="I26" s="1" t="s">
        <v>3426</v>
      </c>
      <c r="K26" s="1">
        <v>2021.0</v>
      </c>
      <c r="L26" s="1">
        <v>2022.0</v>
      </c>
      <c r="M26" s="1" t="s">
        <v>3419</v>
      </c>
    </row>
    <row r="27">
      <c r="A27" s="1" t="s">
        <v>3541</v>
      </c>
      <c r="B27" s="22" t="s">
        <v>3406</v>
      </c>
      <c r="C27" s="2" t="s">
        <v>3542</v>
      </c>
      <c r="D27" s="2"/>
      <c r="E27" s="2" t="s">
        <v>3543</v>
      </c>
      <c r="F27" s="2" t="s">
        <v>3544</v>
      </c>
      <c r="G27" s="1" t="s">
        <v>3543</v>
      </c>
      <c r="H27" s="1" t="s">
        <v>3545</v>
      </c>
      <c r="I27" s="1" t="s">
        <v>3396</v>
      </c>
      <c r="J27" s="1" t="s">
        <v>3487</v>
      </c>
      <c r="K27" s="1">
        <v>2020.0</v>
      </c>
      <c r="L27" s="1">
        <v>2021.0</v>
      </c>
      <c r="M27" s="1" t="s">
        <v>3419</v>
      </c>
    </row>
    <row r="28">
      <c r="A28" s="1" t="s">
        <v>3546</v>
      </c>
      <c r="B28" s="22" t="s">
        <v>3406</v>
      </c>
      <c r="C28" s="2" t="s">
        <v>3547</v>
      </c>
      <c r="D28" s="2"/>
      <c r="E28" s="2" t="s">
        <v>3548</v>
      </c>
      <c r="F28" s="2" t="s">
        <v>3549</v>
      </c>
      <c r="G28" s="1" t="s">
        <v>3548</v>
      </c>
      <c r="H28" s="1" t="s">
        <v>3550</v>
      </c>
      <c r="I28" s="1" t="s">
        <v>3396</v>
      </c>
      <c r="J28" s="1" t="s">
        <v>3411</v>
      </c>
      <c r="K28" s="1">
        <v>2021.0</v>
      </c>
      <c r="L28" s="1">
        <v>2021.0</v>
      </c>
      <c r="M28" s="1" t="s">
        <v>3412</v>
      </c>
    </row>
    <row r="29">
      <c r="A29" s="1" t="s">
        <v>3551</v>
      </c>
      <c r="B29" s="22" t="s">
        <v>3406</v>
      </c>
      <c r="C29" s="2" t="s">
        <v>3552</v>
      </c>
      <c r="D29" s="2"/>
      <c r="E29" s="2" t="s">
        <v>3553</v>
      </c>
      <c r="F29" s="2" t="s">
        <v>3554</v>
      </c>
      <c r="G29" s="1" t="s">
        <v>3553</v>
      </c>
      <c r="H29" s="1" t="s">
        <v>3555</v>
      </c>
      <c r="I29" s="1" t="s">
        <v>3396</v>
      </c>
      <c r="J29" s="1" t="s">
        <v>3487</v>
      </c>
      <c r="K29" s="1">
        <v>2020.0</v>
      </c>
      <c r="L29" s="1">
        <v>2020.0</v>
      </c>
      <c r="M29" s="1" t="s">
        <v>3398</v>
      </c>
    </row>
    <row r="30">
      <c r="A30" s="1" t="s">
        <v>3556</v>
      </c>
      <c r="B30" s="22" t="s">
        <v>3406</v>
      </c>
      <c r="C30" s="2" t="s">
        <v>3557</v>
      </c>
      <c r="D30" s="2"/>
      <c r="E30" s="2" t="s">
        <v>3558</v>
      </c>
      <c r="F30" s="2" t="s">
        <v>3559</v>
      </c>
      <c r="G30" s="1" t="s">
        <v>3558</v>
      </c>
      <c r="H30" s="1" t="s">
        <v>3560</v>
      </c>
      <c r="I30" s="1" t="s">
        <v>3426</v>
      </c>
      <c r="J30" s="1" t="s">
        <v>3404</v>
      </c>
      <c r="K30" s="1">
        <v>2023.0</v>
      </c>
      <c r="L30" s="1">
        <v>2023.0</v>
      </c>
      <c r="M30" s="1" t="s">
        <v>3561</v>
      </c>
    </row>
    <row r="31">
      <c r="A31" s="1" t="s">
        <v>3562</v>
      </c>
      <c r="B31" s="22" t="s">
        <v>3406</v>
      </c>
      <c r="C31" s="2" t="s">
        <v>3563</v>
      </c>
      <c r="D31" s="2"/>
      <c r="E31" s="2" t="s">
        <v>3564</v>
      </c>
      <c r="F31" s="2"/>
      <c r="G31" s="1" t="s">
        <v>3564</v>
      </c>
      <c r="H31" s="1" t="s">
        <v>3565</v>
      </c>
      <c r="I31" s="1" t="s">
        <v>3426</v>
      </c>
      <c r="K31" s="1">
        <v>2021.0</v>
      </c>
      <c r="L31" s="1">
        <v>2021.0</v>
      </c>
      <c r="M31" s="1" t="s">
        <v>3433</v>
      </c>
    </row>
    <row r="32">
      <c r="A32" s="1" t="s">
        <v>3566</v>
      </c>
      <c r="B32" s="22" t="s">
        <v>3406</v>
      </c>
      <c r="C32" s="2" t="s">
        <v>3567</v>
      </c>
      <c r="D32" s="2"/>
      <c r="E32" s="2" t="s">
        <v>3568</v>
      </c>
      <c r="F32" s="2" t="s">
        <v>3569</v>
      </c>
      <c r="G32" s="1" t="s">
        <v>3568</v>
      </c>
      <c r="H32" s="1" t="s">
        <v>3570</v>
      </c>
      <c r="I32" s="1" t="s">
        <v>3396</v>
      </c>
      <c r="J32" s="1" t="s">
        <v>3571</v>
      </c>
      <c r="K32" s="1">
        <v>2019.0</v>
      </c>
      <c r="L32" s="1">
        <v>2021.0</v>
      </c>
      <c r="M32" s="1" t="s">
        <v>3398</v>
      </c>
    </row>
    <row r="33">
      <c r="A33" s="1" t="s">
        <v>3572</v>
      </c>
      <c r="B33" s="22" t="s">
        <v>3406</v>
      </c>
      <c r="C33" s="2" t="s">
        <v>3573</v>
      </c>
      <c r="D33" s="2"/>
      <c r="E33" s="2" t="s">
        <v>3574</v>
      </c>
      <c r="F33" s="2" t="s">
        <v>3575</v>
      </c>
      <c r="G33" s="1" t="s">
        <v>3574</v>
      </c>
      <c r="H33" s="1" t="s">
        <v>3576</v>
      </c>
      <c r="I33" s="1" t="s">
        <v>3396</v>
      </c>
      <c r="J33" s="1" t="s">
        <v>3577</v>
      </c>
      <c r="K33" s="1">
        <v>2021.0</v>
      </c>
      <c r="L33" s="1">
        <v>2023.0</v>
      </c>
      <c r="M33" s="1" t="s">
        <v>3419</v>
      </c>
    </row>
    <row r="34">
      <c r="A34" s="1" t="s">
        <v>3578</v>
      </c>
      <c r="B34" s="22" t="s">
        <v>3406</v>
      </c>
      <c r="C34" s="2" t="s">
        <v>3579</v>
      </c>
      <c r="D34" s="2"/>
      <c r="E34" s="2" t="s">
        <v>3580</v>
      </c>
      <c r="F34" s="2" t="s">
        <v>3581</v>
      </c>
      <c r="G34" s="1" t="s">
        <v>3580</v>
      </c>
      <c r="H34" s="1" t="s">
        <v>3582</v>
      </c>
      <c r="I34" s="1" t="s">
        <v>3426</v>
      </c>
      <c r="J34" s="1" t="s">
        <v>3583</v>
      </c>
      <c r="K34" s="1">
        <v>2022.0</v>
      </c>
      <c r="L34" s="1">
        <v>2022.0</v>
      </c>
      <c r="M34" s="1" t="s">
        <v>3412</v>
      </c>
    </row>
    <row r="35">
      <c r="A35" s="1" t="s">
        <v>3584</v>
      </c>
      <c r="B35" s="22" t="s">
        <v>3406</v>
      </c>
      <c r="C35" s="2" t="s">
        <v>3585</v>
      </c>
      <c r="D35" s="2"/>
      <c r="E35" s="2" t="s">
        <v>3586</v>
      </c>
      <c r="F35" s="2"/>
      <c r="G35" s="1" t="s">
        <v>3586</v>
      </c>
      <c r="H35" s="1" t="s">
        <v>3587</v>
      </c>
      <c r="I35" s="1" t="s">
        <v>3426</v>
      </c>
      <c r="K35" s="1">
        <v>2021.0</v>
      </c>
      <c r="L35" s="1">
        <v>2022.0</v>
      </c>
      <c r="M35" s="1" t="s">
        <v>3561</v>
      </c>
    </row>
    <row r="36">
      <c r="A36" s="1" t="s">
        <v>3588</v>
      </c>
      <c r="B36" s="22" t="s">
        <v>3406</v>
      </c>
      <c r="C36" s="2" t="s">
        <v>3589</v>
      </c>
      <c r="D36" s="2"/>
      <c r="E36" s="2" t="s">
        <v>3590</v>
      </c>
      <c r="F36" s="2" t="s">
        <v>3591</v>
      </c>
      <c r="G36" s="3" t="s">
        <v>3592</v>
      </c>
      <c r="H36" s="1" t="s">
        <v>3593</v>
      </c>
      <c r="I36" s="1" t="s">
        <v>3426</v>
      </c>
      <c r="K36" s="1">
        <v>2020.0</v>
      </c>
      <c r="L36" s="1">
        <v>2022.0</v>
      </c>
      <c r="M36" s="1" t="s">
        <v>3419</v>
      </c>
    </row>
    <row r="37">
      <c r="A37" s="1" t="s">
        <v>3594</v>
      </c>
      <c r="B37" s="22" t="s">
        <v>3406</v>
      </c>
      <c r="C37" s="2" t="s">
        <v>3595</v>
      </c>
      <c r="D37" s="2"/>
      <c r="E37" s="2" t="s">
        <v>3596</v>
      </c>
      <c r="F37" s="2" t="s">
        <v>3597</v>
      </c>
      <c r="G37" s="1" t="s">
        <v>3596</v>
      </c>
      <c r="H37" s="1" t="s">
        <v>3598</v>
      </c>
      <c r="I37" s="1" t="s">
        <v>3396</v>
      </c>
      <c r="J37" s="1" t="s">
        <v>3466</v>
      </c>
      <c r="K37" s="1">
        <v>2021.0</v>
      </c>
      <c r="L37" s="1">
        <v>2022.0</v>
      </c>
      <c r="M37" s="1" t="s">
        <v>3419</v>
      </c>
    </row>
    <row r="38">
      <c r="A38" s="1" t="s">
        <v>3599</v>
      </c>
      <c r="B38" s="22" t="s">
        <v>3406</v>
      </c>
      <c r="C38" s="2" t="s">
        <v>3600</v>
      </c>
      <c r="D38" s="2"/>
      <c r="E38" s="2" t="s">
        <v>3601</v>
      </c>
      <c r="F38" s="2" t="s">
        <v>3602</v>
      </c>
      <c r="G38" s="1" t="s">
        <v>3601</v>
      </c>
      <c r="H38" s="1" t="s">
        <v>3603</v>
      </c>
      <c r="I38" s="1" t="s">
        <v>3396</v>
      </c>
      <c r="J38" s="1" t="s">
        <v>3487</v>
      </c>
      <c r="K38" s="1">
        <v>2019.0</v>
      </c>
      <c r="L38" s="1">
        <v>2019.0</v>
      </c>
      <c r="M38" s="1" t="s">
        <v>3419</v>
      </c>
    </row>
    <row r="39">
      <c r="A39" s="1" t="s">
        <v>3604</v>
      </c>
      <c r="B39" s="22" t="s">
        <v>3605</v>
      </c>
      <c r="C39" s="2" t="s">
        <v>3606</v>
      </c>
      <c r="D39" s="2"/>
      <c r="E39" s="2" t="s">
        <v>3607</v>
      </c>
      <c r="F39" s="2" t="s">
        <v>3608</v>
      </c>
      <c r="G39" s="1" t="s">
        <v>3607</v>
      </c>
      <c r="H39" s="1" t="s">
        <v>3609</v>
      </c>
      <c r="I39" s="1" t="s">
        <v>3396</v>
      </c>
      <c r="J39" s="1" t="s">
        <v>3610</v>
      </c>
      <c r="K39" s="1">
        <v>2024.0</v>
      </c>
      <c r="L39" s="1">
        <v>2024.0</v>
      </c>
      <c r="M39" s="1" t="s">
        <v>3398</v>
      </c>
    </row>
    <row r="40">
      <c r="A40" s="1" t="s">
        <v>3611</v>
      </c>
      <c r="B40" s="22" t="s">
        <v>3605</v>
      </c>
      <c r="C40" s="2" t="s">
        <v>3612</v>
      </c>
      <c r="D40" s="2"/>
      <c r="E40" s="2" t="s">
        <v>3613</v>
      </c>
      <c r="F40" s="2" t="s">
        <v>3614</v>
      </c>
      <c r="G40" s="1" t="s">
        <v>3613</v>
      </c>
      <c r="H40" s="1" t="s">
        <v>3615</v>
      </c>
      <c r="I40" s="1" t="s">
        <v>3426</v>
      </c>
      <c r="J40" s="1" t="s">
        <v>3577</v>
      </c>
      <c r="K40" s="1">
        <v>2023.0</v>
      </c>
      <c r="L40" s="1">
        <v>2023.0</v>
      </c>
      <c r="M40" s="1" t="s">
        <v>3561</v>
      </c>
    </row>
    <row r="41">
      <c r="A41" s="1" t="s">
        <v>3616</v>
      </c>
      <c r="B41" s="22" t="s">
        <v>3605</v>
      </c>
      <c r="C41" s="2" t="s">
        <v>3617</v>
      </c>
      <c r="D41" s="2"/>
      <c r="E41" s="2" t="s">
        <v>3618</v>
      </c>
      <c r="F41" s="2" t="s">
        <v>3619</v>
      </c>
      <c r="G41" s="1" t="s">
        <v>3618</v>
      </c>
      <c r="H41" s="1" t="s">
        <v>3620</v>
      </c>
      <c r="I41" s="1" t="s">
        <v>3396</v>
      </c>
      <c r="K41" s="1">
        <v>2022.0</v>
      </c>
      <c r="L41" s="1">
        <v>2022.0</v>
      </c>
      <c r="M41" s="1" t="s">
        <v>3419</v>
      </c>
    </row>
    <row r="42">
      <c r="A42" s="1" t="s">
        <v>3621</v>
      </c>
      <c r="B42" s="22" t="s">
        <v>3605</v>
      </c>
      <c r="C42" s="2" t="s">
        <v>3622</v>
      </c>
      <c r="D42" s="2"/>
      <c r="E42" s="2" t="s">
        <v>3623</v>
      </c>
      <c r="F42" s="2" t="s">
        <v>3624</v>
      </c>
      <c r="G42" s="3" t="s">
        <v>3625</v>
      </c>
      <c r="H42" s="1" t="s">
        <v>3626</v>
      </c>
      <c r="I42" s="1" t="s">
        <v>3426</v>
      </c>
      <c r="J42" s="1" t="s">
        <v>3627</v>
      </c>
      <c r="K42" s="1">
        <v>2023.0</v>
      </c>
      <c r="L42" s="1">
        <v>2023.0</v>
      </c>
      <c r="M42" s="1" t="s">
        <v>3398</v>
      </c>
    </row>
    <row r="43">
      <c r="A43" s="1" t="s">
        <v>3628</v>
      </c>
      <c r="B43" s="22" t="s">
        <v>3605</v>
      </c>
      <c r="C43" s="2" t="s">
        <v>3629</v>
      </c>
      <c r="D43" s="2"/>
      <c r="E43" s="2" t="s">
        <v>3630</v>
      </c>
      <c r="F43" s="2" t="s">
        <v>3631</v>
      </c>
      <c r="G43" s="1" t="s">
        <v>3632</v>
      </c>
      <c r="H43" s="1" t="s">
        <v>3633</v>
      </c>
      <c r="I43" s="1" t="s">
        <v>3426</v>
      </c>
      <c r="J43" s="1" t="s">
        <v>3404</v>
      </c>
      <c r="K43" s="1">
        <v>2022.0</v>
      </c>
      <c r="L43" s="1">
        <v>2022.0</v>
      </c>
      <c r="M43" s="1" t="s">
        <v>3427</v>
      </c>
    </row>
    <row r="44">
      <c r="A44" s="1" t="s">
        <v>3634</v>
      </c>
      <c r="B44" s="22" t="s">
        <v>3605</v>
      </c>
      <c r="C44" s="2" t="s">
        <v>3635</v>
      </c>
      <c r="D44" s="2"/>
      <c r="E44" s="2" t="s">
        <v>3636</v>
      </c>
      <c r="F44" s="2" t="s">
        <v>3637</v>
      </c>
      <c r="G44" s="1" t="s">
        <v>3636</v>
      </c>
      <c r="H44" s="1" t="s">
        <v>3638</v>
      </c>
      <c r="I44" s="1" t="s">
        <v>3426</v>
      </c>
      <c r="J44" s="1" t="s">
        <v>3571</v>
      </c>
      <c r="K44" s="1">
        <v>2021.0</v>
      </c>
      <c r="L44" s="1">
        <v>2021.0</v>
      </c>
      <c r="M44" s="1" t="s">
        <v>3639</v>
      </c>
    </row>
    <row r="45">
      <c r="A45" s="1" t="s">
        <v>3640</v>
      </c>
      <c r="B45" s="22" t="s">
        <v>3605</v>
      </c>
      <c r="C45" s="2" t="s">
        <v>3641</v>
      </c>
      <c r="D45" s="2"/>
      <c r="E45" s="2" t="s">
        <v>3642</v>
      </c>
      <c r="F45" s="2" t="s">
        <v>3643</v>
      </c>
      <c r="G45" s="1" t="s">
        <v>3642</v>
      </c>
      <c r="H45" s="1" t="s">
        <v>3644</v>
      </c>
      <c r="I45" s="1" t="s">
        <v>3396</v>
      </c>
      <c r="J45" s="1" t="s">
        <v>3411</v>
      </c>
      <c r="K45" s="1">
        <v>2023.0</v>
      </c>
      <c r="L45" s="1">
        <v>2023.0</v>
      </c>
      <c r="M45" s="1" t="s">
        <v>3398</v>
      </c>
    </row>
    <row r="46">
      <c r="A46" s="1" t="s">
        <v>3645</v>
      </c>
      <c r="B46" s="22" t="s">
        <v>3605</v>
      </c>
      <c r="C46" s="2" t="s">
        <v>3646</v>
      </c>
      <c r="D46" s="2"/>
      <c r="E46" s="2" t="s">
        <v>3647</v>
      </c>
      <c r="F46" s="2" t="s">
        <v>3648</v>
      </c>
      <c r="G46" s="1" t="s">
        <v>3649</v>
      </c>
      <c r="H46" s="1" t="s">
        <v>3650</v>
      </c>
      <c r="I46" s="1" t="s">
        <v>3396</v>
      </c>
      <c r="K46" s="1">
        <v>2021.0</v>
      </c>
      <c r="L46" s="1">
        <v>2021.0</v>
      </c>
      <c r="M46" s="1" t="s">
        <v>3651</v>
      </c>
    </row>
    <row r="47">
      <c r="A47" s="1" t="s">
        <v>3652</v>
      </c>
      <c r="B47" s="22" t="s">
        <v>3605</v>
      </c>
      <c r="C47" s="2" t="s">
        <v>3653</v>
      </c>
      <c r="D47" s="2"/>
      <c r="E47" s="2" t="s">
        <v>3654</v>
      </c>
      <c r="F47" s="2" t="s">
        <v>3655</v>
      </c>
      <c r="G47" s="1" t="s">
        <v>3654</v>
      </c>
      <c r="H47" s="1" t="s">
        <v>3656</v>
      </c>
      <c r="I47" s="1" t="s">
        <v>3426</v>
      </c>
      <c r="K47" s="1">
        <v>2021.0</v>
      </c>
      <c r="L47" s="1">
        <v>2022.0</v>
      </c>
      <c r="M47" s="1" t="s">
        <v>3419</v>
      </c>
    </row>
    <row r="48">
      <c r="A48" s="1" t="s">
        <v>3657</v>
      </c>
      <c r="B48" s="22" t="s">
        <v>3605</v>
      </c>
      <c r="C48" s="2" t="s">
        <v>3658</v>
      </c>
      <c r="D48" s="2"/>
      <c r="E48" s="2" t="s">
        <v>3659</v>
      </c>
      <c r="F48" s="2" t="s">
        <v>3660</v>
      </c>
      <c r="G48" s="1" t="s">
        <v>3659</v>
      </c>
      <c r="H48" s="1" t="s">
        <v>3661</v>
      </c>
      <c r="I48" s="1" t="s">
        <v>3396</v>
      </c>
      <c r="J48" s="1" t="s">
        <v>3583</v>
      </c>
      <c r="K48" s="1">
        <v>2014.0</v>
      </c>
      <c r="L48" s="1">
        <v>2017.0</v>
      </c>
      <c r="M48" s="1" t="s">
        <v>3433</v>
      </c>
    </row>
    <row r="49">
      <c r="A49" s="1" t="s">
        <v>3662</v>
      </c>
      <c r="B49" s="22" t="s">
        <v>3605</v>
      </c>
      <c r="C49" s="2" t="s">
        <v>3663</v>
      </c>
      <c r="D49" s="2"/>
      <c r="E49" s="2" t="s">
        <v>3664</v>
      </c>
      <c r="F49" s="2" t="s">
        <v>3665</v>
      </c>
      <c r="G49" s="1" t="s">
        <v>3664</v>
      </c>
      <c r="H49" s="1" t="s">
        <v>3666</v>
      </c>
      <c r="I49" s="1" t="s">
        <v>3396</v>
      </c>
      <c r="J49" s="1" t="s">
        <v>3411</v>
      </c>
      <c r="K49" s="1">
        <v>2022.0</v>
      </c>
      <c r="L49" s="1">
        <v>2022.0</v>
      </c>
      <c r="M49" s="1" t="s">
        <v>3398</v>
      </c>
    </row>
    <row r="50">
      <c r="A50" s="1" t="s">
        <v>3667</v>
      </c>
      <c r="B50" s="22" t="s">
        <v>3605</v>
      </c>
      <c r="C50" s="2" t="s">
        <v>3668</v>
      </c>
      <c r="D50" s="2"/>
      <c r="E50" s="2" t="s">
        <v>3669</v>
      </c>
      <c r="F50" s="2" t="s">
        <v>3670</v>
      </c>
      <c r="G50" s="1" t="s">
        <v>3669</v>
      </c>
      <c r="H50" s="1" t="s">
        <v>3671</v>
      </c>
      <c r="I50" s="1" t="s">
        <v>3396</v>
      </c>
      <c r="J50" s="1" t="s">
        <v>3411</v>
      </c>
      <c r="K50" s="1">
        <v>2020.0</v>
      </c>
      <c r="L50" s="1">
        <v>2021.0</v>
      </c>
      <c r="M50" s="1" t="s">
        <v>3433</v>
      </c>
    </row>
    <row r="51">
      <c r="A51" s="1" t="s">
        <v>3672</v>
      </c>
      <c r="B51" s="22" t="s">
        <v>3605</v>
      </c>
      <c r="C51" s="2" t="s">
        <v>3673</v>
      </c>
      <c r="D51" s="2"/>
      <c r="E51" s="2" t="s">
        <v>3674</v>
      </c>
      <c r="F51" s="2" t="s">
        <v>3675</v>
      </c>
      <c r="G51" s="1" t="s">
        <v>3676</v>
      </c>
      <c r="H51" s="1" t="s">
        <v>3677</v>
      </c>
      <c r="I51" s="1" t="s">
        <v>3396</v>
      </c>
      <c r="J51" s="1" t="s">
        <v>3487</v>
      </c>
      <c r="K51" s="1">
        <v>2020.0</v>
      </c>
      <c r="L51" s="1">
        <v>2020.0</v>
      </c>
      <c r="M51" s="1" t="s">
        <v>3419</v>
      </c>
    </row>
    <row r="52">
      <c r="A52" s="1" t="s">
        <v>3678</v>
      </c>
      <c r="B52" s="22" t="s">
        <v>3605</v>
      </c>
      <c r="C52" s="2" t="s">
        <v>3679</v>
      </c>
      <c r="D52" s="2"/>
      <c r="E52" s="2" t="s">
        <v>3680</v>
      </c>
      <c r="F52" s="2" t="s">
        <v>3681</v>
      </c>
      <c r="G52" s="1" t="s">
        <v>3680</v>
      </c>
      <c r="H52" s="1" t="s">
        <v>3682</v>
      </c>
      <c r="I52" s="1" t="s">
        <v>3426</v>
      </c>
      <c r="K52" s="1">
        <v>2014.0</v>
      </c>
      <c r="L52" s="1">
        <v>2015.0</v>
      </c>
      <c r="M52" s="1" t="s">
        <v>3683</v>
      </c>
    </row>
    <row r="53">
      <c r="A53" s="1" t="s">
        <v>3684</v>
      </c>
      <c r="B53" s="22" t="s">
        <v>3605</v>
      </c>
      <c r="C53" s="2" t="s">
        <v>3685</v>
      </c>
      <c r="D53" s="2"/>
      <c r="E53" s="2" t="s">
        <v>3320</v>
      </c>
      <c r="F53" s="2" t="s">
        <v>3686</v>
      </c>
      <c r="G53" s="1" t="s">
        <v>3320</v>
      </c>
      <c r="H53" s="1" t="s">
        <v>3687</v>
      </c>
      <c r="I53" s="1" t="s">
        <v>3396</v>
      </c>
      <c r="J53" s="1" t="s">
        <v>3411</v>
      </c>
      <c r="K53" s="1">
        <v>2020.0</v>
      </c>
      <c r="L53" s="1">
        <v>2020.0</v>
      </c>
      <c r="M53" s="1" t="s">
        <v>3419</v>
      </c>
    </row>
    <row r="54">
      <c r="A54" s="1" t="s">
        <v>3688</v>
      </c>
      <c r="B54" s="22" t="s">
        <v>3605</v>
      </c>
      <c r="C54" s="2" t="s">
        <v>3689</v>
      </c>
      <c r="D54" s="2"/>
      <c r="E54" s="2" t="s">
        <v>3690</v>
      </c>
      <c r="F54" s="2" t="s">
        <v>3691</v>
      </c>
      <c r="G54" s="1" t="s">
        <v>3690</v>
      </c>
      <c r="H54" s="1" t="s">
        <v>3692</v>
      </c>
      <c r="I54" s="1" t="s">
        <v>3396</v>
      </c>
      <c r="J54" s="1" t="s">
        <v>3693</v>
      </c>
      <c r="K54" s="1">
        <v>2021.0</v>
      </c>
      <c r="L54" s="1">
        <v>2022.0</v>
      </c>
      <c r="M54" s="1" t="s">
        <v>3639</v>
      </c>
    </row>
    <row r="55">
      <c r="A55" s="1" t="s">
        <v>3694</v>
      </c>
      <c r="B55" s="22" t="s">
        <v>3605</v>
      </c>
      <c r="C55" s="2" t="s">
        <v>3695</v>
      </c>
      <c r="D55" s="2"/>
      <c r="E55" s="2" t="s">
        <v>3696</v>
      </c>
      <c r="F55" s="2" t="s">
        <v>3697</v>
      </c>
      <c r="G55" s="1" t="s">
        <v>3696</v>
      </c>
      <c r="H55" s="1" t="s">
        <v>3698</v>
      </c>
      <c r="I55" s="1" t="s">
        <v>3396</v>
      </c>
      <c r="J55" s="1" t="s">
        <v>3699</v>
      </c>
      <c r="K55" s="1">
        <v>2019.0</v>
      </c>
      <c r="L55" s="1">
        <v>2021.0</v>
      </c>
      <c r="M55" s="1" t="s">
        <v>3419</v>
      </c>
    </row>
    <row r="56">
      <c r="A56" s="1" t="s">
        <v>3700</v>
      </c>
      <c r="B56" s="22" t="s">
        <v>3605</v>
      </c>
      <c r="C56" s="2" t="s">
        <v>3701</v>
      </c>
      <c r="D56" s="2"/>
      <c r="E56" s="2" t="s">
        <v>3702</v>
      </c>
      <c r="F56" s="2" t="s">
        <v>3703</v>
      </c>
      <c r="G56" s="1" t="s">
        <v>3702</v>
      </c>
      <c r="H56" s="1" t="s">
        <v>3704</v>
      </c>
      <c r="I56" s="1" t="s">
        <v>3396</v>
      </c>
      <c r="K56" s="1">
        <v>2021.0</v>
      </c>
      <c r="L56" s="1">
        <v>2021.0</v>
      </c>
      <c r="M56" s="1" t="s">
        <v>3433</v>
      </c>
    </row>
    <row r="57">
      <c r="A57" s="1" t="s">
        <v>3705</v>
      </c>
      <c r="B57" s="22" t="s">
        <v>3605</v>
      </c>
      <c r="C57" s="2" t="s">
        <v>3706</v>
      </c>
      <c r="D57" s="2"/>
      <c r="E57" s="2" t="s">
        <v>3707</v>
      </c>
      <c r="F57" s="2" t="s">
        <v>3708</v>
      </c>
      <c r="G57" s="1" t="s">
        <v>3707</v>
      </c>
      <c r="H57" s="1" t="s">
        <v>3709</v>
      </c>
      <c r="I57" s="1" t="s">
        <v>3396</v>
      </c>
      <c r="J57" s="1" t="s">
        <v>3710</v>
      </c>
      <c r="K57" s="1">
        <v>2017.0</v>
      </c>
      <c r="L57" s="1">
        <v>2023.0</v>
      </c>
      <c r="M57" s="1" t="s">
        <v>3419</v>
      </c>
    </row>
    <row r="58">
      <c r="A58" s="1" t="s">
        <v>3711</v>
      </c>
      <c r="B58" s="22" t="s">
        <v>3605</v>
      </c>
      <c r="C58" s="2" t="s">
        <v>3712</v>
      </c>
      <c r="D58" s="2"/>
      <c r="E58" s="2" t="s">
        <v>3713</v>
      </c>
      <c r="F58" s="2" t="s">
        <v>3714</v>
      </c>
      <c r="G58" s="1" t="s">
        <v>3715</v>
      </c>
      <c r="H58" s="1" t="s">
        <v>3716</v>
      </c>
      <c r="I58" s="1" t="s">
        <v>3396</v>
      </c>
      <c r="K58" s="1">
        <v>2019.0</v>
      </c>
      <c r="L58" s="1">
        <v>2020.0</v>
      </c>
      <c r="M58" s="1" t="s">
        <v>3419</v>
      </c>
    </row>
    <row r="59">
      <c r="A59" s="1" t="s">
        <v>3717</v>
      </c>
      <c r="B59" s="22" t="s">
        <v>3605</v>
      </c>
      <c r="C59" s="2" t="s">
        <v>3718</v>
      </c>
      <c r="D59" s="2"/>
      <c r="E59" s="2" t="s">
        <v>3719</v>
      </c>
      <c r="F59" s="2" t="s">
        <v>3720</v>
      </c>
      <c r="G59" s="1" t="s">
        <v>3719</v>
      </c>
      <c r="H59" s="1" t="s">
        <v>3721</v>
      </c>
      <c r="I59" s="1" t="s">
        <v>3426</v>
      </c>
      <c r="K59" s="1">
        <v>2022.0</v>
      </c>
      <c r="L59" s="1">
        <v>2022.0</v>
      </c>
      <c r="M59" s="1" t="s">
        <v>3419</v>
      </c>
    </row>
    <row r="60">
      <c r="A60" s="1" t="s">
        <v>3722</v>
      </c>
      <c r="B60" s="22" t="s">
        <v>3605</v>
      </c>
      <c r="C60" s="2" t="s">
        <v>3723</v>
      </c>
      <c r="D60" s="2"/>
      <c r="E60" s="2" t="s">
        <v>3724</v>
      </c>
      <c r="F60" s="2"/>
      <c r="G60" s="1" t="s">
        <v>3724</v>
      </c>
      <c r="H60" s="1" t="s">
        <v>3725</v>
      </c>
      <c r="I60" s="1" t="s">
        <v>3426</v>
      </c>
      <c r="K60" s="1">
        <v>2021.0</v>
      </c>
      <c r="L60" s="1">
        <v>2022.0</v>
      </c>
      <c r="M60" s="1" t="s">
        <v>3561</v>
      </c>
    </row>
    <row r="61">
      <c r="A61" s="1" t="s">
        <v>3726</v>
      </c>
      <c r="B61" s="22" t="s">
        <v>3605</v>
      </c>
      <c r="C61" s="2" t="s">
        <v>3727</v>
      </c>
      <c r="D61" s="2"/>
      <c r="E61" s="2" t="s">
        <v>3728</v>
      </c>
      <c r="F61" s="2" t="s">
        <v>3729</v>
      </c>
      <c r="G61" s="1" t="s">
        <v>3728</v>
      </c>
      <c r="H61" s="1" t="s">
        <v>3730</v>
      </c>
      <c r="I61" s="1" t="s">
        <v>3396</v>
      </c>
      <c r="J61" s="1" t="s">
        <v>3493</v>
      </c>
      <c r="K61" s="1">
        <v>2018.0</v>
      </c>
      <c r="L61" s="1">
        <v>2019.0</v>
      </c>
      <c r="M61" s="1" t="s">
        <v>3683</v>
      </c>
    </row>
    <row r="62">
      <c r="A62" s="1" t="s">
        <v>3731</v>
      </c>
      <c r="B62" s="22" t="s">
        <v>3605</v>
      </c>
      <c r="C62" s="2" t="s">
        <v>3732</v>
      </c>
      <c r="D62" s="2"/>
      <c r="E62" s="2" t="s">
        <v>3733</v>
      </c>
      <c r="F62" s="2" t="s">
        <v>3734</v>
      </c>
      <c r="G62" s="1" t="s">
        <v>3733</v>
      </c>
      <c r="H62" s="1" t="s">
        <v>3735</v>
      </c>
      <c r="I62" s="1" t="s">
        <v>3426</v>
      </c>
      <c r="J62" s="1" t="s">
        <v>3693</v>
      </c>
      <c r="K62" s="1">
        <v>2021.0</v>
      </c>
      <c r="L62" s="1">
        <v>2021.0</v>
      </c>
      <c r="M62" s="1" t="s">
        <v>3506</v>
      </c>
    </row>
    <row r="63">
      <c r="A63" s="1" t="s">
        <v>3736</v>
      </c>
      <c r="B63" s="22" t="s">
        <v>3605</v>
      </c>
      <c r="C63" s="2" t="s">
        <v>3737</v>
      </c>
      <c r="D63" s="2"/>
      <c r="E63" s="2" t="s">
        <v>3738</v>
      </c>
      <c r="F63" s="2"/>
      <c r="G63" s="1" t="s">
        <v>3738</v>
      </c>
      <c r="H63" s="1" t="s">
        <v>3739</v>
      </c>
      <c r="I63" s="1" t="s">
        <v>3426</v>
      </c>
      <c r="K63" s="1">
        <v>2021.0</v>
      </c>
      <c r="L63" s="1">
        <v>2022.0</v>
      </c>
      <c r="M63" s="1" t="s">
        <v>3506</v>
      </c>
    </row>
    <row r="64">
      <c r="A64" s="1" t="s">
        <v>3740</v>
      </c>
      <c r="B64" s="22" t="s">
        <v>3605</v>
      </c>
      <c r="C64" s="2" t="s">
        <v>3741</v>
      </c>
      <c r="D64" s="2"/>
      <c r="E64" s="2" t="s">
        <v>3742</v>
      </c>
      <c r="F64" s="2" t="s">
        <v>3743</v>
      </c>
      <c r="G64" s="1" t="s">
        <v>3742</v>
      </c>
      <c r="H64" s="1" t="s">
        <v>3744</v>
      </c>
      <c r="I64" s="1" t="s">
        <v>3426</v>
      </c>
      <c r="K64" s="1">
        <v>2021.0</v>
      </c>
      <c r="L64" s="1">
        <v>2022.0</v>
      </c>
      <c r="M64" s="1" t="s">
        <v>3561</v>
      </c>
    </row>
    <row r="65">
      <c r="A65" s="1" t="s">
        <v>3745</v>
      </c>
      <c r="B65" s="22" t="s">
        <v>3605</v>
      </c>
      <c r="C65" s="2" t="s">
        <v>3746</v>
      </c>
      <c r="D65" s="2"/>
      <c r="E65" s="2" t="s">
        <v>3747</v>
      </c>
      <c r="F65" s="2"/>
      <c r="G65" s="1" t="s">
        <v>3747</v>
      </c>
      <c r="H65" s="1" t="s">
        <v>3748</v>
      </c>
      <c r="I65" s="1" t="s">
        <v>3396</v>
      </c>
      <c r="J65" s="1" t="s">
        <v>3571</v>
      </c>
      <c r="K65" s="1">
        <v>2021.0</v>
      </c>
      <c r="L65" s="1">
        <v>2021.0</v>
      </c>
      <c r="M65" s="1" t="s">
        <v>3398</v>
      </c>
    </row>
    <row r="66">
      <c r="A66" s="1" t="s">
        <v>3749</v>
      </c>
      <c r="B66" s="22" t="s">
        <v>3750</v>
      </c>
      <c r="C66" s="2" t="s">
        <v>3751</v>
      </c>
      <c r="D66" s="2"/>
      <c r="E66" s="2" t="s">
        <v>3752</v>
      </c>
      <c r="F66" s="2"/>
      <c r="G66" s="1" t="s">
        <v>3752</v>
      </c>
      <c r="H66" s="1" t="s">
        <v>3753</v>
      </c>
      <c r="I66" s="1" t="s">
        <v>3396</v>
      </c>
      <c r="J66" s="1" t="s">
        <v>3404</v>
      </c>
      <c r="K66" s="1">
        <v>2024.0</v>
      </c>
      <c r="L66" s="1">
        <v>2024.0</v>
      </c>
      <c r="M66" s="1" t="s">
        <v>3561</v>
      </c>
    </row>
    <row r="67">
      <c r="A67" s="1" t="s">
        <v>3754</v>
      </c>
      <c r="B67" s="22" t="s">
        <v>3755</v>
      </c>
      <c r="C67" s="2" t="s">
        <v>3756</v>
      </c>
      <c r="D67" s="2"/>
      <c r="E67" s="2" t="s">
        <v>3757</v>
      </c>
      <c r="F67" s="2"/>
      <c r="G67" s="1" t="s">
        <v>3757</v>
      </c>
      <c r="H67" s="1" t="s">
        <v>3758</v>
      </c>
      <c r="I67" s="1" t="s">
        <v>3396</v>
      </c>
      <c r="K67" s="1">
        <v>2020.0</v>
      </c>
      <c r="L67" s="1">
        <v>2020.0</v>
      </c>
      <c r="M67" s="1" t="s">
        <v>3398</v>
      </c>
    </row>
    <row r="68">
      <c r="A68" s="1" t="s">
        <v>3759</v>
      </c>
      <c r="B68" s="22" t="s">
        <v>3755</v>
      </c>
      <c r="C68" s="2" t="s">
        <v>3760</v>
      </c>
      <c r="D68" s="2"/>
      <c r="E68" s="2" t="s">
        <v>3761</v>
      </c>
      <c r="F68" s="2"/>
      <c r="G68" s="1" t="s">
        <v>3761</v>
      </c>
      <c r="H68" s="1" t="s">
        <v>3762</v>
      </c>
      <c r="I68" s="1" t="s">
        <v>3426</v>
      </c>
      <c r="J68" s="1" t="s">
        <v>3411</v>
      </c>
      <c r="K68" s="1">
        <v>2022.0</v>
      </c>
      <c r="L68" s="1">
        <v>2022.0</v>
      </c>
      <c r="M68" s="1" t="s">
        <v>3427</v>
      </c>
    </row>
    <row r="69">
      <c r="A69" s="1" t="s">
        <v>3763</v>
      </c>
      <c r="B69" s="22" t="s">
        <v>3764</v>
      </c>
      <c r="C69" s="2" t="s">
        <v>2115</v>
      </c>
      <c r="D69" s="2"/>
      <c r="E69" s="2" t="s">
        <v>3765</v>
      </c>
      <c r="F69" s="2"/>
      <c r="G69" s="1" t="s">
        <v>3765</v>
      </c>
      <c r="H69" s="1" t="s">
        <v>3766</v>
      </c>
      <c r="I69" s="1" t="s">
        <v>3426</v>
      </c>
      <c r="K69" s="1">
        <v>2020.0</v>
      </c>
      <c r="L69" s="1">
        <v>2022.0</v>
      </c>
      <c r="M69" s="1" t="s">
        <v>3419</v>
      </c>
    </row>
    <row r="70">
      <c r="A70" s="1" t="s">
        <v>3767</v>
      </c>
      <c r="B70" s="22" t="s">
        <v>3764</v>
      </c>
      <c r="C70" s="2" t="s">
        <v>3768</v>
      </c>
      <c r="D70" s="2"/>
      <c r="E70" s="2" t="s">
        <v>3769</v>
      </c>
      <c r="F70" s="2"/>
      <c r="G70" s="1" t="s">
        <v>3769</v>
      </c>
      <c r="H70" s="1" t="s">
        <v>3770</v>
      </c>
      <c r="I70" s="1" t="s">
        <v>3396</v>
      </c>
      <c r="J70" s="1" t="s">
        <v>3493</v>
      </c>
      <c r="K70" s="1">
        <v>2018.0</v>
      </c>
      <c r="L70" s="1">
        <v>2019.0</v>
      </c>
      <c r="M70" s="1" t="s">
        <v>3771</v>
      </c>
    </row>
    <row r="71">
      <c r="A71" s="1" t="s">
        <v>3772</v>
      </c>
      <c r="B71" s="22" t="s">
        <v>3764</v>
      </c>
      <c r="C71" s="2" t="s">
        <v>3773</v>
      </c>
      <c r="D71" s="2"/>
      <c r="E71" s="2" t="s">
        <v>3774</v>
      </c>
      <c r="F71" s="2"/>
      <c r="G71" s="1" t="s">
        <v>3774</v>
      </c>
      <c r="H71" s="1" t="s">
        <v>3775</v>
      </c>
      <c r="I71" s="1" t="s">
        <v>3426</v>
      </c>
      <c r="K71" s="1">
        <v>2021.0</v>
      </c>
      <c r="L71" s="1">
        <v>2022.0</v>
      </c>
      <c r="M71" s="1" t="s">
        <v>3776</v>
      </c>
    </row>
    <row r="72">
      <c r="A72" s="1" t="s">
        <v>3777</v>
      </c>
      <c r="B72" s="22" t="s">
        <v>3764</v>
      </c>
      <c r="C72" s="2" t="s">
        <v>3778</v>
      </c>
      <c r="D72" s="2"/>
      <c r="E72" s="2" t="s">
        <v>3779</v>
      </c>
      <c r="F72" s="2"/>
      <c r="G72" s="1" t="s">
        <v>3779</v>
      </c>
      <c r="H72" s="1" t="s">
        <v>3780</v>
      </c>
      <c r="I72" s="1" t="s">
        <v>3396</v>
      </c>
      <c r="J72" s="1" t="s">
        <v>3512</v>
      </c>
      <c r="K72" s="1">
        <v>2016.0</v>
      </c>
      <c r="L72" s="1">
        <v>2016.0</v>
      </c>
      <c r="M72" s="1" t="s">
        <v>3781</v>
      </c>
    </row>
    <row r="73">
      <c r="A73" s="1" t="s">
        <v>3782</v>
      </c>
      <c r="B73" s="22" t="s">
        <v>3764</v>
      </c>
      <c r="C73" s="2" t="s">
        <v>3783</v>
      </c>
      <c r="D73" s="2"/>
      <c r="E73" s="2" t="s">
        <v>3784</v>
      </c>
      <c r="F73" s="2"/>
      <c r="G73" s="1" t="s">
        <v>3784</v>
      </c>
      <c r="H73" s="1" t="s">
        <v>3785</v>
      </c>
      <c r="I73" s="1" t="s">
        <v>3396</v>
      </c>
      <c r="J73" s="1" t="s">
        <v>3493</v>
      </c>
      <c r="K73" s="1">
        <v>2020.0</v>
      </c>
      <c r="L73" s="1">
        <v>2024.0</v>
      </c>
      <c r="M73" s="1" t="s">
        <v>3786</v>
      </c>
    </row>
    <row r="74">
      <c r="A74" s="1" t="s">
        <v>3787</v>
      </c>
      <c r="B74" s="22" t="s">
        <v>3764</v>
      </c>
      <c r="C74" s="2" t="s">
        <v>3788</v>
      </c>
      <c r="D74" s="2"/>
      <c r="E74" s="2" t="s">
        <v>3789</v>
      </c>
      <c r="F74" s="2"/>
      <c r="G74" s="1" t="s">
        <v>3790</v>
      </c>
      <c r="H74" s="1" t="s">
        <v>3791</v>
      </c>
      <c r="I74" s="1" t="s">
        <v>3396</v>
      </c>
      <c r="J74" s="1" t="s">
        <v>3487</v>
      </c>
      <c r="K74" s="1">
        <v>2019.0</v>
      </c>
      <c r="L74" s="1">
        <v>2021.0</v>
      </c>
      <c r="M74" s="1" t="s">
        <v>3776</v>
      </c>
    </row>
    <row r="75">
      <c r="A75" s="1" t="s">
        <v>3792</v>
      </c>
      <c r="B75" s="22" t="s">
        <v>3764</v>
      </c>
      <c r="C75" s="2" t="s">
        <v>3793</v>
      </c>
      <c r="D75" s="2"/>
      <c r="E75" s="2" t="s">
        <v>3794</v>
      </c>
      <c r="F75" s="2"/>
      <c r="G75" s="1" t="s">
        <v>3794</v>
      </c>
      <c r="H75" s="1" t="s">
        <v>3795</v>
      </c>
      <c r="I75" s="1" t="s">
        <v>3396</v>
      </c>
      <c r="J75" s="1" t="s">
        <v>3583</v>
      </c>
      <c r="K75" s="1">
        <v>2018.0</v>
      </c>
      <c r="L75" s="1">
        <v>2020.0</v>
      </c>
      <c r="M75" s="1" t="s">
        <v>3506</v>
      </c>
    </row>
    <row r="76">
      <c r="A76" s="1" t="s">
        <v>3796</v>
      </c>
      <c r="B76" s="22" t="s">
        <v>3764</v>
      </c>
      <c r="C76" s="2" t="s">
        <v>3797</v>
      </c>
      <c r="D76" s="2"/>
      <c r="E76" s="2" t="s">
        <v>3798</v>
      </c>
      <c r="F76" s="2"/>
      <c r="G76" s="1" t="s">
        <v>3798</v>
      </c>
      <c r="H76" s="1" t="s">
        <v>3799</v>
      </c>
      <c r="I76" s="1" t="s">
        <v>3396</v>
      </c>
      <c r="J76" s="1" t="s">
        <v>3505</v>
      </c>
      <c r="K76" s="1">
        <v>2021.0</v>
      </c>
      <c r="L76" s="1">
        <v>2021.0</v>
      </c>
      <c r="M76" s="1" t="s">
        <v>3800</v>
      </c>
    </row>
    <row r="77">
      <c r="A77" s="1" t="s">
        <v>3801</v>
      </c>
      <c r="B77" s="22" t="s">
        <v>3764</v>
      </c>
      <c r="C77" s="2" t="s">
        <v>3802</v>
      </c>
      <c r="D77" s="2"/>
      <c r="E77" s="2" t="s">
        <v>3803</v>
      </c>
      <c r="F77" s="2"/>
      <c r="G77" s="1" t="s">
        <v>3803</v>
      </c>
      <c r="H77" s="1" t="s">
        <v>3804</v>
      </c>
      <c r="I77" s="1" t="s">
        <v>3426</v>
      </c>
      <c r="K77" s="1">
        <v>2022.0</v>
      </c>
      <c r="L77" s="1">
        <v>2023.0</v>
      </c>
      <c r="M77" s="1" t="s">
        <v>3561</v>
      </c>
    </row>
    <row r="78">
      <c r="A78" s="1" t="s">
        <v>3805</v>
      </c>
      <c r="B78" s="22" t="s">
        <v>3764</v>
      </c>
      <c r="C78" s="2" t="s">
        <v>3806</v>
      </c>
      <c r="D78" s="2"/>
      <c r="E78" s="2" t="s">
        <v>3807</v>
      </c>
      <c r="F78" s="2"/>
      <c r="G78" s="1" t="s">
        <v>3807</v>
      </c>
      <c r="H78" s="1" t="s">
        <v>3808</v>
      </c>
      <c r="I78" s="1" t="s">
        <v>3396</v>
      </c>
      <c r="J78" s="1" t="s">
        <v>3461</v>
      </c>
      <c r="K78" s="1">
        <v>2022.0</v>
      </c>
      <c r="L78" s="1">
        <v>2023.0</v>
      </c>
      <c r="M78" s="1" t="s">
        <v>3419</v>
      </c>
    </row>
    <row r="79">
      <c r="A79" s="1" t="s">
        <v>3809</v>
      </c>
      <c r="B79" s="22" t="s">
        <v>3764</v>
      </c>
      <c r="C79" s="2" t="s">
        <v>3810</v>
      </c>
      <c r="D79" s="2"/>
      <c r="E79" s="2" t="s">
        <v>3811</v>
      </c>
      <c r="F79" s="2"/>
      <c r="G79" s="1" t="s">
        <v>3811</v>
      </c>
      <c r="H79" s="1" t="s">
        <v>3812</v>
      </c>
      <c r="I79" s="1" t="s">
        <v>3396</v>
      </c>
      <c r="J79" s="1" t="s">
        <v>3583</v>
      </c>
      <c r="K79" s="1">
        <v>2021.0</v>
      </c>
      <c r="L79" s="1">
        <v>2022.0</v>
      </c>
      <c r="M79" s="1" t="s">
        <v>3813</v>
      </c>
    </row>
    <row r="80">
      <c r="A80" s="1" t="s">
        <v>3814</v>
      </c>
      <c r="B80" s="22" t="s">
        <v>3815</v>
      </c>
      <c r="C80" s="2" t="s">
        <v>3816</v>
      </c>
      <c r="D80" s="2"/>
      <c r="E80" s="2" t="s">
        <v>3817</v>
      </c>
      <c r="F80" s="2"/>
      <c r="G80" s="1" t="s">
        <v>3817</v>
      </c>
      <c r="H80" s="1" t="s">
        <v>3818</v>
      </c>
      <c r="I80" s="1" t="s">
        <v>3426</v>
      </c>
      <c r="K80" s="1">
        <v>2022.0</v>
      </c>
      <c r="L80" s="1">
        <v>2022.0</v>
      </c>
      <c r="M80" s="1" t="s">
        <v>3398</v>
      </c>
    </row>
    <row r="81">
      <c r="A81" s="1" t="s">
        <v>3819</v>
      </c>
      <c r="B81" s="22" t="s">
        <v>3815</v>
      </c>
      <c r="C81" s="2" t="s">
        <v>3820</v>
      </c>
      <c r="D81" s="2"/>
      <c r="E81" s="2" t="s">
        <v>3821</v>
      </c>
      <c r="F81" s="2"/>
      <c r="G81" s="1" t="s">
        <v>3822</v>
      </c>
      <c r="H81" s="1" t="s">
        <v>3823</v>
      </c>
      <c r="I81" s="1" t="s">
        <v>3426</v>
      </c>
      <c r="K81" s="1">
        <v>2021.0</v>
      </c>
      <c r="L81" s="1">
        <v>2022.0</v>
      </c>
      <c r="M81" s="1" t="s">
        <v>3683</v>
      </c>
    </row>
    <row r="82">
      <c r="A82" s="1" t="s">
        <v>3824</v>
      </c>
      <c r="B82" s="22" t="s">
        <v>3815</v>
      </c>
      <c r="C82" s="2" t="s">
        <v>3825</v>
      </c>
      <c r="D82" s="2"/>
      <c r="E82" s="2" t="s">
        <v>3826</v>
      </c>
      <c r="F82" s="2"/>
      <c r="G82" s="1" t="s">
        <v>3826</v>
      </c>
      <c r="H82" s="1" t="s">
        <v>3827</v>
      </c>
      <c r="I82" s="1" t="s">
        <v>3426</v>
      </c>
      <c r="J82" s="1" t="s">
        <v>3577</v>
      </c>
      <c r="K82" s="1">
        <v>2020.0</v>
      </c>
      <c r="L82" s="1">
        <v>2020.0</v>
      </c>
      <c r="M82" s="1" t="s">
        <v>3813</v>
      </c>
    </row>
    <row r="83">
      <c r="A83" s="1" t="s">
        <v>3828</v>
      </c>
      <c r="B83" s="22" t="s">
        <v>3815</v>
      </c>
      <c r="C83" s="2" t="s">
        <v>3829</v>
      </c>
      <c r="D83" s="2"/>
      <c r="E83" s="2" t="s">
        <v>3830</v>
      </c>
      <c r="F83" s="2"/>
      <c r="G83" s="1" t="s">
        <v>3830</v>
      </c>
      <c r="H83" s="1" t="s">
        <v>3831</v>
      </c>
      <c r="I83" s="1" t="s">
        <v>3426</v>
      </c>
      <c r="J83" s="1" t="s">
        <v>3571</v>
      </c>
      <c r="K83" s="1">
        <v>2022.0</v>
      </c>
      <c r="L83" s="1">
        <v>2022.0</v>
      </c>
      <c r="M83" s="1" t="s">
        <v>3419</v>
      </c>
    </row>
    <row r="84">
      <c r="A84" s="1" t="s">
        <v>3832</v>
      </c>
      <c r="B84" s="22" t="s">
        <v>3815</v>
      </c>
      <c r="C84" s="2" t="s">
        <v>3833</v>
      </c>
      <c r="D84" s="2"/>
      <c r="E84" s="2" t="s">
        <v>3834</v>
      </c>
      <c r="F84" s="2"/>
      <c r="G84" s="1" t="s">
        <v>3834</v>
      </c>
      <c r="H84" s="1" t="s">
        <v>3835</v>
      </c>
      <c r="I84" s="1" t="s">
        <v>3426</v>
      </c>
      <c r="K84" s="1">
        <v>2021.0</v>
      </c>
      <c r="L84" s="1">
        <v>2022.0</v>
      </c>
      <c r="M84" s="1" t="s">
        <v>3771</v>
      </c>
    </row>
    <row r="85">
      <c r="A85" s="1" t="s">
        <v>3836</v>
      </c>
      <c r="B85" s="22" t="s">
        <v>3815</v>
      </c>
      <c r="C85" s="2" t="s">
        <v>3837</v>
      </c>
      <c r="D85" s="2"/>
      <c r="E85" s="2" t="s">
        <v>3838</v>
      </c>
      <c r="F85" s="2"/>
      <c r="G85" s="1" t="s">
        <v>3838</v>
      </c>
      <c r="H85" s="1" t="s">
        <v>3839</v>
      </c>
      <c r="I85" s="1" t="s">
        <v>3396</v>
      </c>
      <c r="J85" s="1" t="s">
        <v>3693</v>
      </c>
      <c r="K85" s="1">
        <v>2020.0</v>
      </c>
      <c r="L85" s="1">
        <v>2022.0</v>
      </c>
      <c r="M85" s="1" t="s">
        <v>3683</v>
      </c>
    </row>
    <row r="86">
      <c r="A86" s="1" t="s">
        <v>3840</v>
      </c>
      <c r="B86" s="22" t="s">
        <v>3815</v>
      </c>
      <c r="C86" s="2" t="s">
        <v>3841</v>
      </c>
      <c r="D86" s="2"/>
      <c r="E86" s="2" t="s">
        <v>3842</v>
      </c>
      <c r="F86" s="2"/>
      <c r="G86" s="1" t="s">
        <v>3842</v>
      </c>
      <c r="H86" s="1" t="s">
        <v>3843</v>
      </c>
      <c r="I86" s="1" t="s">
        <v>3426</v>
      </c>
      <c r="K86" s="1">
        <v>2020.0</v>
      </c>
      <c r="L86" s="1">
        <v>2022.0</v>
      </c>
      <c r="M86" s="1" t="s">
        <v>3683</v>
      </c>
    </row>
    <row r="87">
      <c r="A87" s="1" t="s">
        <v>3844</v>
      </c>
      <c r="B87" s="22" t="s">
        <v>3815</v>
      </c>
      <c r="C87" s="2" t="s">
        <v>3845</v>
      </c>
      <c r="D87" s="2"/>
      <c r="E87" s="2" t="s">
        <v>1871</v>
      </c>
      <c r="F87" s="2"/>
      <c r="G87" s="1" t="s">
        <v>1871</v>
      </c>
      <c r="H87" s="1" t="s">
        <v>3846</v>
      </c>
      <c r="I87" s="1" t="s">
        <v>3396</v>
      </c>
      <c r="J87" s="1" t="s">
        <v>3505</v>
      </c>
      <c r="K87" s="1">
        <v>2020.0</v>
      </c>
      <c r="L87" s="1">
        <v>2023.0</v>
      </c>
      <c r="M87" s="1" t="s">
        <v>3398</v>
      </c>
    </row>
    <row r="88">
      <c r="A88" s="1" t="s">
        <v>3847</v>
      </c>
      <c r="B88" s="22" t="s">
        <v>3815</v>
      </c>
      <c r="C88" s="2" t="s">
        <v>3848</v>
      </c>
      <c r="D88" s="2"/>
      <c r="E88" s="2" t="s">
        <v>3849</v>
      </c>
      <c r="F88" s="2"/>
      <c r="G88" s="1" t="s">
        <v>3849</v>
      </c>
      <c r="H88" s="1" t="s">
        <v>3850</v>
      </c>
      <c r="I88" s="1" t="s">
        <v>3426</v>
      </c>
      <c r="K88" s="1">
        <v>2023.0</v>
      </c>
      <c r="L88" s="1">
        <v>2023.0</v>
      </c>
      <c r="M88" s="1" t="s">
        <v>3506</v>
      </c>
    </row>
    <row r="89">
      <c r="A89" s="1" t="s">
        <v>3851</v>
      </c>
      <c r="B89" s="22" t="s">
        <v>3815</v>
      </c>
      <c r="C89" s="2" t="s">
        <v>3852</v>
      </c>
      <c r="D89" s="2"/>
      <c r="E89" s="2" t="s">
        <v>3853</v>
      </c>
      <c r="F89" s="2"/>
      <c r="G89" s="1" t="s">
        <v>3853</v>
      </c>
      <c r="H89" s="1" t="s">
        <v>3854</v>
      </c>
      <c r="I89" s="1" t="s">
        <v>3426</v>
      </c>
      <c r="J89" s="1" t="s">
        <v>3693</v>
      </c>
      <c r="K89" s="1">
        <v>2021.0</v>
      </c>
      <c r="L89" s="1">
        <v>2021.0</v>
      </c>
      <c r="M89" s="1" t="s">
        <v>3506</v>
      </c>
    </row>
    <row r="90">
      <c r="A90" s="1" t="s">
        <v>3855</v>
      </c>
      <c r="B90" s="22" t="s">
        <v>3815</v>
      </c>
      <c r="C90" s="2" t="s">
        <v>3856</v>
      </c>
      <c r="D90" s="2"/>
      <c r="E90" s="2" t="s">
        <v>3857</v>
      </c>
      <c r="F90" s="2"/>
      <c r="G90" s="1" t="s">
        <v>3858</v>
      </c>
      <c r="H90" s="1" t="s">
        <v>3859</v>
      </c>
      <c r="I90" s="1" t="s">
        <v>3396</v>
      </c>
      <c r="J90" s="1" t="s">
        <v>3860</v>
      </c>
      <c r="K90" s="1">
        <v>2019.0</v>
      </c>
      <c r="L90" s="1">
        <v>2020.0</v>
      </c>
      <c r="M90" s="1" t="s">
        <v>3419</v>
      </c>
    </row>
    <row r="91">
      <c r="A91" s="1" t="s">
        <v>3861</v>
      </c>
      <c r="B91" s="22" t="s">
        <v>3862</v>
      </c>
      <c r="C91" s="2" t="s">
        <v>3863</v>
      </c>
      <c r="D91" s="2"/>
      <c r="E91" s="2" t="s">
        <v>3864</v>
      </c>
      <c r="F91" s="2"/>
      <c r="G91" s="1" t="s">
        <v>3864</v>
      </c>
      <c r="H91" s="1" t="s">
        <v>3865</v>
      </c>
      <c r="I91" s="1" t="s">
        <v>3426</v>
      </c>
      <c r="J91" s="1" t="s">
        <v>3693</v>
      </c>
      <c r="K91" s="1">
        <v>2022.0</v>
      </c>
      <c r="L91" s="1">
        <v>2023.0</v>
      </c>
      <c r="M91" s="1" t="s">
        <v>3776</v>
      </c>
    </row>
    <row r="92">
      <c r="A92" s="1" t="s">
        <v>3866</v>
      </c>
      <c r="B92" s="22" t="s">
        <v>3862</v>
      </c>
      <c r="C92" s="2" t="s">
        <v>3867</v>
      </c>
      <c r="D92" s="2"/>
      <c r="E92" s="2" t="s">
        <v>3868</v>
      </c>
      <c r="F92" s="2"/>
      <c r="G92" s="1" t="s">
        <v>3869</v>
      </c>
      <c r="H92" s="1" t="s">
        <v>3870</v>
      </c>
      <c r="I92" s="1" t="s">
        <v>3396</v>
      </c>
      <c r="K92" s="1">
        <v>2012.0</v>
      </c>
      <c r="L92" s="1">
        <v>2019.0</v>
      </c>
      <c r="M92" s="1" t="s">
        <v>3419</v>
      </c>
    </row>
    <row r="93">
      <c r="A93" s="1" t="s">
        <v>3871</v>
      </c>
      <c r="B93" s="22" t="s">
        <v>3862</v>
      </c>
      <c r="C93" s="2" t="s">
        <v>3872</v>
      </c>
      <c r="D93" s="2"/>
      <c r="E93" s="2" t="s">
        <v>3873</v>
      </c>
      <c r="F93" s="2"/>
      <c r="G93" s="1" t="s">
        <v>3873</v>
      </c>
      <c r="H93" s="1" t="s">
        <v>3874</v>
      </c>
      <c r="I93" s="1" t="s">
        <v>3396</v>
      </c>
      <c r="J93" s="1" t="s">
        <v>3875</v>
      </c>
      <c r="K93" s="1">
        <v>2021.0</v>
      </c>
      <c r="L93" s="1">
        <v>2023.0</v>
      </c>
      <c r="M93" s="1" t="s">
        <v>3683</v>
      </c>
    </row>
    <row r="94">
      <c r="A94" s="1" t="s">
        <v>3876</v>
      </c>
      <c r="B94" s="22" t="s">
        <v>3862</v>
      </c>
      <c r="C94" s="2" t="s">
        <v>3877</v>
      </c>
      <c r="D94" s="2"/>
      <c r="E94" s="2" t="s">
        <v>3878</v>
      </c>
      <c r="F94" s="2"/>
      <c r="G94" s="1" t="s">
        <v>3878</v>
      </c>
      <c r="H94" s="1" t="s">
        <v>3879</v>
      </c>
      <c r="I94" s="1" t="s">
        <v>3426</v>
      </c>
      <c r="J94" s="1" t="s">
        <v>3411</v>
      </c>
      <c r="K94" s="1">
        <v>2023.0</v>
      </c>
      <c r="L94" s="1">
        <v>2024.0</v>
      </c>
      <c r="M94" s="1" t="s">
        <v>3561</v>
      </c>
    </row>
    <row r="95">
      <c r="A95" s="1" t="s">
        <v>3880</v>
      </c>
      <c r="B95" s="22" t="s">
        <v>3862</v>
      </c>
      <c r="C95" s="2" t="s">
        <v>3881</v>
      </c>
      <c r="D95" s="2"/>
      <c r="E95" s="2" t="s">
        <v>3882</v>
      </c>
      <c r="F95" s="2"/>
      <c r="G95" s="1" t="s">
        <v>3882</v>
      </c>
      <c r="H95" s="1" t="s">
        <v>3883</v>
      </c>
      <c r="I95" s="1" t="s">
        <v>3396</v>
      </c>
      <c r="J95" s="1" t="s">
        <v>3493</v>
      </c>
      <c r="K95" s="1">
        <v>2011.0</v>
      </c>
      <c r="L95" s="1">
        <v>2014.0</v>
      </c>
      <c r="M95" s="1" t="s">
        <v>3683</v>
      </c>
    </row>
    <row r="96">
      <c r="A96" s="1" t="s">
        <v>3884</v>
      </c>
      <c r="B96" s="22" t="s">
        <v>3862</v>
      </c>
      <c r="C96" s="2" t="s">
        <v>3885</v>
      </c>
      <c r="D96" s="2"/>
      <c r="E96" s="2" t="s">
        <v>3886</v>
      </c>
      <c r="F96" s="2"/>
      <c r="G96" s="1" t="s">
        <v>3886</v>
      </c>
      <c r="H96" s="1" t="s">
        <v>3887</v>
      </c>
      <c r="I96" s="1" t="s">
        <v>3426</v>
      </c>
      <c r="K96" s="1">
        <v>2021.0</v>
      </c>
      <c r="L96" s="1">
        <v>2023.0</v>
      </c>
      <c r="M96" s="1" t="s">
        <v>3419</v>
      </c>
    </row>
    <row r="97">
      <c r="A97" s="1" t="s">
        <v>3888</v>
      </c>
      <c r="B97" s="22" t="s">
        <v>3862</v>
      </c>
      <c r="C97" s="2" t="s">
        <v>3889</v>
      </c>
      <c r="D97" s="2"/>
      <c r="E97" s="2" t="s">
        <v>3890</v>
      </c>
      <c r="F97" s="2"/>
      <c r="G97" s="1" t="s">
        <v>3890</v>
      </c>
      <c r="H97" s="1" t="s">
        <v>3891</v>
      </c>
      <c r="I97" s="1" t="s">
        <v>3396</v>
      </c>
      <c r="K97" s="1">
        <v>2018.0</v>
      </c>
      <c r="L97" s="1">
        <v>2018.0</v>
      </c>
      <c r="M97" s="1" t="s">
        <v>3433</v>
      </c>
    </row>
    <row r="98">
      <c r="A98" s="1" t="s">
        <v>3892</v>
      </c>
      <c r="B98" s="22" t="s">
        <v>3862</v>
      </c>
      <c r="C98" s="2" t="s">
        <v>3893</v>
      </c>
      <c r="D98" s="2"/>
      <c r="E98" s="2" t="s">
        <v>3894</v>
      </c>
      <c r="F98" s="2"/>
      <c r="G98" s="1" t="s">
        <v>3894</v>
      </c>
      <c r="H98" s="1" t="s">
        <v>3895</v>
      </c>
      <c r="I98" s="1" t="s">
        <v>3426</v>
      </c>
      <c r="J98" s="1" t="s">
        <v>3411</v>
      </c>
      <c r="K98" s="1">
        <v>2022.0</v>
      </c>
      <c r="L98" s="1">
        <v>2023.0</v>
      </c>
      <c r="M98" s="1" t="s">
        <v>3419</v>
      </c>
    </row>
    <row r="99">
      <c r="A99" s="1" t="s">
        <v>3896</v>
      </c>
      <c r="B99" s="22" t="s">
        <v>3862</v>
      </c>
      <c r="C99" s="2" t="s">
        <v>3897</v>
      </c>
      <c r="D99" s="2"/>
      <c r="E99" s="2" t="s">
        <v>3898</v>
      </c>
      <c r="F99" s="2"/>
      <c r="G99" s="1" t="s">
        <v>3898</v>
      </c>
      <c r="H99" s="1" t="s">
        <v>3899</v>
      </c>
      <c r="I99" s="1" t="s">
        <v>3426</v>
      </c>
      <c r="J99" s="1" t="s">
        <v>3512</v>
      </c>
      <c r="K99" s="1">
        <v>2023.0</v>
      </c>
      <c r="L99" s="1">
        <v>2023.0</v>
      </c>
      <c r="M99" s="1" t="s">
        <v>3561</v>
      </c>
    </row>
    <row r="100">
      <c r="A100" s="1" t="s">
        <v>3900</v>
      </c>
      <c r="B100" s="22" t="s">
        <v>3862</v>
      </c>
      <c r="C100" s="2" t="s">
        <v>3901</v>
      </c>
      <c r="D100" s="2"/>
      <c r="E100" s="2" t="s">
        <v>3902</v>
      </c>
      <c r="F100" s="2"/>
      <c r="G100" s="1" t="s">
        <v>3902</v>
      </c>
      <c r="H100" s="1" t="s">
        <v>3903</v>
      </c>
      <c r="I100" s="1" t="s">
        <v>3426</v>
      </c>
      <c r="J100" s="1" t="s">
        <v>3411</v>
      </c>
      <c r="K100" s="1">
        <v>2023.0</v>
      </c>
      <c r="L100" s="1">
        <v>2023.0</v>
      </c>
      <c r="M100" s="1" t="s">
        <v>3398</v>
      </c>
    </row>
    <row r="101">
      <c r="A101" s="1" t="s">
        <v>3904</v>
      </c>
      <c r="B101" s="22" t="s">
        <v>3862</v>
      </c>
      <c r="C101" s="2" t="s">
        <v>3905</v>
      </c>
      <c r="D101" s="2"/>
      <c r="E101" s="2" t="s">
        <v>3906</v>
      </c>
      <c r="F101" s="2"/>
      <c r="G101" s="1" t="s">
        <v>3906</v>
      </c>
      <c r="H101" s="1" t="s">
        <v>3907</v>
      </c>
      <c r="I101" s="1" t="s">
        <v>3426</v>
      </c>
      <c r="J101" s="1" t="s">
        <v>3583</v>
      </c>
      <c r="K101" s="1">
        <v>2024.0</v>
      </c>
      <c r="L101" s="1">
        <v>2024.0</v>
      </c>
      <c r="M101" s="1" t="s">
        <v>3561</v>
      </c>
    </row>
    <row r="102">
      <c r="A102" s="1" t="s">
        <v>3908</v>
      </c>
      <c r="B102" s="22" t="s">
        <v>3862</v>
      </c>
      <c r="C102" s="2" t="s">
        <v>3909</v>
      </c>
      <c r="D102" s="2"/>
      <c r="E102" s="2" t="s">
        <v>3910</v>
      </c>
      <c r="F102" s="2"/>
      <c r="G102" s="1" t="s">
        <v>3911</v>
      </c>
      <c r="H102" s="1" t="s">
        <v>3912</v>
      </c>
      <c r="I102" s="1" t="s">
        <v>3426</v>
      </c>
      <c r="J102" s="1" t="s">
        <v>3577</v>
      </c>
      <c r="K102" s="1">
        <v>2021.0</v>
      </c>
      <c r="L102" s="1">
        <v>2021.0</v>
      </c>
      <c r="M102" s="1" t="s">
        <v>3683</v>
      </c>
    </row>
    <row r="103">
      <c r="A103" s="1" t="s">
        <v>3913</v>
      </c>
      <c r="B103" s="22" t="s">
        <v>3862</v>
      </c>
      <c r="C103" s="2" t="s">
        <v>3914</v>
      </c>
      <c r="D103" s="2"/>
      <c r="E103" s="2" t="s">
        <v>3915</v>
      </c>
      <c r="F103" s="2"/>
      <c r="G103" s="1" t="s">
        <v>3915</v>
      </c>
      <c r="H103" s="1" t="s">
        <v>3916</v>
      </c>
      <c r="I103" s="1" t="s">
        <v>3426</v>
      </c>
      <c r="J103" s="1" t="s">
        <v>3411</v>
      </c>
      <c r="K103" s="1">
        <v>2022.0</v>
      </c>
      <c r="L103" s="1">
        <v>2024.0</v>
      </c>
      <c r="M103" s="1" t="s">
        <v>3917</v>
      </c>
    </row>
    <row r="104">
      <c r="A104" s="1" t="s">
        <v>3918</v>
      </c>
      <c r="B104" s="22" t="s">
        <v>3862</v>
      </c>
      <c r="C104" s="2" t="s">
        <v>3919</v>
      </c>
      <c r="D104" s="2"/>
      <c r="E104" s="2" t="s">
        <v>3920</v>
      </c>
      <c r="F104" s="2"/>
      <c r="G104" s="1" t="s">
        <v>3921</v>
      </c>
      <c r="H104" s="1" t="s">
        <v>3922</v>
      </c>
      <c r="I104" s="1" t="s">
        <v>3396</v>
      </c>
      <c r="J104" s="1" t="s">
        <v>3571</v>
      </c>
      <c r="K104" s="1">
        <v>2023.0</v>
      </c>
      <c r="L104" s="1">
        <v>2023.0</v>
      </c>
      <c r="M104" s="1" t="s">
        <v>3561</v>
      </c>
    </row>
    <row r="105">
      <c r="A105" s="1" t="s">
        <v>3923</v>
      </c>
      <c r="B105" s="22" t="s">
        <v>3862</v>
      </c>
      <c r="C105" s="2" t="s">
        <v>3924</v>
      </c>
      <c r="D105" s="2"/>
      <c r="E105" s="2" t="s">
        <v>3925</v>
      </c>
      <c r="F105" s="2"/>
      <c r="G105" s="1" t="s">
        <v>3925</v>
      </c>
      <c r="H105" s="1" t="s">
        <v>3926</v>
      </c>
      <c r="I105" s="1" t="s">
        <v>3396</v>
      </c>
      <c r="J105" s="1" t="s">
        <v>3512</v>
      </c>
      <c r="K105" s="1">
        <v>2024.0</v>
      </c>
      <c r="L105" s="1">
        <v>2024.0</v>
      </c>
      <c r="M105" s="1" t="s">
        <v>3776</v>
      </c>
    </row>
    <row r="106">
      <c r="A106" s="1" t="s">
        <v>3927</v>
      </c>
      <c r="B106" s="22" t="s">
        <v>3862</v>
      </c>
      <c r="C106" s="2" t="s">
        <v>3928</v>
      </c>
      <c r="D106" s="2"/>
      <c r="E106" s="2" t="s">
        <v>3929</v>
      </c>
      <c r="F106" s="2"/>
      <c r="G106" s="1" t="s">
        <v>3929</v>
      </c>
      <c r="H106" s="1" t="s">
        <v>3930</v>
      </c>
      <c r="I106" s="1" t="s">
        <v>3396</v>
      </c>
      <c r="J106" s="1" t="s">
        <v>3577</v>
      </c>
      <c r="K106" s="1">
        <v>2021.0</v>
      </c>
      <c r="L106" s="1">
        <v>2022.0</v>
      </c>
      <c r="M106" s="1" t="s">
        <v>3781</v>
      </c>
    </row>
    <row r="107">
      <c r="A107" s="1" t="s">
        <v>3931</v>
      </c>
      <c r="B107" s="22" t="s">
        <v>3862</v>
      </c>
      <c r="C107" s="2" t="s">
        <v>3932</v>
      </c>
      <c r="D107" s="2"/>
      <c r="E107" s="2" t="s">
        <v>3933</v>
      </c>
      <c r="F107" s="2"/>
      <c r="G107" s="1" t="s">
        <v>3933</v>
      </c>
      <c r="H107" s="1" t="s">
        <v>3934</v>
      </c>
      <c r="I107" s="1" t="s">
        <v>3426</v>
      </c>
      <c r="J107" s="1" t="s">
        <v>3693</v>
      </c>
      <c r="K107" s="1">
        <v>2022.0</v>
      </c>
      <c r="L107" s="1">
        <v>2022.0</v>
      </c>
      <c r="M107" s="1" t="s">
        <v>3935</v>
      </c>
    </row>
    <row r="108">
      <c r="A108" s="1" t="s">
        <v>3936</v>
      </c>
      <c r="B108" s="22" t="s">
        <v>3937</v>
      </c>
      <c r="C108" s="2" t="s">
        <v>3938</v>
      </c>
      <c r="D108" s="2"/>
      <c r="E108" s="2" t="s">
        <v>3939</v>
      </c>
      <c r="F108" s="2"/>
      <c r="G108" s="1" t="s">
        <v>3940</v>
      </c>
      <c r="H108" s="1" t="s">
        <v>3941</v>
      </c>
      <c r="I108" s="1" t="s">
        <v>3396</v>
      </c>
      <c r="J108" s="1" t="s">
        <v>3577</v>
      </c>
      <c r="K108" s="1">
        <v>2019.0</v>
      </c>
      <c r="L108" s="1">
        <v>2019.0</v>
      </c>
      <c r="M108" s="1" t="s">
        <v>3683</v>
      </c>
    </row>
    <row r="109">
      <c r="A109" s="1" t="s">
        <v>3942</v>
      </c>
      <c r="B109" s="22" t="s">
        <v>3937</v>
      </c>
      <c r="C109" s="2" t="s">
        <v>3943</v>
      </c>
      <c r="D109" s="2"/>
      <c r="E109" s="2" t="s">
        <v>3944</v>
      </c>
      <c r="F109" s="2"/>
      <c r="G109" s="1" t="s">
        <v>3944</v>
      </c>
      <c r="H109" s="1" t="s">
        <v>3945</v>
      </c>
      <c r="I109" s="1" t="s">
        <v>3396</v>
      </c>
      <c r="J109" s="1" t="s">
        <v>3577</v>
      </c>
      <c r="K109" s="1">
        <v>2020.0</v>
      </c>
      <c r="L109" s="1">
        <v>2021.0</v>
      </c>
      <c r="M109" s="1" t="s">
        <v>3683</v>
      </c>
    </row>
    <row r="110">
      <c r="A110" s="23"/>
    </row>
    <row r="111">
      <c r="A111" s="6"/>
    </row>
    <row r="112">
      <c r="A112" s="6"/>
    </row>
    <row r="113">
      <c r="A113" s="6"/>
    </row>
    <row r="114">
      <c r="A114" s="6"/>
    </row>
    <row r="115">
      <c r="A115" s="6"/>
    </row>
    <row r="116">
      <c r="A116" s="6"/>
    </row>
    <row r="117">
      <c r="A117" s="6"/>
    </row>
    <row r="118">
      <c r="A118" s="6"/>
    </row>
    <row r="119">
      <c r="A119" s="6"/>
    </row>
    <row r="120">
      <c r="A120" s="6"/>
    </row>
    <row r="121">
      <c r="A121" s="6"/>
    </row>
    <row r="122">
      <c r="A122" s="6"/>
    </row>
    <row r="123">
      <c r="A123" s="6"/>
    </row>
    <row r="124">
      <c r="A124" s="6"/>
    </row>
    <row r="125">
      <c r="A125" s="6"/>
    </row>
    <row r="126">
      <c r="A126" s="6"/>
    </row>
    <row r="127">
      <c r="A127" s="6"/>
    </row>
    <row r="128">
      <c r="A128" s="6"/>
    </row>
    <row r="129">
      <c r="A129" s="6"/>
    </row>
    <row r="130">
      <c r="A130" s="6"/>
    </row>
    <row r="131">
      <c r="A131" s="6"/>
    </row>
    <row r="132">
      <c r="A132" s="6"/>
    </row>
    <row r="133">
      <c r="A133" s="6"/>
    </row>
    <row r="134">
      <c r="A134" s="6"/>
    </row>
    <row r="135">
      <c r="A135" s="6"/>
    </row>
    <row r="136">
      <c r="A136" s="6"/>
    </row>
    <row r="137">
      <c r="A137" s="6"/>
    </row>
    <row r="138">
      <c r="A138" s="6"/>
    </row>
    <row r="139">
      <c r="A139" s="6"/>
    </row>
    <row r="140">
      <c r="A140" s="6"/>
    </row>
    <row r="141">
      <c r="A141" s="6"/>
    </row>
    <row r="142">
      <c r="A142" s="6"/>
    </row>
    <row r="143">
      <c r="A143" s="6"/>
    </row>
    <row r="144">
      <c r="A144" s="6"/>
    </row>
    <row r="145">
      <c r="A145" s="6"/>
    </row>
    <row r="146">
      <c r="A146" s="6"/>
    </row>
    <row r="147">
      <c r="A147" s="6"/>
    </row>
    <row r="148">
      <c r="A148" s="6"/>
    </row>
    <row r="149">
      <c r="A149" s="6"/>
    </row>
    <row r="150">
      <c r="A150" s="6"/>
    </row>
    <row r="151">
      <c r="A151" s="6"/>
    </row>
    <row r="152">
      <c r="A152" s="6"/>
    </row>
    <row r="153">
      <c r="A153" s="6"/>
    </row>
    <row r="154">
      <c r="A154" s="6"/>
    </row>
    <row r="155">
      <c r="A155" s="6"/>
    </row>
    <row r="156">
      <c r="A156" s="6"/>
    </row>
    <row r="157">
      <c r="A157" s="6"/>
    </row>
    <row r="158">
      <c r="A158" s="6"/>
    </row>
    <row r="159">
      <c r="A159" s="6"/>
    </row>
    <row r="160">
      <c r="A160" s="6"/>
    </row>
    <row r="161">
      <c r="A161" s="6"/>
    </row>
    <row r="162">
      <c r="A162" s="6"/>
    </row>
    <row r="163">
      <c r="A163" s="6"/>
    </row>
    <row r="164">
      <c r="A164" s="6"/>
    </row>
    <row r="165">
      <c r="A165" s="6"/>
    </row>
    <row r="166">
      <c r="A166" s="6"/>
    </row>
    <row r="167">
      <c r="A167" s="6"/>
    </row>
    <row r="168">
      <c r="A168" s="6"/>
    </row>
    <row r="169">
      <c r="A169" s="6"/>
    </row>
    <row r="170">
      <c r="A170" s="6"/>
    </row>
    <row r="171">
      <c r="A171" s="6"/>
    </row>
    <row r="172">
      <c r="A172" s="6"/>
    </row>
    <row r="173">
      <c r="A173" s="6"/>
    </row>
    <row r="174">
      <c r="A174" s="6"/>
    </row>
    <row r="175">
      <c r="A175" s="6"/>
    </row>
    <row r="176">
      <c r="A176" s="6"/>
    </row>
    <row r="177">
      <c r="A177" s="6"/>
    </row>
    <row r="178">
      <c r="A178" s="6"/>
    </row>
    <row r="179">
      <c r="A179" s="6"/>
    </row>
    <row r="180">
      <c r="A180" s="6"/>
    </row>
    <row r="181">
      <c r="A181" s="6"/>
    </row>
    <row r="182">
      <c r="A182" s="6"/>
    </row>
    <row r="183">
      <c r="A183" s="6"/>
    </row>
    <row r="184">
      <c r="A184" s="6"/>
    </row>
    <row r="185">
      <c r="A185" s="6"/>
    </row>
    <row r="186">
      <c r="A186" s="6"/>
    </row>
    <row r="187">
      <c r="A187" s="6"/>
    </row>
    <row r="188">
      <c r="A188" s="6"/>
    </row>
    <row r="189">
      <c r="A189" s="6"/>
    </row>
    <row r="190">
      <c r="A190" s="6"/>
    </row>
    <row r="191">
      <c r="A191" s="6"/>
    </row>
    <row r="192">
      <c r="A192" s="6"/>
    </row>
    <row r="193">
      <c r="A193" s="6"/>
    </row>
    <row r="194">
      <c r="A194" s="6"/>
    </row>
    <row r="195">
      <c r="A195" s="6"/>
    </row>
    <row r="196">
      <c r="A196" s="6"/>
    </row>
    <row r="197">
      <c r="A197" s="6"/>
    </row>
    <row r="198">
      <c r="A198" s="6"/>
    </row>
    <row r="199">
      <c r="A199" s="6"/>
    </row>
    <row r="200">
      <c r="A200" s="6"/>
    </row>
    <row r="201">
      <c r="A201" s="6"/>
    </row>
    <row r="202">
      <c r="A202" s="6"/>
    </row>
    <row r="203">
      <c r="A203" s="6"/>
    </row>
    <row r="204">
      <c r="A204" s="6"/>
    </row>
    <row r="205">
      <c r="A205" s="6"/>
    </row>
    <row r="206">
      <c r="A206" s="6"/>
    </row>
    <row r="207">
      <c r="A207" s="6"/>
    </row>
    <row r="208">
      <c r="A208" s="6"/>
    </row>
    <row r="209">
      <c r="A209" s="6"/>
    </row>
    <row r="210">
      <c r="A210" s="6"/>
    </row>
    <row r="211">
      <c r="A211" s="6"/>
    </row>
    <row r="212">
      <c r="A212" s="6"/>
    </row>
    <row r="213">
      <c r="A213" s="6"/>
    </row>
    <row r="214">
      <c r="A214" s="6"/>
    </row>
    <row r="215">
      <c r="A215" s="6"/>
    </row>
    <row r="216">
      <c r="A216" s="6"/>
    </row>
    <row r="217">
      <c r="A217" s="6"/>
    </row>
    <row r="218">
      <c r="A218" s="6"/>
    </row>
    <row r="219">
      <c r="A219" s="6"/>
    </row>
    <row r="220">
      <c r="A220" s="6"/>
    </row>
    <row r="221">
      <c r="A221" s="6"/>
    </row>
    <row r="222">
      <c r="A222" s="6"/>
    </row>
    <row r="223">
      <c r="A223" s="6"/>
    </row>
    <row r="224">
      <c r="A224" s="6"/>
    </row>
    <row r="225">
      <c r="A225" s="6"/>
    </row>
    <row r="226">
      <c r="A226" s="6"/>
    </row>
    <row r="227">
      <c r="A227" s="6"/>
    </row>
    <row r="228">
      <c r="A228" s="6"/>
    </row>
    <row r="229">
      <c r="A229" s="6"/>
    </row>
    <row r="230">
      <c r="A230" s="6"/>
    </row>
    <row r="231">
      <c r="A231" s="6"/>
    </row>
    <row r="232">
      <c r="A232" s="6"/>
    </row>
    <row r="233">
      <c r="A233" s="6"/>
    </row>
    <row r="234">
      <c r="A234" s="6"/>
    </row>
    <row r="235">
      <c r="A235" s="6"/>
    </row>
    <row r="236">
      <c r="A236" s="6"/>
    </row>
    <row r="237">
      <c r="A237" s="6"/>
    </row>
    <row r="238">
      <c r="A238" s="6"/>
    </row>
    <row r="239">
      <c r="A239" s="6"/>
    </row>
    <row r="240">
      <c r="A240" s="6"/>
    </row>
    <row r="241">
      <c r="A241" s="6"/>
    </row>
    <row r="242">
      <c r="A242" s="6"/>
    </row>
    <row r="243">
      <c r="A243" s="6"/>
    </row>
    <row r="244">
      <c r="A244" s="6"/>
    </row>
    <row r="245">
      <c r="A245" s="6"/>
    </row>
    <row r="246">
      <c r="A246" s="6"/>
    </row>
    <row r="247">
      <c r="A247" s="6"/>
    </row>
    <row r="248">
      <c r="A248" s="6"/>
    </row>
    <row r="249">
      <c r="A249" s="6"/>
    </row>
    <row r="250">
      <c r="A250" s="6"/>
    </row>
    <row r="251">
      <c r="A251" s="6"/>
    </row>
    <row r="252">
      <c r="A252" s="6"/>
    </row>
    <row r="253">
      <c r="A253" s="6"/>
    </row>
    <row r="254">
      <c r="A254" s="6"/>
    </row>
    <row r="255">
      <c r="A255" s="6"/>
    </row>
    <row r="256">
      <c r="A256" s="6"/>
    </row>
    <row r="257">
      <c r="A257" s="6"/>
    </row>
    <row r="258">
      <c r="A258" s="6"/>
    </row>
    <row r="259">
      <c r="A259" s="6"/>
    </row>
    <row r="260">
      <c r="A260" s="6"/>
    </row>
    <row r="261">
      <c r="A261" s="6"/>
    </row>
    <row r="262">
      <c r="A262" s="6"/>
    </row>
    <row r="263">
      <c r="A263" s="6"/>
    </row>
    <row r="264">
      <c r="A264" s="6"/>
    </row>
    <row r="265">
      <c r="A265" s="6"/>
    </row>
    <row r="266">
      <c r="A266" s="6"/>
    </row>
    <row r="267">
      <c r="A267" s="6"/>
    </row>
    <row r="268">
      <c r="A268" s="6"/>
    </row>
    <row r="269">
      <c r="A269" s="6"/>
    </row>
    <row r="270">
      <c r="A270" s="6"/>
    </row>
    <row r="271">
      <c r="A271" s="6"/>
    </row>
    <row r="272">
      <c r="A272" s="6"/>
    </row>
    <row r="273">
      <c r="A273" s="6"/>
    </row>
    <row r="274">
      <c r="A274" s="6"/>
    </row>
    <row r="275">
      <c r="A275" s="6"/>
    </row>
    <row r="276">
      <c r="A276" s="6"/>
    </row>
    <row r="277">
      <c r="A277" s="6"/>
    </row>
    <row r="278">
      <c r="A278" s="6"/>
    </row>
    <row r="279">
      <c r="A279" s="6"/>
    </row>
    <row r="280">
      <c r="A280" s="6"/>
    </row>
    <row r="281">
      <c r="A281" s="6"/>
    </row>
    <row r="282">
      <c r="A282" s="6"/>
    </row>
    <row r="283">
      <c r="A283" s="6"/>
    </row>
    <row r="284">
      <c r="A284" s="6"/>
    </row>
    <row r="285">
      <c r="A285" s="6"/>
    </row>
    <row r="286">
      <c r="A286" s="6"/>
    </row>
    <row r="287">
      <c r="A287" s="6"/>
    </row>
    <row r="288">
      <c r="A288" s="6"/>
    </row>
    <row r="289">
      <c r="A289" s="6"/>
    </row>
    <row r="290">
      <c r="A290" s="6"/>
    </row>
    <row r="291">
      <c r="A291" s="6"/>
    </row>
    <row r="292">
      <c r="A292" s="6"/>
    </row>
    <row r="293">
      <c r="A293" s="6"/>
    </row>
    <row r="294">
      <c r="A294" s="6"/>
    </row>
    <row r="295">
      <c r="A295" s="6"/>
    </row>
    <row r="296">
      <c r="A296" s="6"/>
    </row>
    <row r="297">
      <c r="A297" s="6"/>
    </row>
    <row r="298">
      <c r="A298" s="6"/>
    </row>
    <row r="299">
      <c r="A299" s="6"/>
    </row>
    <row r="300">
      <c r="A300" s="6"/>
    </row>
    <row r="301">
      <c r="A301" s="6"/>
    </row>
    <row r="302">
      <c r="A302" s="6"/>
    </row>
    <row r="303">
      <c r="A303" s="6"/>
    </row>
    <row r="304">
      <c r="A304" s="6"/>
    </row>
    <row r="305">
      <c r="A305" s="6"/>
    </row>
    <row r="306">
      <c r="A306" s="6"/>
    </row>
    <row r="307">
      <c r="A307" s="6"/>
    </row>
    <row r="308">
      <c r="A308" s="6"/>
    </row>
    <row r="309">
      <c r="A309" s="6"/>
    </row>
    <row r="310">
      <c r="A310" s="6"/>
    </row>
    <row r="311">
      <c r="A311" s="6"/>
    </row>
    <row r="312">
      <c r="A312" s="6"/>
    </row>
    <row r="313">
      <c r="A313" s="6"/>
    </row>
    <row r="314">
      <c r="A314" s="6"/>
    </row>
    <row r="315">
      <c r="A315" s="6"/>
    </row>
    <row r="316">
      <c r="A316" s="6"/>
    </row>
    <row r="317">
      <c r="A317" s="6"/>
    </row>
    <row r="318">
      <c r="A318" s="6"/>
    </row>
    <row r="319">
      <c r="A319" s="6"/>
    </row>
    <row r="320">
      <c r="A320" s="6"/>
    </row>
    <row r="321">
      <c r="A321" s="6"/>
    </row>
    <row r="322">
      <c r="A322" s="6"/>
    </row>
    <row r="323">
      <c r="A323" s="6"/>
    </row>
    <row r="324">
      <c r="A324" s="6"/>
    </row>
    <row r="325">
      <c r="A325" s="6"/>
    </row>
    <row r="326">
      <c r="A326" s="6"/>
    </row>
    <row r="327">
      <c r="A327" s="6"/>
    </row>
    <row r="328">
      <c r="A328" s="6"/>
    </row>
    <row r="329">
      <c r="A329" s="6"/>
    </row>
    <row r="330">
      <c r="A330" s="6"/>
    </row>
    <row r="331">
      <c r="A331" s="6"/>
    </row>
    <row r="332">
      <c r="A332" s="6"/>
    </row>
    <row r="333">
      <c r="A333" s="6"/>
    </row>
    <row r="334">
      <c r="A334" s="6"/>
    </row>
    <row r="335">
      <c r="A335" s="6"/>
    </row>
    <row r="336">
      <c r="A336" s="6"/>
    </row>
    <row r="337">
      <c r="A337" s="6"/>
    </row>
    <row r="338">
      <c r="A338" s="6"/>
    </row>
    <row r="339">
      <c r="A339" s="6"/>
    </row>
    <row r="340">
      <c r="A340" s="6"/>
    </row>
    <row r="341">
      <c r="A341" s="6"/>
    </row>
    <row r="342">
      <c r="A342" s="6"/>
    </row>
    <row r="343">
      <c r="A343" s="6"/>
    </row>
    <row r="344">
      <c r="A344" s="6"/>
    </row>
    <row r="345">
      <c r="A345" s="6"/>
    </row>
    <row r="346">
      <c r="A346" s="6"/>
    </row>
    <row r="347">
      <c r="A347" s="6"/>
    </row>
    <row r="348">
      <c r="A348" s="6"/>
    </row>
    <row r="349">
      <c r="A349" s="6"/>
    </row>
    <row r="350">
      <c r="A350" s="6"/>
    </row>
    <row r="351">
      <c r="A351" s="6"/>
    </row>
    <row r="352">
      <c r="A352" s="6"/>
    </row>
    <row r="353">
      <c r="A353" s="6"/>
    </row>
    <row r="354">
      <c r="A354" s="6"/>
    </row>
    <row r="355">
      <c r="A355" s="6"/>
    </row>
    <row r="356">
      <c r="A356" s="6"/>
    </row>
    <row r="357">
      <c r="A357" s="6"/>
    </row>
    <row r="358">
      <c r="A358" s="6"/>
    </row>
    <row r="359">
      <c r="A359" s="6"/>
    </row>
    <row r="360">
      <c r="A360" s="6"/>
    </row>
    <row r="361">
      <c r="A361" s="6"/>
    </row>
    <row r="362">
      <c r="A362" s="6"/>
    </row>
    <row r="363">
      <c r="A363" s="6"/>
    </row>
    <row r="364">
      <c r="A364" s="6"/>
    </row>
    <row r="365">
      <c r="A365" s="6"/>
    </row>
    <row r="366">
      <c r="A366" s="6"/>
    </row>
    <row r="367">
      <c r="A367" s="6"/>
    </row>
    <row r="368">
      <c r="A368" s="6"/>
    </row>
    <row r="369">
      <c r="A369" s="6"/>
    </row>
    <row r="370">
      <c r="A370" s="6"/>
    </row>
    <row r="371">
      <c r="A371" s="6"/>
    </row>
    <row r="372">
      <c r="A372" s="6"/>
    </row>
    <row r="373">
      <c r="A373" s="6"/>
    </row>
    <row r="374">
      <c r="A374" s="6"/>
    </row>
    <row r="375">
      <c r="A375" s="6"/>
    </row>
    <row r="376">
      <c r="A376" s="6"/>
    </row>
    <row r="377">
      <c r="A377" s="6"/>
    </row>
    <row r="378">
      <c r="A378" s="6"/>
    </row>
    <row r="379">
      <c r="A379" s="6"/>
    </row>
    <row r="380">
      <c r="A380" s="6"/>
    </row>
    <row r="381">
      <c r="A381" s="6"/>
    </row>
    <row r="382">
      <c r="A382" s="6"/>
    </row>
    <row r="383">
      <c r="A383" s="6"/>
    </row>
    <row r="384">
      <c r="A384" s="6"/>
    </row>
    <row r="385">
      <c r="A385" s="6"/>
    </row>
    <row r="386">
      <c r="A386" s="6"/>
    </row>
    <row r="387">
      <c r="A387" s="6"/>
    </row>
    <row r="388">
      <c r="A388" s="6"/>
    </row>
    <row r="389">
      <c r="A389" s="6"/>
    </row>
    <row r="390">
      <c r="A390" s="6"/>
    </row>
    <row r="391">
      <c r="A391" s="6"/>
    </row>
    <row r="392">
      <c r="A392" s="6"/>
    </row>
    <row r="393">
      <c r="A393" s="6"/>
    </row>
    <row r="394">
      <c r="A394" s="6"/>
    </row>
    <row r="395">
      <c r="A395" s="6"/>
    </row>
    <row r="396">
      <c r="A396" s="6"/>
    </row>
    <row r="397">
      <c r="A397" s="6"/>
    </row>
    <row r="398">
      <c r="A398" s="6"/>
    </row>
    <row r="399">
      <c r="A399" s="6"/>
    </row>
    <row r="400">
      <c r="A400" s="6"/>
    </row>
    <row r="401">
      <c r="A401" s="6"/>
    </row>
    <row r="402">
      <c r="A402" s="6"/>
    </row>
    <row r="403">
      <c r="A403" s="6"/>
    </row>
    <row r="404">
      <c r="A404" s="6"/>
    </row>
    <row r="405">
      <c r="A405" s="6"/>
    </row>
    <row r="406">
      <c r="A406" s="6"/>
    </row>
    <row r="407">
      <c r="A407" s="6"/>
    </row>
    <row r="408">
      <c r="A408" s="6"/>
    </row>
    <row r="409">
      <c r="A409" s="6"/>
    </row>
    <row r="410">
      <c r="A410" s="6"/>
    </row>
    <row r="411">
      <c r="A411" s="6"/>
    </row>
    <row r="412">
      <c r="A412" s="6"/>
    </row>
    <row r="413">
      <c r="A413" s="6"/>
    </row>
    <row r="414">
      <c r="A414" s="6"/>
    </row>
    <row r="415">
      <c r="A415" s="6"/>
    </row>
    <row r="416">
      <c r="A416" s="6"/>
    </row>
    <row r="417">
      <c r="A417" s="6"/>
    </row>
    <row r="418">
      <c r="A418" s="6"/>
    </row>
    <row r="419">
      <c r="A419" s="6"/>
    </row>
    <row r="420">
      <c r="A420" s="6"/>
    </row>
    <row r="421">
      <c r="A421" s="6"/>
    </row>
    <row r="422">
      <c r="A422" s="6"/>
    </row>
    <row r="423">
      <c r="A423" s="6"/>
    </row>
    <row r="424">
      <c r="A424" s="6"/>
    </row>
    <row r="425">
      <c r="A425" s="6"/>
    </row>
    <row r="426">
      <c r="A426" s="6"/>
    </row>
    <row r="427">
      <c r="A427" s="6"/>
    </row>
    <row r="428">
      <c r="A428" s="6"/>
    </row>
    <row r="429">
      <c r="A429" s="6"/>
    </row>
    <row r="430">
      <c r="A430" s="6"/>
    </row>
    <row r="431">
      <c r="A431" s="6"/>
    </row>
    <row r="432">
      <c r="A432" s="6"/>
    </row>
    <row r="433">
      <c r="A433" s="6"/>
    </row>
    <row r="434">
      <c r="A434" s="6"/>
    </row>
    <row r="435">
      <c r="A435" s="6"/>
    </row>
    <row r="436">
      <c r="A436" s="6"/>
    </row>
    <row r="437">
      <c r="A437" s="6"/>
    </row>
    <row r="438">
      <c r="A438" s="6"/>
    </row>
    <row r="439">
      <c r="A439" s="6"/>
    </row>
    <row r="440">
      <c r="A440" s="6"/>
    </row>
    <row r="441">
      <c r="A441" s="6"/>
    </row>
    <row r="442">
      <c r="A442" s="6"/>
    </row>
    <row r="443">
      <c r="A443" s="6"/>
    </row>
    <row r="444">
      <c r="A444" s="6"/>
    </row>
    <row r="445">
      <c r="A445" s="6"/>
    </row>
    <row r="446">
      <c r="A446" s="6"/>
    </row>
    <row r="447">
      <c r="A447" s="6"/>
    </row>
    <row r="448">
      <c r="A448" s="6"/>
    </row>
    <row r="449">
      <c r="A449" s="6"/>
    </row>
    <row r="450">
      <c r="A450" s="6"/>
    </row>
    <row r="451">
      <c r="A451" s="6"/>
    </row>
    <row r="452">
      <c r="A452" s="6"/>
    </row>
    <row r="453">
      <c r="A453" s="6"/>
    </row>
    <row r="454">
      <c r="A454" s="6"/>
    </row>
    <row r="455">
      <c r="A455" s="6"/>
    </row>
    <row r="456">
      <c r="A456" s="6"/>
    </row>
    <row r="457">
      <c r="A457" s="6"/>
    </row>
    <row r="458">
      <c r="A458" s="6"/>
    </row>
    <row r="459">
      <c r="A459" s="6"/>
    </row>
    <row r="460">
      <c r="A460" s="6"/>
    </row>
    <row r="461">
      <c r="A461" s="6"/>
    </row>
    <row r="462">
      <c r="A462" s="6"/>
    </row>
    <row r="463">
      <c r="A463" s="6"/>
    </row>
    <row r="464">
      <c r="A464" s="6"/>
    </row>
    <row r="465">
      <c r="A465" s="6"/>
    </row>
    <row r="466">
      <c r="A466" s="6"/>
    </row>
    <row r="467">
      <c r="A467" s="6"/>
    </row>
    <row r="468">
      <c r="A468" s="6"/>
    </row>
    <row r="469">
      <c r="A469" s="6"/>
    </row>
    <row r="470">
      <c r="A470" s="6"/>
    </row>
    <row r="471">
      <c r="A471" s="6"/>
    </row>
    <row r="472">
      <c r="A472" s="6"/>
    </row>
    <row r="473">
      <c r="A473" s="6"/>
    </row>
    <row r="474">
      <c r="A474" s="6"/>
    </row>
    <row r="475">
      <c r="A475" s="6"/>
    </row>
    <row r="476">
      <c r="A476" s="6"/>
    </row>
    <row r="477">
      <c r="A477" s="6"/>
    </row>
    <row r="478">
      <c r="A478" s="6"/>
    </row>
    <row r="479">
      <c r="A479" s="6"/>
    </row>
    <row r="480">
      <c r="A480" s="6"/>
    </row>
    <row r="481">
      <c r="A481" s="6"/>
    </row>
    <row r="482">
      <c r="A482" s="6"/>
    </row>
    <row r="483">
      <c r="A483" s="6"/>
    </row>
    <row r="484">
      <c r="A484" s="6"/>
    </row>
    <row r="485">
      <c r="A485" s="6"/>
    </row>
    <row r="486">
      <c r="A486" s="6"/>
    </row>
    <row r="487">
      <c r="A487" s="6"/>
    </row>
    <row r="488">
      <c r="A488" s="6"/>
    </row>
    <row r="489">
      <c r="A489" s="6"/>
    </row>
    <row r="490">
      <c r="A490" s="6"/>
    </row>
    <row r="491">
      <c r="A491" s="6"/>
    </row>
    <row r="492">
      <c r="A492" s="6"/>
    </row>
    <row r="493">
      <c r="A493" s="6"/>
    </row>
    <row r="494">
      <c r="A494" s="6"/>
    </row>
    <row r="495">
      <c r="A495" s="6"/>
    </row>
    <row r="496">
      <c r="A496" s="6"/>
    </row>
    <row r="497">
      <c r="A497" s="6"/>
    </row>
    <row r="498">
      <c r="A498" s="6"/>
    </row>
    <row r="499">
      <c r="A499" s="6"/>
    </row>
    <row r="500">
      <c r="A500" s="6"/>
    </row>
    <row r="501">
      <c r="A501" s="6"/>
    </row>
    <row r="502">
      <c r="A502" s="6"/>
    </row>
    <row r="503">
      <c r="A503" s="6"/>
    </row>
    <row r="504">
      <c r="A504" s="6"/>
    </row>
    <row r="505">
      <c r="A505" s="6"/>
    </row>
    <row r="506">
      <c r="A506" s="6"/>
    </row>
    <row r="507">
      <c r="A507" s="6"/>
    </row>
    <row r="508">
      <c r="A508" s="6"/>
    </row>
    <row r="509">
      <c r="A509" s="6"/>
    </row>
    <row r="510">
      <c r="A510" s="6"/>
    </row>
    <row r="511">
      <c r="A511" s="6"/>
    </row>
    <row r="512">
      <c r="A512" s="6"/>
    </row>
    <row r="513">
      <c r="A513" s="6"/>
    </row>
    <row r="514">
      <c r="A514" s="6"/>
    </row>
    <row r="515">
      <c r="A515" s="6"/>
    </row>
    <row r="516">
      <c r="A516" s="6"/>
    </row>
    <row r="517">
      <c r="A517" s="6"/>
    </row>
    <row r="518">
      <c r="A518" s="6"/>
    </row>
    <row r="519">
      <c r="A519" s="6"/>
    </row>
    <row r="520">
      <c r="A520" s="6"/>
    </row>
    <row r="521">
      <c r="A521" s="6"/>
    </row>
    <row r="522">
      <c r="A522" s="6"/>
    </row>
    <row r="523">
      <c r="A523" s="6"/>
    </row>
    <row r="524">
      <c r="A524" s="6"/>
    </row>
    <row r="525">
      <c r="A525" s="6"/>
    </row>
    <row r="526">
      <c r="A526" s="6"/>
    </row>
    <row r="527">
      <c r="A527" s="6"/>
    </row>
    <row r="528">
      <c r="A528" s="6"/>
    </row>
    <row r="529">
      <c r="A529" s="6"/>
    </row>
    <row r="530">
      <c r="A530" s="6"/>
    </row>
    <row r="531">
      <c r="A531" s="6"/>
    </row>
    <row r="532">
      <c r="A532" s="6"/>
    </row>
    <row r="533">
      <c r="A533" s="6"/>
    </row>
    <row r="534">
      <c r="A534" s="6"/>
    </row>
    <row r="535">
      <c r="A535" s="6"/>
    </row>
    <row r="536">
      <c r="A536" s="6"/>
    </row>
    <row r="537">
      <c r="A537" s="6"/>
    </row>
    <row r="538">
      <c r="A538" s="6"/>
    </row>
    <row r="539">
      <c r="A539" s="6"/>
    </row>
    <row r="540">
      <c r="A540" s="6"/>
    </row>
    <row r="541">
      <c r="A541" s="6"/>
    </row>
    <row r="542">
      <c r="A542" s="6"/>
    </row>
    <row r="543">
      <c r="A543" s="6"/>
    </row>
    <row r="544">
      <c r="A544" s="6"/>
    </row>
    <row r="545">
      <c r="A545" s="6"/>
    </row>
    <row r="546">
      <c r="A546" s="6"/>
    </row>
    <row r="547">
      <c r="A547" s="6"/>
    </row>
    <row r="548">
      <c r="A548" s="6"/>
    </row>
    <row r="549">
      <c r="A549" s="6"/>
    </row>
    <row r="550">
      <c r="A550" s="6"/>
    </row>
    <row r="551">
      <c r="A551" s="6"/>
    </row>
    <row r="552">
      <c r="A552" s="6"/>
    </row>
    <row r="553">
      <c r="A553" s="6"/>
    </row>
    <row r="554">
      <c r="A554" s="6"/>
    </row>
    <row r="555">
      <c r="A555" s="6"/>
    </row>
    <row r="556">
      <c r="A556" s="6"/>
    </row>
    <row r="557">
      <c r="A557" s="6"/>
    </row>
    <row r="558">
      <c r="A558" s="6"/>
    </row>
    <row r="559">
      <c r="A559" s="6"/>
    </row>
    <row r="560">
      <c r="A560" s="6"/>
    </row>
    <row r="561">
      <c r="A561" s="6"/>
    </row>
    <row r="562">
      <c r="A562" s="6"/>
    </row>
    <row r="563">
      <c r="A563" s="6"/>
    </row>
    <row r="564">
      <c r="A564" s="6"/>
    </row>
    <row r="565">
      <c r="A565" s="6"/>
    </row>
    <row r="566">
      <c r="A566" s="6"/>
    </row>
    <row r="567">
      <c r="A567" s="6"/>
    </row>
    <row r="568">
      <c r="A568" s="6"/>
    </row>
    <row r="569">
      <c r="A569" s="6"/>
    </row>
    <row r="570">
      <c r="A570" s="6"/>
    </row>
    <row r="571">
      <c r="A571" s="6"/>
    </row>
    <row r="572">
      <c r="A572" s="6"/>
    </row>
    <row r="573">
      <c r="A573" s="6"/>
    </row>
    <row r="574">
      <c r="A574" s="6"/>
    </row>
    <row r="575">
      <c r="A575" s="6"/>
    </row>
    <row r="576">
      <c r="A576" s="6"/>
    </row>
    <row r="577">
      <c r="A577" s="6"/>
    </row>
    <row r="578">
      <c r="A578" s="6"/>
    </row>
    <row r="579">
      <c r="A579" s="6"/>
    </row>
    <row r="580">
      <c r="A580" s="6"/>
    </row>
    <row r="581">
      <c r="A581" s="6"/>
    </row>
    <row r="582">
      <c r="A582" s="6"/>
    </row>
    <row r="583">
      <c r="A583" s="6"/>
    </row>
    <row r="584">
      <c r="A584" s="6"/>
    </row>
    <row r="585">
      <c r="A585" s="6"/>
    </row>
    <row r="586">
      <c r="A586" s="6"/>
    </row>
    <row r="587">
      <c r="A587" s="6"/>
    </row>
    <row r="588">
      <c r="A588" s="6"/>
    </row>
    <row r="589">
      <c r="A589" s="6"/>
    </row>
    <row r="590">
      <c r="A590" s="6"/>
    </row>
    <row r="591">
      <c r="A591" s="6"/>
    </row>
    <row r="592">
      <c r="A592" s="6"/>
    </row>
    <row r="593">
      <c r="A593" s="6"/>
    </row>
    <row r="594">
      <c r="A594" s="6"/>
    </row>
    <row r="595">
      <c r="A595" s="6"/>
    </row>
    <row r="596">
      <c r="A596" s="6"/>
    </row>
    <row r="597">
      <c r="A597" s="6"/>
    </row>
    <row r="598">
      <c r="A598" s="6"/>
    </row>
    <row r="599">
      <c r="A599" s="6"/>
    </row>
    <row r="600">
      <c r="A600" s="6"/>
    </row>
    <row r="601">
      <c r="A601" s="6"/>
    </row>
    <row r="602">
      <c r="A602" s="6"/>
    </row>
    <row r="603">
      <c r="A603" s="6"/>
    </row>
    <row r="604">
      <c r="A604" s="6"/>
    </row>
    <row r="605">
      <c r="A605" s="6"/>
    </row>
    <row r="606">
      <c r="A606" s="6"/>
    </row>
    <row r="607">
      <c r="A607" s="6"/>
    </row>
    <row r="608">
      <c r="A608" s="6"/>
    </row>
    <row r="609">
      <c r="A609" s="6"/>
    </row>
    <row r="610">
      <c r="A610" s="6"/>
    </row>
    <row r="611">
      <c r="A611" s="6"/>
    </row>
    <row r="612">
      <c r="A612" s="6"/>
    </row>
    <row r="613">
      <c r="A613" s="6"/>
    </row>
    <row r="614">
      <c r="A614" s="6"/>
    </row>
    <row r="615">
      <c r="A615" s="6"/>
    </row>
    <row r="616">
      <c r="A616" s="6"/>
    </row>
    <row r="617">
      <c r="A617" s="6"/>
    </row>
    <row r="618">
      <c r="A618" s="6"/>
    </row>
    <row r="619">
      <c r="A619" s="6"/>
    </row>
    <row r="620">
      <c r="A620" s="6"/>
    </row>
    <row r="621">
      <c r="A621" s="6"/>
    </row>
    <row r="622">
      <c r="A622" s="6"/>
    </row>
    <row r="623">
      <c r="A623" s="6"/>
    </row>
    <row r="624">
      <c r="A624" s="6"/>
    </row>
    <row r="625">
      <c r="A625" s="6"/>
    </row>
    <row r="626">
      <c r="A626" s="6"/>
    </row>
    <row r="627">
      <c r="A627" s="6"/>
    </row>
    <row r="628">
      <c r="A628" s="6"/>
    </row>
    <row r="629">
      <c r="A629" s="6"/>
    </row>
    <row r="630">
      <c r="A630" s="6"/>
    </row>
    <row r="631">
      <c r="A631" s="6"/>
    </row>
    <row r="632">
      <c r="A632" s="6"/>
    </row>
    <row r="633">
      <c r="A633" s="6"/>
    </row>
    <row r="634">
      <c r="A634" s="6"/>
    </row>
    <row r="635">
      <c r="A635" s="6"/>
    </row>
    <row r="636">
      <c r="A636" s="6"/>
    </row>
    <row r="637">
      <c r="A637" s="6"/>
    </row>
    <row r="638">
      <c r="A638" s="6"/>
    </row>
    <row r="639">
      <c r="A639" s="6"/>
    </row>
    <row r="640">
      <c r="A640" s="6"/>
    </row>
    <row r="641">
      <c r="A641" s="6"/>
    </row>
    <row r="642">
      <c r="A642" s="6"/>
    </row>
    <row r="643">
      <c r="A643" s="6"/>
    </row>
    <row r="644">
      <c r="A644" s="6"/>
    </row>
    <row r="645">
      <c r="A645" s="6"/>
    </row>
    <row r="646">
      <c r="A646" s="6"/>
    </row>
    <row r="647">
      <c r="A647" s="6"/>
    </row>
    <row r="648">
      <c r="A648" s="6"/>
    </row>
    <row r="649">
      <c r="A649" s="6"/>
    </row>
    <row r="650">
      <c r="A650" s="6"/>
    </row>
    <row r="651">
      <c r="A651" s="6"/>
    </row>
    <row r="652">
      <c r="A652" s="6"/>
    </row>
    <row r="653">
      <c r="A653" s="6"/>
    </row>
    <row r="654">
      <c r="A654" s="6"/>
    </row>
    <row r="655">
      <c r="A655" s="6"/>
    </row>
    <row r="656">
      <c r="A656" s="6"/>
    </row>
    <row r="657">
      <c r="A657" s="6"/>
    </row>
    <row r="658">
      <c r="A658" s="6"/>
    </row>
    <row r="659">
      <c r="A659" s="6"/>
    </row>
    <row r="660">
      <c r="A660" s="6"/>
    </row>
    <row r="661">
      <c r="A661" s="6"/>
    </row>
    <row r="662">
      <c r="A662" s="6"/>
    </row>
    <row r="663">
      <c r="A663" s="6"/>
    </row>
    <row r="664">
      <c r="A664" s="6"/>
    </row>
    <row r="665">
      <c r="A665" s="6"/>
    </row>
    <row r="666">
      <c r="A666" s="6"/>
    </row>
    <row r="667">
      <c r="A667" s="6"/>
    </row>
    <row r="668">
      <c r="A668" s="6"/>
    </row>
    <row r="669">
      <c r="A669" s="6"/>
    </row>
    <row r="670">
      <c r="A670" s="6"/>
    </row>
    <row r="671">
      <c r="A671" s="6"/>
    </row>
    <row r="672">
      <c r="A672" s="6"/>
    </row>
    <row r="673">
      <c r="A673" s="6"/>
    </row>
    <row r="674">
      <c r="A674" s="6"/>
    </row>
    <row r="675">
      <c r="A675" s="6"/>
    </row>
    <row r="676">
      <c r="A676" s="6"/>
    </row>
    <row r="677">
      <c r="A677" s="6"/>
    </row>
    <row r="678">
      <c r="A678" s="6"/>
    </row>
    <row r="679">
      <c r="A679" s="6"/>
    </row>
    <row r="680">
      <c r="A680" s="6"/>
    </row>
    <row r="681">
      <c r="A681" s="6"/>
    </row>
    <row r="682">
      <c r="A682" s="6"/>
    </row>
    <row r="683">
      <c r="A683" s="6"/>
    </row>
    <row r="684">
      <c r="A684" s="6"/>
    </row>
    <row r="685">
      <c r="A685" s="6"/>
    </row>
    <row r="686">
      <c r="A686" s="6"/>
    </row>
    <row r="687">
      <c r="A687" s="6"/>
    </row>
    <row r="688">
      <c r="A688" s="6"/>
    </row>
    <row r="689">
      <c r="A689" s="6"/>
    </row>
    <row r="690">
      <c r="A690" s="6"/>
    </row>
    <row r="691">
      <c r="A691" s="6"/>
    </row>
    <row r="692">
      <c r="A692" s="6"/>
    </row>
    <row r="693">
      <c r="A693" s="6"/>
    </row>
    <row r="694">
      <c r="A694" s="6"/>
    </row>
    <row r="695">
      <c r="A695" s="6"/>
    </row>
    <row r="696">
      <c r="A696" s="6"/>
    </row>
    <row r="697">
      <c r="A697" s="6"/>
    </row>
    <row r="698">
      <c r="A698" s="6"/>
    </row>
    <row r="699">
      <c r="A699" s="6"/>
    </row>
    <row r="700">
      <c r="A700" s="6"/>
    </row>
    <row r="701">
      <c r="A701" s="6"/>
    </row>
    <row r="702">
      <c r="A702" s="6"/>
    </row>
    <row r="703">
      <c r="A703" s="6"/>
    </row>
    <row r="704">
      <c r="A704" s="6"/>
    </row>
    <row r="705">
      <c r="A705" s="6"/>
    </row>
    <row r="706">
      <c r="A706" s="6"/>
    </row>
    <row r="707">
      <c r="A707" s="6"/>
    </row>
    <row r="708">
      <c r="A708" s="6"/>
    </row>
    <row r="709">
      <c r="A709" s="6"/>
    </row>
    <row r="710">
      <c r="A710" s="6"/>
    </row>
    <row r="711">
      <c r="A711" s="6"/>
    </row>
    <row r="712">
      <c r="A712" s="6"/>
    </row>
    <row r="713">
      <c r="A713" s="6"/>
    </row>
    <row r="714">
      <c r="A714" s="6"/>
    </row>
    <row r="715">
      <c r="A715" s="6"/>
    </row>
    <row r="716">
      <c r="A716" s="6"/>
    </row>
    <row r="717">
      <c r="A717" s="6"/>
    </row>
    <row r="718">
      <c r="A718" s="6"/>
    </row>
    <row r="719">
      <c r="A719" s="6"/>
    </row>
    <row r="720">
      <c r="A720" s="6"/>
    </row>
    <row r="721">
      <c r="A721" s="6"/>
    </row>
    <row r="722">
      <c r="A722" s="6"/>
    </row>
    <row r="723">
      <c r="A723" s="6"/>
    </row>
    <row r="724">
      <c r="A724" s="6"/>
    </row>
    <row r="725">
      <c r="A725" s="6"/>
    </row>
    <row r="726">
      <c r="A726" s="6"/>
    </row>
    <row r="727">
      <c r="A727" s="6"/>
    </row>
    <row r="728">
      <c r="A728" s="6"/>
    </row>
    <row r="729">
      <c r="A729" s="6"/>
    </row>
    <row r="730">
      <c r="A730" s="6"/>
    </row>
    <row r="731">
      <c r="A731" s="6"/>
    </row>
    <row r="732">
      <c r="A732" s="6"/>
    </row>
    <row r="733">
      <c r="A733" s="6"/>
    </row>
    <row r="734">
      <c r="A734" s="6"/>
    </row>
    <row r="735">
      <c r="A735" s="6"/>
    </row>
    <row r="736">
      <c r="A736" s="6"/>
    </row>
    <row r="737">
      <c r="A737" s="6"/>
    </row>
    <row r="738">
      <c r="A738" s="6"/>
    </row>
    <row r="739">
      <c r="A739" s="6"/>
    </row>
    <row r="740">
      <c r="A740" s="6"/>
    </row>
    <row r="741">
      <c r="A741" s="6"/>
    </row>
    <row r="742">
      <c r="A742" s="6"/>
    </row>
    <row r="743">
      <c r="A743" s="6"/>
    </row>
    <row r="744">
      <c r="A744" s="6"/>
    </row>
    <row r="745">
      <c r="A745" s="6"/>
    </row>
    <row r="746">
      <c r="A746" s="6"/>
    </row>
    <row r="747">
      <c r="A747" s="6"/>
    </row>
    <row r="748">
      <c r="A748" s="6"/>
    </row>
    <row r="749">
      <c r="A749" s="6"/>
    </row>
    <row r="750">
      <c r="A750" s="6"/>
    </row>
    <row r="751">
      <c r="A751" s="6"/>
    </row>
    <row r="752">
      <c r="A752" s="6"/>
    </row>
    <row r="753">
      <c r="A753" s="6"/>
    </row>
    <row r="754">
      <c r="A754" s="6"/>
    </row>
    <row r="755">
      <c r="A755" s="6"/>
    </row>
    <row r="756">
      <c r="A756" s="6"/>
    </row>
    <row r="757">
      <c r="A757" s="6"/>
    </row>
    <row r="758">
      <c r="A758" s="6"/>
    </row>
    <row r="759">
      <c r="A759" s="6"/>
    </row>
    <row r="760">
      <c r="A760" s="6"/>
    </row>
    <row r="761">
      <c r="A761" s="6"/>
    </row>
    <row r="762">
      <c r="A762" s="6"/>
    </row>
    <row r="763">
      <c r="A763" s="6"/>
    </row>
    <row r="764">
      <c r="A764" s="6"/>
    </row>
    <row r="765">
      <c r="A765" s="6"/>
    </row>
    <row r="766">
      <c r="A766" s="6"/>
    </row>
    <row r="767">
      <c r="A767" s="6"/>
    </row>
    <row r="768">
      <c r="A768" s="6"/>
    </row>
    <row r="769">
      <c r="A769" s="6"/>
    </row>
    <row r="770">
      <c r="A770" s="6"/>
    </row>
    <row r="771">
      <c r="A771" s="6"/>
    </row>
    <row r="772">
      <c r="A772" s="6"/>
    </row>
    <row r="773">
      <c r="A773" s="6"/>
    </row>
    <row r="774">
      <c r="A774" s="6"/>
    </row>
    <row r="775">
      <c r="A775" s="6"/>
    </row>
    <row r="776">
      <c r="A776" s="6"/>
    </row>
    <row r="777">
      <c r="A777" s="6"/>
    </row>
    <row r="778">
      <c r="A778" s="6"/>
    </row>
    <row r="779">
      <c r="A779" s="6"/>
    </row>
    <row r="780">
      <c r="A780" s="6"/>
    </row>
    <row r="781">
      <c r="A781" s="6"/>
    </row>
    <row r="782">
      <c r="A782" s="6"/>
    </row>
    <row r="783">
      <c r="A783" s="6"/>
    </row>
    <row r="784">
      <c r="A784" s="6"/>
    </row>
    <row r="785">
      <c r="A785" s="6"/>
    </row>
    <row r="786">
      <c r="A786" s="6"/>
    </row>
    <row r="787">
      <c r="A787" s="6"/>
    </row>
    <row r="788">
      <c r="A788" s="6"/>
    </row>
    <row r="789">
      <c r="A789" s="6"/>
    </row>
    <row r="790">
      <c r="A790" s="6"/>
    </row>
    <row r="791">
      <c r="A791" s="6"/>
    </row>
    <row r="792">
      <c r="A792" s="6"/>
    </row>
    <row r="793">
      <c r="A793" s="6"/>
    </row>
    <row r="794">
      <c r="A794" s="6"/>
    </row>
    <row r="795">
      <c r="A795" s="6"/>
    </row>
    <row r="796">
      <c r="A796" s="6"/>
    </row>
    <row r="797">
      <c r="A797" s="6"/>
    </row>
    <row r="798">
      <c r="A798" s="6"/>
    </row>
    <row r="799">
      <c r="A799" s="6"/>
    </row>
    <row r="800">
      <c r="A800" s="6"/>
    </row>
    <row r="801">
      <c r="A801" s="6"/>
    </row>
    <row r="802">
      <c r="A802" s="6"/>
    </row>
    <row r="803">
      <c r="A803" s="6"/>
    </row>
    <row r="804">
      <c r="A804" s="6"/>
    </row>
    <row r="805">
      <c r="A805" s="6"/>
    </row>
    <row r="806">
      <c r="A806" s="6"/>
    </row>
    <row r="807">
      <c r="A807" s="6"/>
    </row>
    <row r="808">
      <c r="A808" s="6"/>
    </row>
    <row r="809">
      <c r="A809" s="6"/>
    </row>
    <row r="810">
      <c r="A810" s="6"/>
    </row>
    <row r="811">
      <c r="A811" s="6"/>
    </row>
    <row r="812">
      <c r="A812" s="6"/>
    </row>
    <row r="813">
      <c r="A813" s="6"/>
    </row>
    <row r="814">
      <c r="A814" s="6"/>
    </row>
    <row r="815">
      <c r="A815" s="6"/>
    </row>
    <row r="816">
      <c r="A816" s="6"/>
    </row>
    <row r="817">
      <c r="A817" s="6"/>
    </row>
    <row r="818">
      <c r="A818" s="6"/>
    </row>
    <row r="819">
      <c r="A819" s="6"/>
    </row>
    <row r="820">
      <c r="A820" s="6"/>
    </row>
    <row r="821">
      <c r="A821" s="6"/>
    </row>
    <row r="822">
      <c r="A822" s="6"/>
    </row>
    <row r="823">
      <c r="A823" s="6"/>
    </row>
    <row r="824">
      <c r="A824" s="6"/>
    </row>
    <row r="825">
      <c r="A825" s="6"/>
    </row>
    <row r="826">
      <c r="A826" s="6"/>
    </row>
    <row r="827">
      <c r="A827" s="6"/>
    </row>
    <row r="828">
      <c r="A828" s="6"/>
    </row>
    <row r="829">
      <c r="A829" s="6"/>
    </row>
    <row r="830">
      <c r="A830" s="6"/>
    </row>
    <row r="831">
      <c r="A831" s="6"/>
    </row>
    <row r="832">
      <c r="A832" s="6"/>
    </row>
    <row r="833">
      <c r="A833" s="6"/>
    </row>
    <row r="834">
      <c r="A834" s="6"/>
    </row>
    <row r="835">
      <c r="A835" s="6"/>
    </row>
    <row r="836">
      <c r="A836" s="6"/>
    </row>
    <row r="837">
      <c r="A837" s="6"/>
    </row>
    <row r="838">
      <c r="A838" s="6"/>
    </row>
    <row r="839">
      <c r="A839" s="6"/>
    </row>
    <row r="840">
      <c r="A840" s="6"/>
    </row>
    <row r="841">
      <c r="A841" s="6"/>
    </row>
    <row r="842">
      <c r="A842" s="6"/>
    </row>
    <row r="843">
      <c r="A843" s="6"/>
    </row>
    <row r="844">
      <c r="A844" s="6"/>
    </row>
    <row r="845">
      <c r="A845" s="6"/>
    </row>
    <row r="846">
      <c r="A846" s="6"/>
    </row>
    <row r="847">
      <c r="A847" s="6"/>
    </row>
    <row r="848">
      <c r="A848" s="6"/>
    </row>
    <row r="849">
      <c r="A849" s="6"/>
    </row>
    <row r="850">
      <c r="A850" s="6"/>
    </row>
    <row r="851">
      <c r="A851" s="6"/>
    </row>
    <row r="852">
      <c r="A852" s="6"/>
    </row>
    <row r="853">
      <c r="A853" s="6"/>
    </row>
    <row r="854">
      <c r="A854" s="6"/>
    </row>
    <row r="855">
      <c r="A855" s="6"/>
    </row>
    <row r="856">
      <c r="A856" s="6"/>
    </row>
    <row r="857">
      <c r="A857" s="6"/>
    </row>
    <row r="858">
      <c r="A858" s="6"/>
    </row>
    <row r="859">
      <c r="A859" s="6"/>
    </row>
    <row r="860">
      <c r="A860" s="6"/>
    </row>
    <row r="861">
      <c r="A861" s="6"/>
    </row>
    <row r="862">
      <c r="A862" s="6"/>
    </row>
    <row r="863">
      <c r="A863" s="6"/>
    </row>
    <row r="864">
      <c r="A864" s="6"/>
    </row>
    <row r="865">
      <c r="A865" s="6"/>
    </row>
    <row r="866">
      <c r="A866" s="6"/>
    </row>
    <row r="867">
      <c r="A867" s="6"/>
    </row>
    <row r="868">
      <c r="A868" s="6"/>
    </row>
    <row r="869">
      <c r="A869" s="6"/>
    </row>
    <row r="870">
      <c r="A870" s="6"/>
    </row>
    <row r="871">
      <c r="A871" s="6"/>
    </row>
    <row r="872">
      <c r="A872" s="6"/>
    </row>
    <row r="873">
      <c r="A873" s="6"/>
    </row>
    <row r="874">
      <c r="A874" s="6"/>
    </row>
    <row r="875">
      <c r="A875" s="6"/>
    </row>
    <row r="876">
      <c r="A876" s="6"/>
    </row>
    <row r="877">
      <c r="A877" s="6"/>
    </row>
    <row r="878">
      <c r="A878" s="6"/>
    </row>
    <row r="879">
      <c r="A879" s="6"/>
    </row>
    <row r="880">
      <c r="A880" s="6"/>
    </row>
    <row r="881">
      <c r="A881" s="6"/>
    </row>
    <row r="882">
      <c r="A882" s="6"/>
    </row>
    <row r="883">
      <c r="A883" s="6"/>
    </row>
    <row r="884">
      <c r="A884" s="6"/>
    </row>
    <row r="885">
      <c r="A885" s="6"/>
    </row>
    <row r="886">
      <c r="A886" s="6"/>
    </row>
    <row r="887">
      <c r="A887" s="6"/>
    </row>
    <row r="888">
      <c r="A888" s="6"/>
    </row>
    <row r="889">
      <c r="A889" s="6"/>
    </row>
    <row r="890">
      <c r="A890" s="6"/>
    </row>
    <row r="891">
      <c r="A891" s="6"/>
    </row>
    <row r="892">
      <c r="A892" s="6"/>
    </row>
    <row r="893">
      <c r="A893" s="6"/>
    </row>
    <row r="894">
      <c r="A894" s="6"/>
    </row>
    <row r="895">
      <c r="A895" s="6"/>
    </row>
    <row r="896">
      <c r="A896" s="6"/>
    </row>
    <row r="897">
      <c r="A897" s="6"/>
    </row>
    <row r="898">
      <c r="A898" s="6"/>
    </row>
    <row r="899">
      <c r="A899" s="6"/>
    </row>
    <row r="900">
      <c r="A900" s="6"/>
    </row>
    <row r="901">
      <c r="A901" s="6"/>
    </row>
    <row r="902">
      <c r="A902" s="6"/>
    </row>
    <row r="903">
      <c r="A903" s="6"/>
    </row>
    <row r="904">
      <c r="A904" s="6"/>
    </row>
    <row r="905">
      <c r="A905" s="6"/>
    </row>
    <row r="906">
      <c r="A906" s="6"/>
    </row>
    <row r="907">
      <c r="A907" s="6"/>
    </row>
    <row r="908">
      <c r="A908" s="6"/>
    </row>
    <row r="909">
      <c r="A909" s="6"/>
    </row>
    <row r="910">
      <c r="A910" s="6"/>
    </row>
    <row r="911">
      <c r="A911" s="6"/>
    </row>
    <row r="912">
      <c r="A912" s="6"/>
    </row>
    <row r="913">
      <c r="A913" s="6"/>
    </row>
    <row r="914">
      <c r="A914" s="6"/>
    </row>
    <row r="915">
      <c r="A915" s="6"/>
    </row>
    <row r="916">
      <c r="A916" s="6"/>
    </row>
    <row r="917">
      <c r="A917" s="6"/>
    </row>
    <row r="918">
      <c r="A918" s="6"/>
    </row>
    <row r="919">
      <c r="A919" s="6"/>
    </row>
    <row r="920">
      <c r="A920" s="6"/>
    </row>
    <row r="921">
      <c r="A921" s="6"/>
    </row>
    <row r="922">
      <c r="A922" s="6"/>
    </row>
    <row r="923">
      <c r="A923" s="6"/>
    </row>
    <row r="924">
      <c r="A924" s="6"/>
    </row>
    <row r="925">
      <c r="A925" s="6"/>
    </row>
    <row r="926">
      <c r="A926" s="6"/>
    </row>
    <row r="927">
      <c r="A927" s="6"/>
    </row>
    <row r="928">
      <c r="A928" s="6"/>
    </row>
    <row r="929">
      <c r="A929" s="6"/>
    </row>
    <row r="930">
      <c r="A930" s="6"/>
    </row>
    <row r="931">
      <c r="A931" s="6"/>
    </row>
    <row r="932">
      <c r="A932" s="6"/>
    </row>
    <row r="933">
      <c r="A933" s="6"/>
    </row>
    <row r="934">
      <c r="A934" s="6"/>
    </row>
    <row r="935">
      <c r="A935" s="6"/>
    </row>
    <row r="936">
      <c r="A936" s="6"/>
    </row>
    <row r="937">
      <c r="A937" s="6"/>
    </row>
    <row r="938">
      <c r="A938" s="6"/>
    </row>
    <row r="939">
      <c r="A939" s="6"/>
    </row>
    <row r="940">
      <c r="A940" s="6"/>
    </row>
    <row r="941">
      <c r="A941" s="6"/>
    </row>
    <row r="942">
      <c r="A942" s="6"/>
    </row>
    <row r="943">
      <c r="A943" s="6"/>
    </row>
    <row r="944">
      <c r="A944" s="6"/>
    </row>
    <row r="945">
      <c r="A945" s="6"/>
    </row>
    <row r="946">
      <c r="A946" s="6"/>
    </row>
    <row r="947">
      <c r="A947" s="6"/>
    </row>
    <row r="948">
      <c r="A948" s="6"/>
    </row>
    <row r="949">
      <c r="A949" s="6"/>
    </row>
    <row r="950">
      <c r="A950" s="6"/>
    </row>
    <row r="951">
      <c r="A951" s="6"/>
    </row>
    <row r="952">
      <c r="A952" s="6"/>
    </row>
    <row r="953">
      <c r="A953" s="6"/>
    </row>
    <row r="954">
      <c r="A954" s="6"/>
    </row>
    <row r="955">
      <c r="A955" s="6"/>
    </row>
    <row r="956">
      <c r="A956" s="6"/>
    </row>
    <row r="957">
      <c r="A957" s="6"/>
    </row>
    <row r="958">
      <c r="A958" s="6"/>
    </row>
    <row r="959">
      <c r="A959" s="6"/>
    </row>
    <row r="960">
      <c r="A960" s="6"/>
    </row>
    <row r="961">
      <c r="A961" s="6"/>
    </row>
    <row r="962">
      <c r="A962" s="6"/>
    </row>
    <row r="963">
      <c r="A963" s="6"/>
    </row>
    <row r="964">
      <c r="A964" s="6"/>
    </row>
    <row r="965">
      <c r="A965" s="6"/>
    </row>
    <row r="966">
      <c r="A966" s="6"/>
    </row>
    <row r="967">
      <c r="A967" s="6"/>
    </row>
    <row r="968">
      <c r="A968" s="6"/>
    </row>
    <row r="969">
      <c r="A969" s="6"/>
    </row>
    <row r="970">
      <c r="A970" s="6"/>
    </row>
    <row r="971">
      <c r="A971" s="6"/>
    </row>
    <row r="972">
      <c r="A972" s="6"/>
    </row>
    <row r="973">
      <c r="A973" s="6"/>
    </row>
    <row r="974">
      <c r="A974" s="6"/>
    </row>
    <row r="975">
      <c r="A975" s="6"/>
    </row>
    <row r="976">
      <c r="A976" s="6"/>
    </row>
    <row r="977">
      <c r="A977" s="6"/>
    </row>
    <row r="978">
      <c r="A978" s="6"/>
    </row>
    <row r="979">
      <c r="A979" s="6"/>
    </row>
    <row r="980">
      <c r="A980" s="6"/>
    </row>
    <row r="981">
      <c r="A981" s="6"/>
    </row>
    <row r="982">
      <c r="A982" s="6"/>
    </row>
    <row r="983">
      <c r="A983" s="6"/>
    </row>
    <row r="984">
      <c r="A984" s="6"/>
    </row>
    <row r="985">
      <c r="A985" s="6"/>
    </row>
    <row r="986">
      <c r="A986" s="6"/>
    </row>
    <row r="987">
      <c r="A987" s="6"/>
    </row>
    <row r="988">
      <c r="A988" s="6"/>
    </row>
    <row r="989">
      <c r="A989" s="6"/>
    </row>
    <row r="990">
      <c r="A990" s="6"/>
    </row>
    <row r="991">
      <c r="A991" s="6"/>
    </row>
    <row r="992">
      <c r="A992" s="6"/>
    </row>
    <row r="993">
      <c r="A993" s="6"/>
    </row>
  </sheetData>
  <conditionalFormatting sqref="A1:A993">
    <cfRule type="expression" dxfId="1" priority="1">
      <formula>COUNTIF(INDIRECT("MASTER_LIST!A$2:A"), A1)&gt;1</formula>
    </cfRule>
  </conditionalFormatting>
  <hyperlinks>
    <hyperlink r:id="rId1" ref="G36"/>
    <hyperlink r:id="rId2" ref="G42"/>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0"/>
    <col customWidth="1" min="2" max="2" width="11.88"/>
    <col customWidth="1" min="3" max="3" width="16.63"/>
    <col customWidth="1" min="4" max="4" width="10.0"/>
    <col customWidth="1" min="6" max="6" width="20.75"/>
  </cols>
  <sheetData>
    <row r="1">
      <c r="A1" s="2" t="s">
        <v>50</v>
      </c>
      <c r="B1" s="19" t="s">
        <v>1258</v>
      </c>
      <c r="C1" s="20" t="s">
        <v>1259</v>
      </c>
      <c r="D1" s="20" t="s">
        <v>1260</v>
      </c>
      <c r="E1" s="2" t="s">
        <v>3946</v>
      </c>
      <c r="F1" s="2" t="s">
        <v>1268</v>
      </c>
      <c r="G1" s="2" t="s">
        <v>3386</v>
      </c>
      <c r="H1" s="2" t="s">
        <v>3947</v>
      </c>
      <c r="I1" s="2" t="s">
        <v>3948</v>
      </c>
    </row>
    <row r="2">
      <c r="A2" s="2" t="s">
        <v>3949</v>
      </c>
      <c r="B2" s="2"/>
      <c r="C2" s="2"/>
      <c r="D2" s="2"/>
      <c r="E2" s="2" t="s">
        <v>3950</v>
      </c>
      <c r="F2" s="2" t="s">
        <v>3951</v>
      </c>
      <c r="G2" s="2" t="s">
        <v>3952</v>
      </c>
      <c r="H2" s="2" t="s">
        <v>647</v>
      </c>
      <c r="I2" s="2" t="s">
        <v>3953</v>
      </c>
    </row>
    <row r="3">
      <c r="A3" s="2" t="s">
        <v>3954</v>
      </c>
      <c r="B3" s="2"/>
      <c r="C3" s="2"/>
      <c r="D3" s="2"/>
      <c r="E3" s="2" t="s">
        <v>3955</v>
      </c>
      <c r="F3" s="2" t="s">
        <v>3956</v>
      </c>
      <c r="G3" s="2" t="s">
        <v>3957</v>
      </c>
      <c r="H3" s="2" t="s">
        <v>3958</v>
      </c>
      <c r="I3" s="2" t="s">
        <v>3959</v>
      </c>
    </row>
    <row r="4">
      <c r="A4" s="2" t="s">
        <v>3960</v>
      </c>
      <c r="B4" s="2"/>
      <c r="C4" s="2"/>
      <c r="D4" s="2"/>
      <c r="E4" s="2" t="s">
        <v>3961</v>
      </c>
      <c r="F4" s="2" t="s">
        <v>3962</v>
      </c>
      <c r="G4" s="2" t="s">
        <v>3952</v>
      </c>
      <c r="H4" s="2" t="s">
        <v>3963</v>
      </c>
      <c r="I4" s="2" t="s">
        <v>3964</v>
      </c>
    </row>
    <row r="5">
      <c r="A5" s="2" t="s">
        <v>3965</v>
      </c>
      <c r="B5" s="2"/>
      <c r="C5" s="2"/>
      <c r="D5" s="2"/>
      <c r="E5" s="2" t="s">
        <v>3966</v>
      </c>
      <c r="F5" s="2" t="s">
        <v>3967</v>
      </c>
      <c r="G5" s="2" t="s">
        <v>3952</v>
      </c>
      <c r="H5" s="2" t="s">
        <v>3968</v>
      </c>
      <c r="I5" s="2" t="s">
        <v>3969</v>
      </c>
    </row>
    <row r="6">
      <c r="A6" s="2" t="s">
        <v>3970</v>
      </c>
      <c r="B6" s="2"/>
      <c r="C6" s="2"/>
      <c r="D6" s="2"/>
      <c r="E6" s="2" t="s">
        <v>3971</v>
      </c>
      <c r="F6" s="2" t="s">
        <v>3972</v>
      </c>
      <c r="G6" s="2" t="s">
        <v>3957</v>
      </c>
      <c r="H6" s="2" t="s">
        <v>647</v>
      </c>
      <c r="I6" s="2" t="s">
        <v>3973</v>
      </c>
    </row>
    <row r="7">
      <c r="A7" s="2" t="s">
        <v>3974</v>
      </c>
      <c r="B7" s="2"/>
      <c r="C7" s="2"/>
      <c r="D7" s="2"/>
      <c r="E7" s="2" t="s">
        <v>3975</v>
      </c>
      <c r="F7" s="2" t="s">
        <v>3976</v>
      </c>
      <c r="G7" s="2" t="s">
        <v>3952</v>
      </c>
      <c r="H7" s="2" t="s">
        <v>3977</v>
      </c>
      <c r="I7" s="2" t="s">
        <v>3978</v>
      </c>
    </row>
    <row r="8">
      <c r="A8" s="2" t="s">
        <v>3979</v>
      </c>
      <c r="B8" s="2"/>
      <c r="C8" s="2"/>
      <c r="D8" s="2"/>
      <c r="E8" s="2" t="s">
        <v>3980</v>
      </c>
      <c r="F8" s="2" t="s">
        <v>3981</v>
      </c>
      <c r="G8" s="2" t="s">
        <v>3957</v>
      </c>
      <c r="H8" s="2" t="s">
        <v>3982</v>
      </c>
      <c r="I8" s="2" t="s">
        <v>3983</v>
      </c>
    </row>
    <row r="9">
      <c r="A9" s="2" t="s">
        <v>3984</v>
      </c>
      <c r="B9" s="2"/>
      <c r="C9" s="2"/>
      <c r="D9" s="2"/>
      <c r="E9" s="2" t="s">
        <v>3985</v>
      </c>
      <c r="F9" s="2" t="s">
        <v>3986</v>
      </c>
      <c r="G9" s="2" t="s">
        <v>3987</v>
      </c>
      <c r="H9" s="2" t="s">
        <v>3988</v>
      </c>
      <c r="I9" s="2" t="s">
        <v>3989</v>
      </c>
    </row>
    <row r="10">
      <c r="A10" s="2" t="s">
        <v>3990</v>
      </c>
      <c r="B10" s="2"/>
      <c r="C10" s="2"/>
      <c r="D10" s="2"/>
      <c r="E10" s="2" t="s">
        <v>3991</v>
      </c>
      <c r="F10" s="2" t="s">
        <v>3992</v>
      </c>
      <c r="G10" s="2" t="s">
        <v>3957</v>
      </c>
      <c r="H10" s="2" t="s">
        <v>647</v>
      </c>
      <c r="I10" s="2" t="s">
        <v>3993</v>
      </c>
    </row>
    <row r="11">
      <c r="A11" s="2" t="s">
        <v>3994</v>
      </c>
      <c r="B11" s="2"/>
      <c r="C11" s="2"/>
      <c r="D11" s="2"/>
      <c r="E11" s="2" t="s">
        <v>3995</v>
      </c>
      <c r="F11" s="2" t="s">
        <v>3996</v>
      </c>
      <c r="G11" s="2" t="s">
        <v>3997</v>
      </c>
      <c r="H11" s="2" t="s">
        <v>647</v>
      </c>
      <c r="I11" s="2" t="s">
        <v>3998</v>
      </c>
    </row>
    <row r="12">
      <c r="A12" s="2" t="s">
        <v>3999</v>
      </c>
      <c r="B12" s="2"/>
      <c r="C12" s="2"/>
      <c r="D12" s="2"/>
      <c r="E12" s="2" t="s">
        <v>4000</v>
      </c>
      <c r="F12" s="2" t="s">
        <v>4001</v>
      </c>
      <c r="G12" s="2" t="s">
        <v>3957</v>
      </c>
      <c r="H12" s="2" t="s">
        <v>647</v>
      </c>
      <c r="I12" s="2" t="s">
        <v>4002</v>
      </c>
    </row>
    <row r="13">
      <c r="A13" s="2" t="s">
        <v>4003</v>
      </c>
      <c r="B13" s="2"/>
      <c r="C13" s="2"/>
      <c r="D13" s="2"/>
      <c r="E13" s="2" t="s">
        <v>4004</v>
      </c>
      <c r="F13" s="2" t="s">
        <v>4005</v>
      </c>
      <c r="G13" s="2" t="s">
        <v>3957</v>
      </c>
      <c r="H13" s="2" t="s">
        <v>4006</v>
      </c>
      <c r="I13" s="2" t="s">
        <v>4007</v>
      </c>
    </row>
    <row r="14">
      <c r="A14" s="2" t="s">
        <v>4008</v>
      </c>
      <c r="B14" s="2"/>
      <c r="C14" s="2"/>
      <c r="D14" s="2"/>
      <c r="E14" s="2" t="s">
        <v>4009</v>
      </c>
      <c r="F14" s="2" t="s">
        <v>4010</v>
      </c>
      <c r="G14" s="2" t="s">
        <v>3952</v>
      </c>
      <c r="H14" s="2" t="s">
        <v>647</v>
      </c>
      <c r="I14" s="2" t="s">
        <v>4011</v>
      </c>
    </row>
    <row r="15">
      <c r="A15" s="2" t="s">
        <v>4012</v>
      </c>
      <c r="B15" s="2"/>
      <c r="C15" s="2"/>
      <c r="D15" s="2"/>
      <c r="E15" s="2" t="s">
        <v>4013</v>
      </c>
      <c r="F15" s="2" t="s">
        <v>4014</v>
      </c>
      <c r="G15" s="2" t="s">
        <v>3957</v>
      </c>
      <c r="H15" s="2" t="s">
        <v>647</v>
      </c>
      <c r="I15" s="2" t="s">
        <v>4015</v>
      </c>
    </row>
    <row r="16">
      <c r="A16" s="2" t="s">
        <v>4016</v>
      </c>
      <c r="B16" s="2"/>
      <c r="C16" s="2"/>
      <c r="D16" s="2"/>
      <c r="E16" s="2" t="s">
        <v>4017</v>
      </c>
      <c r="F16" s="2" t="s">
        <v>4018</v>
      </c>
      <c r="G16" s="2" t="s">
        <v>3952</v>
      </c>
      <c r="H16" s="2" t="s">
        <v>4019</v>
      </c>
      <c r="I16" s="2" t="s">
        <v>4020</v>
      </c>
    </row>
    <row r="17">
      <c r="A17" s="2" t="s">
        <v>4021</v>
      </c>
      <c r="B17" s="2"/>
      <c r="C17" s="2"/>
      <c r="D17" s="2"/>
      <c r="E17" s="2" t="s">
        <v>4022</v>
      </c>
      <c r="F17" s="2" t="s">
        <v>4023</v>
      </c>
      <c r="G17" s="2" t="s">
        <v>3957</v>
      </c>
      <c r="H17" s="2" t="s">
        <v>4024</v>
      </c>
      <c r="I17" s="2" t="s">
        <v>4025</v>
      </c>
    </row>
    <row r="18">
      <c r="A18" s="2" t="s">
        <v>4026</v>
      </c>
      <c r="B18" s="2"/>
      <c r="C18" s="2"/>
      <c r="D18" s="2"/>
      <c r="E18" s="2" t="s">
        <v>4027</v>
      </c>
      <c r="F18" s="2" t="s">
        <v>4028</v>
      </c>
      <c r="G18" s="2" t="s">
        <v>3957</v>
      </c>
      <c r="H18" s="2" t="s">
        <v>4029</v>
      </c>
      <c r="I18" s="2" t="s">
        <v>4030</v>
      </c>
    </row>
    <row r="19">
      <c r="A19" s="2" t="s">
        <v>4031</v>
      </c>
      <c r="B19" s="2"/>
      <c r="C19" s="2"/>
      <c r="D19" s="2"/>
      <c r="E19" s="2" t="s">
        <v>4032</v>
      </c>
      <c r="F19" s="2" t="s">
        <v>4033</v>
      </c>
      <c r="G19" s="2" t="s">
        <v>4034</v>
      </c>
      <c r="H19" s="2" t="s">
        <v>4035</v>
      </c>
      <c r="I19" s="2" t="s">
        <v>4036</v>
      </c>
    </row>
    <row r="20">
      <c r="A20" s="2" t="s">
        <v>4037</v>
      </c>
      <c r="B20" s="2"/>
      <c r="C20" s="2"/>
      <c r="D20" s="2"/>
      <c r="E20" s="2" t="s">
        <v>4038</v>
      </c>
      <c r="F20" s="2" t="s">
        <v>4039</v>
      </c>
      <c r="G20" s="2" t="s">
        <v>3952</v>
      </c>
      <c r="H20" s="2" t="s">
        <v>647</v>
      </c>
      <c r="I20" s="2" t="s">
        <v>4040</v>
      </c>
    </row>
    <row r="21">
      <c r="A21" s="2" t="s">
        <v>4041</v>
      </c>
      <c r="B21" s="2"/>
      <c r="C21" s="2"/>
      <c r="D21" s="2"/>
      <c r="E21" s="7" t="s">
        <v>4042</v>
      </c>
      <c r="F21" s="2" t="s">
        <v>4043</v>
      </c>
      <c r="G21" s="2" t="s">
        <v>3957</v>
      </c>
      <c r="H21" s="2" t="s">
        <v>647</v>
      </c>
      <c r="I21" s="2" t="s">
        <v>4044</v>
      </c>
    </row>
    <row r="22">
      <c r="A22" s="2" t="s">
        <v>4045</v>
      </c>
      <c r="B22" s="2"/>
      <c r="C22" s="2"/>
      <c r="D22" s="2"/>
      <c r="E22" s="2" t="s">
        <v>4046</v>
      </c>
      <c r="F22" s="2" t="s">
        <v>4047</v>
      </c>
      <c r="G22" s="2" t="s">
        <v>3957</v>
      </c>
      <c r="H22" s="2" t="s">
        <v>647</v>
      </c>
      <c r="I22" s="2" t="s">
        <v>4048</v>
      </c>
    </row>
    <row r="23">
      <c r="A23" s="2" t="s">
        <v>4049</v>
      </c>
      <c r="B23" s="2"/>
      <c r="C23" s="2"/>
      <c r="D23" s="2"/>
      <c r="E23" s="2" t="s">
        <v>4050</v>
      </c>
      <c r="F23" s="2" t="s">
        <v>4051</v>
      </c>
      <c r="G23" s="2" t="s">
        <v>3957</v>
      </c>
      <c r="H23" s="2" t="s">
        <v>647</v>
      </c>
      <c r="I23" s="2" t="s">
        <v>4052</v>
      </c>
    </row>
    <row r="24">
      <c r="A24" s="2" t="s">
        <v>4053</v>
      </c>
      <c r="B24" s="2"/>
      <c r="C24" s="2"/>
      <c r="D24" s="2"/>
      <c r="E24" s="7" t="s">
        <v>4054</v>
      </c>
      <c r="F24" s="2" t="s">
        <v>4055</v>
      </c>
      <c r="G24" s="2" t="s">
        <v>3997</v>
      </c>
      <c r="H24" s="2" t="s">
        <v>4056</v>
      </c>
      <c r="I24" s="2" t="s">
        <v>4057</v>
      </c>
    </row>
    <row r="25">
      <c r="A25" s="2" t="s">
        <v>4058</v>
      </c>
      <c r="B25" s="2"/>
      <c r="C25" s="2"/>
      <c r="D25" s="2"/>
      <c r="E25" s="2" t="s">
        <v>4059</v>
      </c>
      <c r="F25" s="2" t="s">
        <v>4060</v>
      </c>
      <c r="G25" s="2" t="s">
        <v>3957</v>
      </c>
      <c r="H25" s="2" t="s">
        <v>647</v>
      </c>
      <c r="I25" s="2" t="s">
        <v>4061</v>
      </c>
    </row>
    <row r="26">
      <c r="A26" s="2" t="s">
        <v>4062</v>
      </c>
      <c r="B26" s="2"/>
      <c r="C26" s="2"/>
      <c r="D26" s="2"/>
      <c r="E26" s="2" t="s">
        <v>4063</v>
      </c>
      <c r="F26" s="2" t="s">
        <v>4064</v>
      </c>
      <c r="G26" s="2" t="s">
        <v>3957</v>
      </c>
      <c r="H26" s="2" t="s">
        <v>4065</v>
      </c>
      <c r="I26" s="2" t="s">
        <v>4066</v>
      </c>
    </row>
    <row r="27">
      <c r="A27" s="2" t="s">
        <v>4067</v>
      </c>
      <c r="B27" s="2"/>
      <c r="C27" s="2"/>
      <c r="D27" s="2"/>
      <c r="E27" s="2" t="s">
        <v>4068</v>
      </c>
      <c r="F27" s="2" t="s">
        <v>4069</v>
      </c>
      <c r="G27" s="2" t="s">
        <v>3952</v>
      </c>
      <c r="H27" s="2" t="s">
        <v>4070</v>
      </c>
      <c r="I27" s="2" t="s">
        <v>4071</v>
      </c>
    </row>
    <row r="28">
      <c r="A28" s="2" t="s">
        <v>4072</v>
      </c>
      <c r="B28" s="2"/>
      <c r="C28" s="2"/>
      <c r="D28" s="2"/>
      <c r="E28" s="2" t="s">
        <v>4073</v>
      </c>
      <c r="F28" s="2" t="s">
        <v>4074</v>
      </c>
      <c r="G28" s="2" t="s">
        <v>3957</v>
      </c>
      <c r="H28" s="2" t="s">
        <v>4075</v>
      </c>
      <c r="I28" s="2" t="s">
        <v>4076</v>
      </c>
    </row>
    <row r="29">
      <c r="A29" s="2" t="s">
        <v>4077</v>
      </c>
      <c r="B29" s="2"/>
      <c r="C29" s="2"/>
      <c r="D29" s="2"/>
      <c r="E29" s="7" t="s">
        <v>4078</v>
      </c>
      <c r="F29" s="2" t="s">
        <v>4079</v>
      </c>
      <c r="G29" s="2" t="s">
        <v>3957</v>
      </c>
      <c r="H29" s="2" t="s">
        <v>647</v>
      </c>
      <c r="I29" s="2" t="s">
        <v>4080</v>
      </c>
    </row>
    <row r="30">
      <c r="A30" s="2" t="s">
        <v>4081</v>
      </c>
      <c r="B30" s="2"/>
      <c r="C30" s="2"/>
      <c r="D30" s="2"/>
      <c r="E30" s="2" t="s">
        <v>4082</v>
      </c>
      <c r="F30" s="2" t="s">
        <v>4083</v>
      </c>
      <c r="G30" s="2" t="s">
        <v>3952</v>
      </c>
      <c r="H30" s="2" t="s">
        <v>4084</v>
      </c>
      <c r="I30" s="2" t="s">
        <v>4085</v>
      </c>
    </row>
    <row r="31">
      <c r="A31" s="2" t="s">
        <v>4086</v>
      </c>
      <c r="B31" s="2"/>
      <c r="C31" s="2"/>
      <c r="D31" s="2"/>
      <c r="E31" s="2" t="s">
        <v>4087</v>
      </c>
      <c r="F31" s="2" t="s">
        <v>4088</v>
      </c>
      <c r="G31" s="2" t="s">
        <v>3957</v>
      </c>
      <c r="H31" s="2" t="s">
        <v>647</v>
      </c>
      <c r="I31" s="2" t="s">
        <v>4089</v>
      </c>
    </row>
    <row r="32">
      <c r="A32" s="2" t="s">
        <v>4090</v>
      </c>
      <c r="B32" s="2"/>
      <c r="C32" s="2"/>
      <c r="D32" s="2"/>
      <c r="E32" s="2" t="s">
        <v>4091</v>
      </c>
      <c r="F32" s="2" t="s">
        <v>4092</v>
      </c>
      <c r="G32" s="2" t="s">
        <v>3957</v>
      </c>
      <c r="H32" s="2" t="s">
        <v>647</v>
      </c>
      <c r="I32" s="2" t="s">
        <v>4093</v>
      </c>
    </row>
    <row r="33">
      <c r="A33" s="2" t="s">
        <v>4094</v>
      </c>
      <c r="B33" s="2"/>
      <c r="C33" s="2"/>
      <c r="D33" s="2"/>
      <c r="E33" s="7" t="s">
        <v>4095</v>
      </c>
      <c r="F33" s="2" t="s">
        <v>4096</v>
      </c>
      <c r="G33" s="2" t="s">
        <v>3997</v>
      </c>
      <c r="H33" s="2" t="s">
        <v>4097</v>
      </c>
      <c r="I33" s="2" t="s">
        <v>4098</v>
      </c>
    </row>
    <row r="34">
      <c r="A34" s="2" t="s">
        <v>4099</v>
      </c>
      <c r="B34" s="2"/>
      <c r="C34" s="2"/>
      <c r="D34" s="2"/>
      <c r="E34" s="2" t="s">
        <v>4100</v>
      </c>
      <c r="F34" s="2" t="s">
        <v>4101</v>
      </c>
      <c r="G34" s="2" t="s">
        <v>3957</v>
      </c>
      <c r="H34" s="2" t="s">
        <v>647</v>
      </c>
      <c r="I34" s="2" t="s">
        <v>4102</v>
      </c>
    </row>
    <row r="35">
      <c r="A35" s="2" t="s">
        <v>4103</v>
      </c>
      <c r="B35" s="2"/>
      <c r="C35" s="2"/>
      <c r="D35" s="2"/>
      <c r="E35" s="2" t="s">
        <v>4104</v>
      </c>
      <c r="F35" s="2" t="s">
        <v>4105</v>
      </c>
      <c r="G35" s="2" t="s">
        <v>3952</v>
      </c>
      <c r="H35" s="2" t="s">
        <v>647</v>
      </c>
      <c r="I35" s="2" t="s">
        <v>4106</v>
      </c>
    </row>
    <row r="36">
      <c r="A36" s="2" t="s">
        <v>4107</v>
      </c>
      <c r="B36" s="2"/>
      <c r="C36" s="2"/>
      <c r="D36" s="2"/>
      <c r="E36" s="2" t="s">
        <v>4108</v>
      </c>
      <c r="F36" s="2" t="s">
        <v>4109</v>
      </c>
      <c r="G36" s="2" t="s">
        <v>3957</v>
      </c>
      <c r="H36" s="2" t="s">
        <v>4110</v>
      </c>
      <c r="I36" s="2" t="s">
        <v>4111</v>
      </c>
    </row>
    <row r="37">
      <c r="A37" s="2" t="s">
        <v>4112</v>
      </c>
      <c r="B37" s="2"/>
      <c r="C37" s="2"/>
      <c r="D37" s="2"/>
      <c r="E37" s="2" t="s">
        <v>4113</v>
      </c>
      <c r="F37" s="2" t="s">
        <v>4114</v>
      </c>
      <c r="G37" s="2" t="s">
        <v>3957</v>
      </c>
      <c r="H37" s="2" t="s">
        <v>647</v>
      </c>
      <c r="I37" s="2" t="s">
        <v>4115</v>
      </c>
    </row>
    <row r="38">
      <c r="A38" s="2" t="s">
        <v>4116</v>
      </c>
      <c r="B38" s="2"/>
      <c r="C38" s="2"/>
      <c r="D38" s="2"/>
      <c r="E38" s="2" t="s">
        <v>4117</v>
      </c>
      <c r="F38" s="2" t="s">
        <v>4118</v>
      </c>
      <c r="G38" s="2" t="s">
        <v>3952</v>
      </c>
      <c r="H38" s="2" t="s">
        <v>4119</v>
      </c>
      <c r="I38" s="7" t="s">
        <v>4120</v>
      </c>
    </row>
    <row r="39">
      <c r="A39" s="2" t="s">
        <v>4121</v>
      </c>
      <c r="B39" s="2"/>
      <c r="C39" s="2"/>
      <c r="D39" s="2"/>
      <c r="E39" s="2" t="s">
        <v>4122</v>
      </c>
      <c r="F39" s="2" t="s">
        <v>4123</v>
      </c>
      <c r="G39" s="2" t="s">
        <v>3957</v>
      </c>
      <c r="H39" s="2" t="s">
        <v>4124</v>
      </c>
      <c r="I39" s="2" t="s">
        <v>4125</v>
      </c>
    </row>
    <row r="40">
      <c r="A40" s="2" t="s">
        <v>4126</v>
      </c>
      <c r="B40" s="2"/>
      <c r="C40" s="2"/>
      <c r="D40" s="2"/>
      <c r="E40" s="2" t="s">
        <v>4127</v>
      </c>
      <c r="F40" s="2" t="s">
        <v>4128</v>
      </c>
      <c r="G40" s="2" t="s">
        <v>3957</v>
      </c>
      <c r="H40" s="2" t="s">
        <v>4129</v>
      </c>
      <c r="I40" s="2" t="s">
        <v>4130</v>
      </c>
    </row>
    <row r="41">
      <c r="A41" s="2" t="s">
        <v>4131</v>
      </c>
      <c r="B41" s="2"/>
      <c r="C41" s="2"/>
      <c r="D41" s="2"/>
      <c r="E41" s="2" t="s">
        <v>4132</v>
      </c>
      <c r="F41" s="2" t="s">
        <v>4133</v>
      </c>
      <c r="G41" s="2" t="s">
        <v>3957</v>
      </c>
      <c r="H41" s="2" t="s">
        <v>4134</v>
      </c>
      <c r="I41" s="2" t="s">
        <v>4135</v>
      </c>
    </row>
    <row r="42">
      <c r="A42" s="2" t="s">
        <v>4136</v>
      </c>
      <c r="B42" s="2"/>
      <c r="C42" s="2"/>
      <c r="D42" s="2"/>
      <c r="E42" s="2" t="s">
        <v>4137</v>
      </c>
      <c r="F42" s="2" t="s">
        <v>4138</v>
      </c>
      <c r="G42" s="2" t="s">
        <v>3957</v>
      </c>
      <c r="H42" s="2" t="s">
        <v>647</v>
      </c>
      <c r="I42" s="2" t="s">
        <v>4139</v>
      </c>
    </row>
    <row r="43">
      <c r="A43" s="2" t="s">
        <v>4140</v>
      </c>
      <c r="B43" s="2"/>
      <c r="C43" s="2"/>
      <c r="D43" s="2"/>
      <c r="E43" s="2" t="s">
        <v>4141</v>
      </c>
      <c r="F43" s="2" t="s">
        <v>4142</v>
      </c>
      <c r="G43" s="2" t="s">
        <v>3957</v>
      </c>
      <c r="H43" s="2" t="s">
        <v>4143</v>
      </c>
      <c r="I43" s="2" t="s">
        <v>4144</v>
      </c>
    </row>
    <row r="44">
      <c r="A44" s="2" t="s">
        <v>4145</v>
      </c>
      <c r="B44" s="2"/>
      <c r="C44" s="2"/>
      <c r="D44" s="2"/>
      <c r="E44" s="2" t="s">
        <v>4146</v>
      </c>
      <c r="F44" s="2" t="s">
        <v>4147</v>
      </c>
      <c r="G44" s="2" t="s">
        <v>3997</v>
      </c>
      <c r="H44" s="2" t="s">
        <v>4148</v>
      </c>
      <c r="I44" s="2" t="s">
        <v>4149</v>
      </c>
    </row>
    <row r="45">
      <c r="A45" s="2" t="s">
        <v>4150</v>
      </c>
      <c r="B45" s="2"/>
      <c r="C45" s="2"/>
      <c r="D45" s="2"/>
      <c r="E45" s="2" t="s">
        <v>4151</v>
      </c>
      <c r="F45" s="2" t="s">
        <v>3997</v>
      </c>
      <c r="G45" s="2" t="s">
        <v>3997</v>
      </c>
      <c r="H45" s="2" t="s">
        <v>647</v>
      </c>
      <c r="I45" s="7" t="s">
        <v>4152</v>
      </c>
    </row>
    <row r="46">
      <c r="A46" s="2" t="s">
        <v>4153</v>
      </c>
      <c r="B46" s="2"/>
      <c r="C46" s="2"/>
      <c r="D46" s="2"/>
      <c r="E46" s="2" t="s">
        <v>4154</v>
      </c>
      <c r="F46" s="2" t="s">
        <v>4155</v>
      </c>
      <c r="G46" s="2" t="s">
        <v>3952</v>
      </c>
      <c r="H46" s="2" t="s">
        <v>4156</v>
      </c>
      <c r="I46" s="2" t="s">
        <v>4157</v>
      </c>
    </row>
    <row r="47">
      <c r="A47" s="2" t="s">
        <v>4158</v>
      </c>
      <c r="B47" s="2"/>
      <c r="C47" s="2"/>
      <c r="D47" s="2"/>
      <c r="E47" s="2" t="s">
        <v>4159</v>
      </c>
      <c r="F47" s="2" t="s">
        <v>4160</v>
      </c>
      <c r="G47" s="2" t="s">
        <v>3957</v>
      </c>
      <c r="H47" s="2" t="s">
        <v>4161</v>
      </c>
      <c r="I47" s="2" t="s">
        <v>4162</v>
      </c>
    </row>
    <row r="48">
      <c r="A48" s="2" t="s">
        <v>4163</v>
      </c>
      <c r="B48" s="2"/>
      <c r="C48" s="2"/>
      <c r="D48" s="2"/>
      <c r="E48" s="2" t="s">
        <v>4164</v>
      </c>
      <c r="F48" s="2" t="s">
        <v>4165</v>
      </c>
      <c r="G48" s="2" t="s">
        <v>3997</v>
      </c>
      <c r="H48" s="2" t="s">
        <v>4166</v>
      </c>
      <c r="I48" s="2" t="s">
        <v>4167</v>
      </c>
    </row>
    <row r="49">
      <c r="A49" s="2" t="s">
        <v>4168</v>
      </c>
      <c r="B49" s="2"/>
      <c r="C49" s="2"/>
      <c r="D49" s="2"/>
      <c r="E49" s="2" t="s">
        <v>4169</v>
      </c>
      <c r="F49" s="2" t="s">
        <v>4170</v>
      </c>
      <c r="G49" s="2" t="s">
        <v>3957</v>
      </c>
      <c r="H49" s="2" t="s">
        <v>647</v>
      </c>
      <c r="I49" s="2" t="s">
        <v>4171</v>
      </c>
    </row>
    <row r="50">
      <c r="A50" s="2" t="s">
        <v>4172</v>
      </c>
      <c r="B50" s="2"/>
      <c r="C50" s="2"/>
      <c r="D50" s="2"/>
      <c r="E50" s="2" t="s">
        <v>4173</v>
      </c>
      <c r="F50" s="2" t="s">
        <v>4174</v>
      </c>
      <c r="G50" s="2" t="s">
        <v>3957</v>
      </c>
      <c r="H50" s="2" t="s">
        <v>647</v>
      </c>
      <c r="I50" s="2" t="s">
        <v>4175</v>
      </c>
    </row>
    <row r="51">
      <c r="A51" s="2" t="s">
        <v>4176</v>
      </c>
      <c r="B51" s="2"/>
      <c r="C51" s="2"/>
      <c r="D51" s="2"/>
      <c r="E51" s="2" t="s">
        <v>4177</v>
      </c>
      <c r="F51" s="2" t="s">
        <v>4178</v>
      </c>
      <c r="G51" s="2" t="s">
        <v>3957</v>
      </c>
      <c r="H51" s="2" t="s">
        <v>647</v>
      </c>
      <c r="I51" s="2" t="s">
        <v>4179</v>
      </c>
    </row>
    <row r="52">
      <c r="A52" s="2" t="s">
        <v>4180</v>
      </c>
      <c r="B52" s="2"/>
      <c r="C52" s="2"/>
      <c r="D52" s="2"/>
      <c r="E52" s="2" t="s">
        <v>4181</v>
      </c>
      <c r="F52" s="2" t="s">
        <v>4182</v>
      </c>
      <c r="G52" s="2" t="s">
        <v>3957</v>
      </c>
      <c r="H52" s="2" t="s">
        <v>4183</v>
      </c>
      <c r="I52" s="2" t="s">
        <v>4184</v>
      </c>
    </row>
    <row r="53">
      <c r="A53" s="2" t="s">
        <v>4185</v>
      </c>
      <c r="B53" s="2"/>
      <c r="C53" s="2"/>
      <c r="D53" s="2"/>
      <c r="E53" s="2" t="s">
        <v>4186</v>
      </c>
      <c r="F53" s="2" t="s">
        <v>4187</v>
      </c>
      <c r="G53" s="2" t="s">
        <v>3952</v>
      </c>
      <c r="H53" s="2" t="s">
        <v>4188</v>
      </c>
      <c r="I53" s="2" t="s">
        <v>4189</v>
      </c>
    </row>
    <row r="54">
      <c r="A54" s="2" t="s">
        <v>4190</v>
      </c>
      <c r="B54" s="2"/>
      <c r="C54" s="2"/>
      <c r="D54" s="2"/>
      <c r="E54" s="2" t="s">
        <v>4191</v>
      </c>
      <c r="F54" s="2" t="s">
        <v>4192</v>
      </c>
      <c r="G54" s="2" t="s">
        <v>3957</v>
      </c>
      <c r="H54" s="2" t="s">
        <v>647</v>
      </c>
      <c r="I54" s="7" t="s">
        <v>4193</v>
      </c>
    </row>
    <row r="55">
      <c r="A55" s="2" t="s">
        <v>4194</v>
      </c>
      <c r="B55" s="2"/>
      <c r="C55" s="2"/>
      <c r="D55" s="2"/>
      <c r="E55" s="2" t="s">
        <v>4195</v>
      </c>
      <c r="F55" s="2" t="s">
        <v>4196</v>
      </c>
      <c r="G55" s="2" t="s">
        <v>3957</v>
      </c>
      <c r="H55" s="2" t="s">
        <v>647</v>
      </c>
      <c r="I55" s="7" t="s">
        <v>4197</v>
      </c>
    </row>
    <row r="56">
      <c r="A56" s="2" t="s">
        <v>4198</v>
      </c>
      <c r="B56" s="2"/>
      <c r="C56" s="2"/>
      <c r="D56" s="2"/>
      <c r="E56" s="2" t="s">
        <v>4199</v>
      </c>
      <c r="F56" s="2" t="s">
        <v>4200</v>
      </c>
      <c r="G56" s="2" t="s">
        <v>3957</v>
      </c>
      <c r="H56" s="2" t="s">
        <v>4201</v>
      </c>
      <c r="I56" s="2" t="s">
        <v>4202</v>
      </c>
    </row>
    <row r="57">
      <c r="A57" s="2" t="s">
        <v>4203</v>
      </c>
      <c r="B57" s="2"/>
      <c r="C57" s="2"/>
      <c r="D57" s="2"/>
      <c r="E57" s="7" t="s">
        <v>4204</v>
      </c>
      <c r="F57" s="2" t="s">
        <v>4205</v>
      </c>
      <c r="G57" s="2" t="s">
        <v>3957</v>
      </c>
      <c r="H57" s="2" t="s">
        <v>4206</v>
      </c>
      <c r="I57" s="2" t="s">
        <v>4207</v>
      </c>
    </row>
    <row r="58">
      <c r="A58" s="2" t="s">
        <v>4208</v>
      </c>
      <c r="B58" s="2"/>
      <c r="C58" s="2"/>
      <c r="D58" s="2"/>
      <c r="E58" s="2" t="s">
        <v>4209</v>
      </c>
      <c r="F58" s="2" t="s">
        <v>4210</v>
      </c>
      <c r="G58" s="2" t="s">
        <v>3957</v>
      </c>
      <c r="H58" s="2" t="s">
        <v>647</v>
      </c>
      <c r="I58" s="2" t="s">
        <v>4211</v>
      </c>
    </row>
    <row r="59">
      <c r="A59" s="2" t="s">
        <v>4212</v>
      </c>
      <c r="B59" s="2"/>
      <c r="C59" s="2"/>
      <c r="D59" s="2"/>
      <c r="E59" s="2" t="s">
        <v>4213</v>
      </c>
      <c r="F59" s="2" t="s">
        <v>4214</v>
      </c>
      <c r="G59" s="2" t="s">
        <v>3957</v>
      </c>
      <c r="H59" s="2" t="s">
        <v>4215</v>
      </c>
      <c r="I59" s="2" t="s">
        <v>4216</v>
      </c>
    </row>
    <row r="60">
      <c r="A60" s="2" t="s">
        <v>4217</v>
      </c>
      <c r="B60" s="2"/>
      <c r="C60" s="2"/>
      <c r="D60" s="2"/>
      <c r="E60" s="7" t="s">
        <v>4218</v>
      </c>
      <c r="F60" s="2" t="s">
        <v>4219</v>
      </c>
      <c r="G60" s="2" t="s">
        <v>3957</v>
      </c>
      <c r="H60" s="2" t="s">
        <v>647</v>
      </c>
      <c r="I60" s="2" t="s">
        <v>4220</v>
      </c>
    </row>
    <row r="61">
      <c r="A61" s="2" t="s">
        <v>4221</v>
      </c>
      <c r="B61" s="2"/>
      <c r="C61" s="2"/>
      <c r="D61" s="2"/>
      <c r="E61" s="2" t="s">
        <v>4222</v>
      </c>
      <c r="F61" s="2" t="s">
        <v>4223</v>
      </c>
      <c r="G61" s="2" t="s">
        <v>3957</v>
      </c>
      <c r="H61" s="2" t="s">
        <v>4224</v>
      </c>
      <c r="I61" s="2" t="s">
        <v>4225</v>
      </c>
    </row>
    <row r="62">
      <c r="A62" s="2" t="s">
        <v>4226</v>
      </c>
      <c r="B62" s="2"/>
      <c r="C62" s="2"/>
      <c r="D62" s="2"/>
      <c r="E62" s="2" t="s">
        <v>4227</v>
      </c>
      <c r="F62" s="2" t="s">
        <v>4228</v>
      </c>
      <c r="G62" s="2" t="s">
        <v>3952</v>
      </c>
      <c r="H62" s="2" t="s">
        <v>4229</v>
      </c>
      <c r="I62" s="2" t="s">
        <v>4230</v>
      </c>
    </row>
    <row r="63">
      <c r="A63" s="2" t="s">
        <v>4231</v>
      </c>
      <c r="B63" s="2"/>
      <c r="C63" s="2"/>
      <c r="D63" s="2"/>
      <c r="E63" s="2" t="s">
        <v>4232</v>
      </c>
      <c r="F63" s="2" t="s">
        <v>4233</v>
      </c>
      <c r="G63" s="2" t="s">
        <v>3957</v>
      </c>
      <c r="H63" s="2" t="s">
        <v>4234</v>
      </c>
      <c r="I63" s="2" t="s">
        <v>4235</v>
      </c>
    </row>
    <row r="64">
      <c r="A64" s="2" t="s">
        <v>4236</v>
      </c>
      <c r="B64" s="2"/>
      <c r="C64" s="2"/>
      <c r="D64" s="2"/>
      <c r="E64" s="2" t="s">
        <v>4237</v>
      </c>
      <c r="F64" s="2" t="s">
        <v>4238</v>
      </c>
      <c r="G64" s="2" t="s">
        <v>3957</v>
      </c>
      <c r="H64" s="2" t="s">
        <v>647</v>
      </c>
      <c r="I64" s="2" t="s">
        <v>4239</v>
      </c>
    </row>
    <row r="65">
      <c r="A65" s="2" t="s">
        <v>4240</v>
      </c>
      <c r="B65" s="2"/>
      <c r="C65" s="2"/>
      <c r="D65" s="2"/>
      <c r="E65" s="2" t="s">
        <v>4241</v>
      </c>
      <c r="F65" s="2" t="s">
        <v>4242</v>
      </c>
      <c r="G65" s="2" t="s">
        <v>4034</v>
      </c>
      <c r="H65" s="2" t="s">
        <v>647</v>
      </c>
      <c r="I65" s="7" t="s">
        <v>4243</v>
      </c>
    </row>
    <row r="66">
      <c r="A66" s="2" t="s">
        <v>4244</v>
      </c>
      <c r="B66" s="2"/>
      <c r="C66" s="2"/>
      <c r="D66" s="2"/>
      <c r="E66" s="2" t="s">
        <v>4245</v>
      </c>
      <c r="F66" s="2" t="s">
        <v>4246</v>
      </c>
      <c r="G66" s="2" t="s">
        <v>3957</v>
      </c>
      <c r="H66" s="2" t="s">
        <v>4247</v>
      </c>
      <c r="I66" s="7" t="s">
        <v>4248</v>
      </c>
    </row>
    <row r="67">
      <c r="A67" s="2" t="s">
        <v>4249</v>
      </c>
      <c r="B67" s="2"/>
      <c r="C67" s="2"/>
      <c r="D67" s="2"/>
      <c r="E67" s="2" t="s">
        <v>4250</v>
      </c>
      <c r="F67" s="2" t="s">
        <v>4251</v>
      </c>
      <c r="G67" s="2" t="s">
        <v>3957</v>
      </c>
      <c r="H67" s="2" t="s">
        <v>4252</v>
      </c>
      <c r="I67" s="2" t="s">
        <v>4253</v>
      </c>
    </row>
    <row r="68">
      <c r="A68" s="2" t="s">
        <v>4254</v>
      </c>
      <c r="B68" s="2"/>
      <c r="C68" s="2"/>
      <c r="D68" s="2"/>
      <c r="E68" s="2" t="s">
        <v>4255</v>
      </c>
      <c r="F68" s="2" t="s">
        <v>4256</v>
      </c>
      <c r="G68" s="2" t="s">
        <v>3952</v>
      </c>
      <c r="H68" s="2" t="s">
        <v>4257</v>
      </c>
      <c r="I68" s="2" t="s">
        <v>4258</v>
      </c>
    </row>
    <row r="69">
      <c r="A69" s="2" t="s">
        <v>4259</v>
      </c>
      <c r="B69" s="2"/>
      <c r="C69" s="2"/>
      <c r="D69" s="2"/>
      <c r="E69" s="2" t="s">
        <v>4260</v>
      </c>
      <c r="F69" s="2" t="s">
        <v>4261</v>
      </c>
      <c r="G69" s="2" t="s">
        <v>3957</v>
      </c>
      <c r="H69" s="2" t="s">
        <v>4262</v>
      </c>
      <c r="I69" s="2" t="s">
        <v>4263</v>
      </c>
    </row>
    <row r="70">
      <c r="A70" s="2" t="s">
        <v>4264</v>
      </c>
      <c r="B70" s="2"/>
      <c r="C70" s="2"/>
      <c r="D70" s="2"/>
      <c r="E70" s="2" t="s">
        <v>4265</v>
      </c>
      <c r="F70" s="2" t="s">
        <v>4266</v>
      </c>
      <c r="G70" s="2" t="s">
        <v>3952</v>
      </c>
      <c r="H70" s="2" t="s">
        <v>647</v>
      </c>
      <c r="I70" s="2" t="s">
        <v>4267</v>
      </c>
    </row>
    <row r="71">
      <c r="A71" s="2" t="s">
        <v>4268</v>
      </c>
      <c r="B71" s="2"/>
      <c r="C71" s="2"/>
      <c r="D71" s="2"/>
      <c r="E71" s="2" t="s">
        <v>4269</v>
      </c>
      <c r="F71" s="2" t="s">
        <v>4270</v>
      </c>
      <c r="G71" s="2" t="s">
        <v>3957</v>
      </c>
      <c r="H71" s="2" t="s">
        <v>4271</v>
      </c>
      <c r="I71" s="2" t="s">
        <v>4272</v>
      </c>
    </row>
    <row r="72">
      <c r="A72" s="2" t="s">
        <v>4273</v>
      </c>
      <c r="B72" s="2"/>
      <c r="C72" s="2"/>
      <c r="D72" s="2"/>
      <c r="E72" s="2" t="s">
        <v>4274</v>
      </c>
      <c r="F72" s="2" t="s">
        <v>4275</v>
      </c>
      <c r="G72" s="2" t="s">
        <v>3957</v>
      </c>
      <c r="H72" s="2" t="s">
        <v>4276</v>
      </c>
      <c r="I72" s="2" t="s">
        <v>4277</v>
      </c>
    </row>
    <row r="73">
      <c r="A73" s="2" t="s">
        <v>4278</v>
      </c>
      <c r="B73" s="2"/>
      <c r="C73" s="2"/>
      <c r="D73" s="2"/>
      <c r="E73" s="2" t="s">
        <v>4279</v>
      </c>
      <c r="F73" s="2" t="s">
        <v>4280</v>
      </c>
      <c r="G73" s="2" t="s">
        <v>3957</v>
      </c>
      <c r="H73" s="2" t="s">
        <v>647</v>
      </c>
      <c r="I73" s="2" t="s">
        <v>4281</v>
      </c>
    </row>
    <row r="74">
      <c r="A74" s="2" t="s">
        <v>4282</v>
      </c>
      <c r="B74" s="2"/>
      <c r="C74" s="2"/>
      <c r="D74" s="2"/>
      <c r="E74" s="2" t="s">
        <v>4283</v>
      </c>
      <c r="F74" s="2" t="s">
        <v>4284</v>
      </c>
      <c r="G74" s="2" t="s">
        <v>3952</v>
      </c>
      <c r="H74" s="2" t="s">
        <v>4285</v>
      </c>
      <c r="I74" s="2" t="s">
        <v>4286</v>
      </c>
    </row>
    <row r="75">
      <c r="A75" s="2" t="s">
        <v>4287</v>
      </c>
      <c r="B75" s="2"/>
      <c r="C75" s="2"/>
      <c r="D75" s="2"/>
      <c r="E75" s="2" t="s">
        <v>4288</v>
      </c>
      <c r="F75" s="2" t="s">
        <v>4289</v>
      </c>
      <c r="G75" s="2" t="s">
        <v>3957</v>
      </c>
      <c r="H75" s="2" t="s">
        <v>647</v>
      </c>
      <c r="I75" s="2" t="s">
        <v>4290</v>
      </c>
    </row>
    <row r="76">
      <c r="A76" s="2" t="s">
        <v>4291</v>
      </c>
      <c r="B76" s="2"/>
      <c r="C76" s="2"/>
      <c r="D76" s="2"/>
      <c r="E76" s="2" t="s">
        <v>4292</v>
      </c>
      <c r="F76" s="2" t="s">
        <v>4293</v>
      </c>
      <c r="G76" s="2" t="s">
        <v>3957</v>
      </c>
      <c r="H76" s="2" t="s">
        <v>647</v>
      </c>
      <c r="I76" s="2" t="s">
        <v>4294</v>
      </c>
    </row>
    <row r="77">
      <c r="A77" s="2" t="s">
        <v>4295</v>
      </c>
      <c r="B77" s="2"/>
      <c r="C77" s="2"/>
      <c r="D77" s="2"/>
      <c r="E77" s="2" t="s">
        <v>4296</v>
      </c>
      <c r="F77" s="2" t="s">
        <v>4297</v>
      </c>
      <c r="G77" s="2" t="s">
        <v>3957</v>
      </c>
      <c r="H77" s="2" t="s">
        <v>647</v>
      </c>
      <c r="I77" s="7" t="s">
        <v>4298</v>
      </c>
    </row>
    <row r="78">
      <c r="A78" s="2" t="s">
        <v>4299</v>
      </c>
      <c r="B78" s="2"/>
      <c r="C78" s="2"/>
      <c r="D78" s="2"/>
      <c r="E78" s="2" t="s">
        <v>4300</v>
      </c>
      <c r="F78" s="2" t="s">
        <v>4301</v>
      </c>
      <c r="G78" s="2" t="s">
        <v>3952</v>
      </c>
      <c r="H78" s="2" t="s">
        <v>4302</v>
      </c>
      <c r="I78" s="2" t="s">
        <v>4303</v>
      </c>
    </row>
    <row r="79">
      <c r="A79" s="2" t="s">
        <v>4304</v>
      </c>
      <c r="B79" s="2"/>
      <c r="C79" s="2"/>
      <c r="D79" s="2"/>
      <c r="E79" s="2" t="s">
        <v>4305</v>
      </c>
      <c r="F79" s="2" t="s">
        <v>4306</v>
      </c>
      <c r="G79" s="2" t="s">
        <v>3997</v>
      </c>
      <c r="H79" s="2" t="s">
        <v>647</v>
      </c>
      <c r="I79" s="2" t="s">
        <v>4307</v>
      </c>
    </row>
    <row r="80">
      <c r="A80" s="2" t="s">
        <v>4308</v>
      </c>
      <c r="B80" s="2"/>
      <c r="C80" s="2"/>
      <c r="D80" s="2"/>
      <c r="E80" s="2" t="s">
        <v>4309</v>
      </c>
      <c r="F80" s="2" t="s">
        <v>4310</v>
      </c>
      <c r="G80" s="2" t="s">
        <v>3957</v>
      </c>
      <c r="H80" s="2" t="s">
        <v>4311</v>
      </c>
      <c r="I80" s="2" t="s">
        <v>4312</v>
      </c>
    </row>
    <row r="81">
      <c r="A81" s="2" t="s">
        <v>4313</v>
      </c>
      <c r="B81" s="2"/>
      <c r="C81" s="2"/>
      <c r="D81" s="2"/>
      <c r="E81" s="2" t="s">
        <v>4314</v>
      </c>
      <c r="F81" s="2" t="s">
        <v>4315</v>
      </c>
      <c r="G81" s="2" t="s">
        <v>3957</v>
      </c>
      <c r="H81" s="2" t="s">
        <v>4316</v>
      </c>
      <c r="I81" s="2" t="s">
        <v>4317</v>
      </c>
    </row>
    <row r="82">
      <c r="A82" s="2" t="s">
        <v>4318</v>
      </c>
      <c r="B82" s="2"/>
      <c r="C82" s="2"/>
      <c r="D82" s="2"/>
      <c r="E82" s="2" t="s">
        <v>4319</v>
      </c>
      <c r="F82" s="2" t="s">
        <v>4320</v>
      </c>
      <c r="G82" s="2" t="s">
        <v>3957</v>
      </c>
      <c r="H82" s="2" t="s">
        <v>4321</v>
      </c>
      <c r="I82" s="2" t="s">
        <v>4322</v>
      </c>
    </row>
    <row r="83">
      <c r="A83" s="2" t="s">
        <v>4323</v>
      </c>
      <c r="B83" s="2"/>
      <c r="C83" s="2"/>
      <c r="D83" s="2"/>
      <c r="E83" s="2" t="s">
        <v>4324</v>
      </c>
      <c r="F83" s="2" t="s">
        <v>4325</v>
      </c>
      <c r="G83" s="2" t="s">
        <v>3997</v>
      </c>
      <c r="H83" s="2" t="s">
        <v>647</v>
      </c>
      <c r="I83" s="2" t="s">
        <v>4326</v>
      </c>
    </row>
    <row r="84">
      <c r="A84" s="2" t="s">
        <v>4327</v>
      </c>
      <c r="B84" s="2"/>
      <c r="C84" s="2"/>
      <c r="D84" s="2"/>
      <c r="E84" s="2" t="s">
        <v>4328</v>
      </c>
      <c r="F84" s="2" t="s">
        <v>4329</v>
      </c>
      <c r="G84" s="2" t="s">
        <v>3952</v>
      </c>
      <c r="H84" s="2" t="s">
        <v>647</v>
      </c>
      <c r="I84" s="2" t="s">
        <v>4330</v>
      </c>
    </row>
    <row r="85">
      <c r="A85" s="2" t="s">
        <v>4331</v>
      </c>
      <c r="B85" s="2"/>
      <c r="C85" s="2"/>
      <c r="D85" s="2"/>
      <c r="E85" s="2" t="s">
        <v>4332</v>
      </c>
      <c r="F85" s="2" t="s">
        <v>4333</v>
      </c>
      <c r="G85" s="2" t="s">
        <v>3957</v>
      </c>
      <c r="H85" s="2" t="s">
        <v>4334</v>
      </c>
      <c r="I85" s="2" t="s">
        <v>4335</v>
      </c>
    </row>
    <row r="86">
      <c r="A86" s="2" t="s">
        <v>4336</v>
      </c>
      <c r="B86" s="2"/>
      <c r="C86" s="2"/>
      <c r="D86" s="2"/>
      <c r="E86" s="2" t="s">
        <v>4337</v>
      </c>
      <c r="F86" s="2" t="s">
        <v>4338</v>
      </c>
      <c r="G86" s="2" t="s">
        <v>3957</v>
      </c>
      <c r="H86" s="2" t="s">
        <v>647</v>
      </c>
      <c r="I86" s="2" t="s">
        <v>4339</v>
      </c>
    </row>
    <row r="87">
      <c r="A87" s="2" t="s">
        <v>4340</v>
      </c>
      <c r="B87" s="2"/>
      <c r="C87" s="2"/>
      <c r="D87" s="2"/>
      <c r="E87" s="2" t="s">
        <v>4341</v>
      </c>
      <c r="F87" s="2" t="s">
        <v>4342</v>
      </c>
      <c r="G87" s="2" t="s">
        <v>4034</v>
      </c>
      <c r="H87" s="2" t="s">
        <v>647</v>
      </c>
      <c r="I87" s="2" t="s">
        <v>4343</v>
      </c>
    </row>
    <row r="88">
      <c r="A88" s="2" t="s">
        <v>4344</v>
      </c>
      <c r="B88" s="2"/>
      <c r="C88" s="2"/>
      <c r="D88" s="2"/>
      <c r="E88" s="2" t="s">
        <v>4345</v>
      </c>
      <c r="F88" s="2" t="s">
        <v>4346</v>
      </c>
      <c r="G88" s="2" t="s">
        <v>3957</v>
      </c>
      <c r="H88" s="2" t="s">
        <v>647</v>
      </c>
      <c r="I88" s="2" t="s">
        <v>4347</v>
      </c>
    </row>
    <row r="89">
      <c r="A89" s="2" t="s">
        <v>4348</v>
      </c>
      <c r="B89" s="2"/>
      <c r="C89" s="2"/>
      <c r="D89" s="2"/>
      <c r="E89" s="2" t="s">
        <v>3065</v>
      </c>
      <c r="F89" s="2" t="s">
        <v>4349</v>
      </c>
      <c r="G89" s="2" t="s">
        <v>3952</v>
      </c>
      <c r="H89" s="2" t="s">
        <v>4350</v>
      </c>
      <c r="I89" s="2" t="s">
        <v>4351</v>
      </c>
    </row>
    <row r="90">
      <c r="A90" s="2" t="s">
        <v>4352</v>
      </c>
      <c r="B90" s="2"/>
      <c r="C90" s="2"/>
      <c r="D90" s="2"/>
      <c r="E90" s="2" t="s">
        <v>4353</v>
      </c>
      <c r="F90" s="2" t="s">
        <v>4354</v>
      </c>
      <c r="G90" s="2" t="s">
        <v>3957</v>
      </c>
      <c r="H90" s="2" t="s">
        <v>647</v>
      </c>
      <c r="I90" s="7" t="s">
        <v>4355</v>
      </c>
    </row>
    <row r="91">
      <c r="A91" s="2" t="s">
        <v>4356</v>
      </c>
      <c r="B91" s="2"/>
      <c r="C91" s="2"/>
      <c r="D91" s="2"/>
      <c r="E91" s="2" t="s">
        <v>4357</v>
      </c>
      <c r="F91" s="2" t="s">
        <v>4358</v>
      </c>
      <c r="G91" s="2" t="s">
        <v>4359</v>
      </c>
      <c r="H91" s="2" t="s">
        <v>4360</v>
      </c>
      <c r="I91" s="2" t="s">
        <v>4361</v>
      </c>
    </row>
    <row r="92">
      <c r="A92" s="2" t="s">
        <v>4362</v>
      </c>
      <c r="B92" s="2"/>
      <c r="C92" s="2"/>
      <c r="D92" s="2"/>
      <c r="E92" s="2" t="s">
        <v>4363</v>
      </c>
      <c r="F92" s="2" t="s">
        <v>4364</v>
      </c>
      <c r="G92" s="2" t="s">
        <v>3957</v>
      </c>
      <c r="H92" s="2" t="s">
        <v>4365</v>
      </c>
      <c r="I92" s="2" t="s">
        <v>4366</v>
      </c>
    </row>
    <row r="93">
      <c r="A93" s="2" t="s">
        <v>4367</v>
      </c>
      <c r="B93" s="2"/>
      <c r="C93" s="2"/>
      <c r="D93" s="2"/>
      <c r="E93" s="2" t="s">
        <v>4368</v>
      </c>
      <c r="F93" s="2" t="s">
        <v>4369</v>
      </c>
      <c r="G93" s="2" t="s">
        <v>3957</v>
      </c>
      <c r="H93" s="2" t="s">
        <v>4370</v>
      </c>
      <c r="I93" s="2" t="s">
        <v>4371</v>
      </c>
    </row>
    <row r="94">
      <c r="A94" s="2" t="s">
        <v>4372</v>
      </c>
      <c r="B94" s="2"/>
      <c r="C94" s="2"/>
      <c r="D94" s="2"/>
      <c r="E94" s="2" t="s">
        <v>4373</v>
      </c>
      <c r="F94" s="2" t="s">
        <v>4374</v>
      </c>
      <c r="G94" s="2" t="s">
        <v>3957</v>
      </c>
      <c r="H94" s="2" t="s">
        <v>4375</v>
      </c>
      <c r="I94" s="2" t="s">
        <v>4376</v>
      </c>
    </row>
    <row r="95">
      <c r="A95" s="2" t="s">
        <v>4377</v>
      </c>
      <c r="B95" s="2"/>
      <c r="C95" s="2"/>
      <c r="D95" s="2"/>
      <c r="E95" s="2" t="s">
        <v>4378</v>
      </c>
      <c r="F95" s="2" t="s">
        <v>4379</v>
      </c>
      <c r="G95" s="2" t="s">
        <v>3957</v>
      </c>
      <c r="H95" s="2" t="s">
        <v>4380</v>
      </c>
      <c r="I95" s="2" t="s">
        <v>4381</v>
      </c>
    </row>
    <row r="96">
      <c r="A96" s="2" t="s">
        <v>4382</v>
      </c>
      <c r="B96" s="2"/>
      <c r="C96" s="2"/>
      <c r="D96" s="2"/>
      <c r="E96" s="2" t="s">
        <v>4383</v>
      </c>
      <c r="F96" s="2" t="s">
        <v>4384</v>
      </c>
      <c r="G96" s="2" t="s">
        <v>3957</v>
      </c>
      <c r="H96" s="2" t="s">
        <v>647</v>
      </c>
      <c r="I96" s="2" t="s">
        <v>4385</v>
      </c>
    </row>
    <row r="97">
      <c r="A97" s="2" t="s">
        <v>4386</v>
      </c>
      <c r="B97" s="2"/>
      <c r="C97" s="2"/>
      <c r="D97" s="2"/>
      <c r="E97" s="2" t="s">
        <v>4387</v>
      </c>
      <c r="F97" s="2" t="s">
        <v>4388</v>
      </c>
      <c r="G97" s="2" t="s">
        <v>3957</v>
      </c>
      <c r="H97" s="2" t="s">
        <v>4389</v>
      </c>
      <c r="I97" s="2" t="s">
        <v>4390</v>
      </c>
    </row>
    <row r="98">
      <c r="A98" s="2" t="s">
        <v>4391</v>
      </c>
      <c r="B98" s="2"/>
      <c r="C98" s="2"/>
      <c r="D98" s="2"/>
      <c r="E98" s="2" t="s">
        <v>4392</v>
      </c>
      <c r="F98" s="2" t="s">
        <v>4393</v>
      </c>
      <c r="G98" s="2" t="s">
        <v>3957</v>
      </c>
      <c r="H98" s="2" t="s">
        <v>4394</v>
      </c>
      <c r="I98" s="2" t="s">
        <v>4395</v>
      </c>
    </row>
    <row r="99">
      <c r="A99" s="2" t="s">
        <v>4396</v>
      </c>
      <c r="B99" s="2"/>
      <c r="C99" s="2"/>
      <c r="D99" s="2"/>
      <c r="E99" s="2" t="s">
        <v>3108</v>
      </c>
      <c r="F99" s="2" t="s">
        <v>4397</v>
      </c>
      <c r="G99" s="2" t="s">
        <v>3957</v>
      </c>
      <c r="H99" s="2" t="s">
        <v>4398</v>
      </c>
      <c r="I99" s="2" t="s">
        <v>4399</v>
      </c>
    </row>
    <row r="100">
      <c r="A100" s="2" t="s">
        <v>4400</v>
      </c>
      <c r="B100" s="2"/>
      <c r="C100" s="2"/>
      <c r="D100" s="2"/>
      <c r="E100" s="2" t="s">
        <v>4401</v>
      </c>
      <c r="F100" s="2" t="s">
        <v>4402</v>
      </c>
      <c r="G100" s="2" t="s">
        <v>3997</v>
      </c>
      <c r="H100" s="2" t="s">
        <v>647</v>
      </c>
      <c r="I100" s="2" t="s">
        <v>4403</v>
      </c>
    </row>
    <row r="101">
      <c r="A101" s="2" t="s">
        <v>4404</v>
      </c>
      <c r="B101" s="2"/>
      <c r="C101" s="2"/>
      <c r="D101" s="2"/>
      <c r="E101" s="2" t="s">
        <v>4405</v>
      </c>
      <c r="F101" s="2" t="s">
        <v>4406</v>
      </c>
      <c r="G101" s="2" t="s">
        <v>3957</v>
      </c>
      <c r="H101" s="2" t="s">
        <v>647</v>
      </c>
      <c r="I101" s="2" t="s">
        <v>4407</v>
      </c>
    </row>
    <row r="102">
      <c r="A102" s="2" t="s">
        <v>4408</v>
      </c>
      <c r="B102" s="2"/>
      <c r="C102" s="2"/>
      <c r="D102" s="2"/>
      <c r="E102" s="2" t="s">
        <v>4409</v>
      </c>
      <c r="F102" s="2" t="s">
        <v>4410</v>
      </c>
      <c r="G102" s="2" t="s">
        <v>3957</v>
      </c>
      <c r="H102" s="2" t="s">
        <v>4411</v>
      </c>
      <c r="I102" s="2" t="s">
        <v>4412</v>
      </c>
    </row>
    <row r="103">
      <c r="A103" s="2" t="s">
        <v>4413</v>
      </c>
      <c r="B103" s="2"/>
      <c r="C103" s="2"/>
      <c r="D103" s="2"/>
      <c r="E103" s="2" t="s">
        <v>4414</v>
      </c>
      <c r="F103" s="2" t="s">
        <v>4415</v>
      </c>
      <c r="G103" s="2" t="s">
        <v>3957</v>
      </c>
      <c r="H103" s="2" t="s">
        <v>647</v>
      </c>
      <c r="I103" s="2" t="s">
        <v>4416</v>
      </c>
    </row>
    <row r="104">
      <c r="A104" s="2" t="s">
        <v>4417</v>
      </c>
      <c r="B104" s="2"/>
      <c r="C104" s="2"/>
      <c r="D104" s="2"/>
      <c r="E104" s="2" t="s">
        <v>4418</v>
      </c>
      <c r="F104" s="2" t="s">
        <v>4419</v>
      </c>
      <c r="G104" s="2" t="s">
        <v>3957</v>
      </c>
      <c r="H104" s="2" t="s">
        <v>4420</v>
      </c>
      <c r="I104" s="2" t="s">
        <v>4421</v>
      </c>
    </row>
    <row r="105">
      <c r="A105" s="2" t="s">
        <v>4422</v>
      </c>
      <c r="B105" s="2"/>
      <c r="C105" s="2"/>
      <c r="D105" s="2"/>
      <c r="E105" s="2" t="s">
        <v>4423</v>
      </c>
      <c r="F105" s="2" t="s">
        <v>4424</v>
      </c>
      <c r="G105" s="2" t="s">
        <v>3957</v>
      </c>
      <c r="H105" s="2" t="s">
        <v>4425</v>
      </c>
      <c r="I105" s="2" t="s">
        <v>4426</v>
      </c>
    </row>
    <row r="106">
      <c r="A106" s="2" t="s">
        <v>4427</v>
      </c>
      <c r="B106" s="2"/>
      <c r="C106" s="2"/>
      <c r="D106" s="2"/>
      <c r="E106" s="2" t="s">
        <v>4428</v>
      </c>
      <c r="F106" s="2" t="s">
        <v>4429</v>
      </c>
      <c r="G106" s="2" t="s">
        <v>3957</v>
      </c>
      <c r="H106" s="2" t="s">
        <v>4430</v>
      </c>
      <c r="I106" s="2" t="s">
        <v>4431</v>
      </c>
    </row>
    <row r="107">
      <c r="A107" s="2" t="s">
        <v>4432</v>
      </c>
      <c r="B107" s="2"/>
      <c r="C107" s="2"/>
      <c r="D107" s="2"/>
      <c r="E107" s="2" t="s">
        <v>4433</v>
      </c>
      <c r="F107" s="2" t="s">
        <v>4434</v>
      </c>
      <c r="G107" s="2" t="s">
        <v>3957</v>
      </c>
      <c r="H107" s="2" t="s">
        <v>4435</v>
      </c>
      <c r="I107" s="2" t="s">
        <v>4436</v>
      </c>
    </row>
    <row r="108">
      <c r="A108" s="2" t="s">
        <v>4437</v>
      </c>
      <c r="B108" s="2"/>
      <c r="C108" s="2"/>
      <c r="D108" s="2"/>
      <c r="E108" s="2" t="s">
        <v>4438</v>
      </c>
      <c r="F108" s="2" t="s">
        <v>4439</v>
      </c>
      <c r="G108" s="2" t="s">
        <v>3957</v>
      </c>
      <c r="H108" s="2" t="s">
        <v>647</v>
      </c>
      <c r="I108" s="2" t="s">
        <v>4440</v>
      </c>
    </row>
    <row r="109">
      <c r="A109" s="2" t="s">
        <v>4441</v>
      </c>
      <c r="B109" s="2"/>
      <c r="C109" s="2"/>
      <c r="D109" s="2"/>
      <c r="E109" s="2" t="s">
        <v>4442</v>
      </c>
      <c r="F109" s="2" t="s">
        <v>4443</v>
      </c>
      <c r="G109" s="2" t="s">
        <v>3957</v>
      </c>
      <c r="H109" s="2" t="s">
        <v>647</v>
      </c>
      <c r="I109" s="7" t="s">
        <v>4444</v>
      </c>
    </row>
    <row r="110">
      <c r="A110" s="2" t="s">
        <v>4445</v>
      </c>
      <c r="B110" s="2"/>
      <c r="C110" s="2"/>
      <c r="D110" s="2"/>
      <c r="E110" s="2" t="s">
        <v>4446</v>
      </c>
      <c r="F110" s="2" t="s">
        <v>4447</v>
      </c>
      <c r="G110" s="2" t="s">
        <v>3957</v>
      </c>
      <c r="H110" s="2" t="s">
        <v>647</v>
      </c>
      <c r="I110" s="2" t="s">
        <v>4448</v>
      </c>
    </row>
    <row r="111">
      <c r="A111" s="2" t="s">
        <v>4449</v>
      </c>
      <c r="B111" s="2"/>
      <c r="C111" s="2"/>
      <c r="D111" s="2"/>
      <c r="E111" s="2" t="s">
        <v>4450</v>
      </c>
      <c r="F111" s="2" t="s">
        <v>4451</v>
      </c>
      <c r="G111" s="2" t="s">
        <v>3957</v>
      </c>
      <c r="H111" s="2" t="s">
        <v>4452</v>
      </c>
      <c r="I111" s="2" t="s">
        <v>4453</v>
      </c>
    </row>
    <row r="112">
      <c r="A112" s="2" t="s">
        <v>4454</v>
      </c>
      <c r="B112" s="2"/>
      <c r="C112" s="2"/>
      <c r="D112" s="2"/>
      <c r="E112" s="2" t="s">
        <v>4455</v>
      </c>
      <c r="F112" s="2" t="s">
        <v>4456</v>
      </c>
      <c r="G112" s="2" t="s">
        <v>3957</v>
      </c>
      <c r="H112" s="2" t="s">
        <v>4457</v>
      </c>
      <c r="I112" s="2" t="s">
        <v>4458</v>
      </c>
    </row>
    <row r="113">
      <c r="A113" s="2" t="s">
        <v>4459</v>
      </c>
      <c r="B113" s="2"/>
      <c r="C113" s="2"/>
      <c r="D113" s="2"/>
      <c r="E113" s="2" t="s">
        <v>4460</v>
      </c>
      <c r="F113" s="2" t="s">
        <v>4461</v>
      </c>
      <c r="G113" s="2" t="s">
        <v>3957</v>
      </c>
      <c r="H113" s="2" t="s">
        <v>647</v>
      </c>
      <c r="I113" s="2" t="s">
        <v>4462</v>
      </c>
    </row>
    <row r="114">
      <c r="A114" s="2" t="s">
        <v>4463</v>
      </c>
      <c r="B114" s="2"/>
      <c r="C114" s="2"/>
      <c r="D114" s="2"/>
      <c r="E114" s="2" t="s">
        <v>4464</v>
      </c>
      <c r="F114" s="2" t="s">
        <v>4465</v>
      </c>
      <c r="G114" s="2" t="s">
        <v>3957</v>
      </c>
      <c r="H114" s="2" t="s">
        <v>4466</v>
      </c>
      <c r="I114" s="2" t="s">
        <v>4467</v>
      </c>
    </row>
    <row r="115">
      <c r="A115" s="2" t="s">
        <v>4468</v>
      </c>
      <c r="B115" s="2"/>
      <c r="C115" s="2"/>
      <c r="D115" s="2"/>
      <c r="E115" s="7" t="s">
        <v>4469</v>
      </c>
      <c r="F115" s="2" t="s">
        <v>4470</v>
      </c>
      <c r="G115" s="2" t="s">
        <v>3957</v>
      </c>
      <c r="H115" s="2" t="s">
        <v>647</v>
      </c>
      <c r="I115" s="2" t="s">
        <v>4471</v>
      </c>
    </row>
    <row r="116">
      <c r="A116" s="2" t="s">
        <v>4472</v>
      </c>
      <c r="B116" s="2"/>
      <c r="C116" s="2"/>
      <c r="D116" s="2"/>
      <c r="E116" s="2" t="s">
        <v>4473</v>
      </c>
      <c r="F116" s="2" t="s">
        <v>4474</v>
      </c>
      <c r="G116" s="2" t="s">
        <v>3957</v>
      </c>
      <c r="H116" s="2" t="s">
        <v>4475</v>
      </c>
      <c r="I116" s="2" t="s">
        <v>4476</v>
      </c>
    </row>
    <row r="117">
      <c r="A117" s="2" t="s">
        <v>4477</v>
      </c>
      <c r="B117" s="2"/>
      <c r="C117" s="2"/>
      <c r="D117" s="2"/>
      <c r="E117" s="2" t="s">
        <v>4478</v>
      </c>
      <c r="F117" s="2" t="s">
        <v>4479</v>
      </c>
      <c r="G117" s="2" t="s">
        <v>3957</v>
      </c>
      <c r="H117" s="2" t="s">
        <v>4480</v>
      </c>
      <c r="I117" s="2" t="s">
        <v>4481</v>
      </c>
    </row>
    <row r="118">
      <c r="A118" s="2" t="s">
        <v>4482</v>
      </c>
      <c r="B118" s="2"/>
      <c r="C118" s="2"/>
      <c r="D118" s="2"/>
      <c r="E118" s="2" t="s">
        <v>4483</v>
      </c>
      <c r="F118" s="2" t="s">
        <v>3997</v>
      </c>
      <c r="G118" s="2" t="s">
        <v>4484</v>
      </c>
      <c r="H118" s="2" t="s">
        <v>647</v>
      </c>
      <c r="I118" s="2" t="s">
        <v>4485</v>
      </c>
    </row>
    <row r="119">
      <c r="A119" s="2" t="s">
        <v>4486</v>
      </c>
      <c r="B119" s="2"/>
      <c r="C119" s="2"/>
      <c r="D119" s="2"/>
      <c r="E119" s="2" t="s">
        <v>4487</v>
      </c>
      <c r="F119" s="2" t="s">
        <v>4488</v>
      </c>
      <c r="G119" s="2" t="s">
        <v>4484</v>
      </c>
      <c r="H119" s="2" t="s">
        <v>647</v>
      </c>
      <c r="I119" s="2" t="s">
        <v>4489</v>
      </c>
    </row>
    <row r="120">
      <c r="A120" s="2" t="s">
        <v>4490</v>
      </c>
      <c r="B120" s="2"/>
      <c r="C120" s="2"/>
      <c r="D120" s="2"/>
      <c r="E120" s="2" t="s">
        <v>4491</v>
      </c>
      <c r="F120" s="2" t="s">
        <v>4492</v>
      </c>
      <c r="G120" s="2" t="s">
        <v>3957</v>
      </c>
      <c r="H120" s="2" t="s">
        <v>4493</v>
      </c>
      <c r="I120" s="2" t="s">
        <v>4494</v>
      </c>
    </row>
    <row r="121">
      <c r="A121" s="2" t="s">
        <v>4495</v>
      </c>
      <c r="B121" s="2"/>
      <c r="C121" s="2"/>
      <c r="D121" s="2"/>
      <c r="E121" s="2" t="s">
        <v>1966</v>
      </c>
      <c r="F121" s="2" t="s">
        <v>4496</v>
      </c>
      <c r="G121" s="2" t="s">
        <v>4497</v>
      </c>
      <c r="H121" s="2" t="s">
        <v>4498</v>
      </c>
      <c r="I121" s="2" t="s">
        <v>4499</v>
      </c>
    </row>
    <row r="122">
      <c r="A122" s="2" t="s">
        <v>4500</v>
      </c>
      <c r="B122" s="2"/>
      <c r="C122" s="2"/>
      <c r="D122" s="2"/>
      <c r="E122" s="2" t="s">
        <v>4501</v>
      </c>
      <c r="F122" s="2" t="s">
        <v>4502</v>
      </c>
      <c r="G122" s="2" t="s">
        <v>4484</v>
      </c>
      <c r="H122" s="2" t="s">
        <v>4503</v>
      </c>
      <c r="I122" s="2" t="s">
        <v>4504</v>
      </c>
    </row>
    <row r="123">
      <c r="A123" s="2" t="s">
        <v>4505</v>
      </c>
      <c r="B123" s="2"/>
      <c r="C123" s="2"/>
      <c r="D123" s="2"/>
      <c r="E123" s="2" t="s">
        <v>4506</v>
      </c>
      <c r="F123" s="2" t="s">
        <v>4507</v>
      </c>
      <c r="G123" s="2" t="s">
        <v>3997</v>
      </c>
      <c r="H123" s="2" t="s">
        <v>4508</v>
      </c>
      <c r="I123" s="2" t="s">
        <v>4509</v>
      </c>
    </row>
    <row r="124">
      <c r="A124" s="2" t="s">
        <v>4510</v>
      </c>
      <c r="B124" s="2"/>
      <c r="C124" s="2"/>
      <c r="D124" s="2"/>
      <c r="E124" s="2" t="s">
        <v>4511</v>
      </c>
      <c r="F124" s="2" t="s">
        <v>4512</v>
      </c>
      <c r="G124" s="2" t="s">
        <v>4484</v>
      </c>
      <c r="H124" s="2" t="s">
        <v>647</v>
      </c>
      <c r="I124" s="2" t="s">
        <v>4513</v>
      </c>
    </row>
    <row r="125">
      <c r="A125" s="2" t="s">
        <v>4514</v>
      </c>
      <c r="B125" s="2"/>
      <c r="C125" s="2"/>
      <c r="D125" s="2"/>
      <c r="E125" s="2" t="s">
        <v>4515</v>
      </c>
      <c r="F125" s="2" t="s">
        <v>4516</v>
      </c>
      <c r="G125" s="2" t="s">
        <v>3997</v>
      </c>
      <c r="H125" s="2" t="s">
        <v>647</v>
      </c>
      <c r="I125" s="2" t="s">
        <v>4517</v>
      </c>
    </row>
    <row r="126">
      <c r="A126" s="2" t="s">
        <v>4518</v>
      </c>
      <c r="B126" s="2"/>
      <c r="C126" s="2"/>
      <c r="D126" s="2"/>
      <c r="E126" s="2" t="s">
        <v>4519</v>
      </c>
      <c r="F126" s="2" t="s">
        <v>4520</v>
      </c>
      <c r="G126" s="2" t="s">
        <v>4484</v>
      </c>
      <c r="H126" s="2" t="s">
        <v>4521</v>
      </c>
      <c r="I126" s="2" t="s">
        <v>4522</v>
      </c>
    </row>
    <row r="127">
      <c r="A127" s="2" t="s">
        <v>4523</v>
      </c>
      <c r="B127" s="2"/>
      <c r="C127" s="2"/>
      <c r="D127" s="2"/>
      <c r="E127" s="2" t="s">
        <v>4524</v>
      </c>
      <c r="F127" s="2" t="s">
        <v>4525</v>
      </c>
      <c r="G127" s="2" t="s">
        <v>4484</v>
      </c>
      <c r="H127" s="2" t="s">
        <v>4526</v>
      </c>
      <c r="I127" s="2" t="s">
        <v>4527</v>
      </c>
    </row>
    <row r="128">
      <c r="A128" s="2" t="s">
        <v>4528</v>
      </c>
      <c r="B128" s="2"/>
      <c r="C128" s="2"/>
      <c r="D128" s="2"/>
      <c r="E128" s="2" t="s">
        <v>4529</v>
      </c>
      <c r="F128" s="2" t="s">
        <v>4530</v>
      </c>
      <c r="G128" s="2" t="s">
        <v>4531</v>
      </c>
      <c r="H128" s="2" t="s">
        <v>647</v>
      </c>
      <c r="I128" s="2" t="s">
        <v>4532</v>
      </c>
    </row>
    <row r="129">
      <c r="A129" s="2" t="s">
        <v>4533</v>
      </c>
      <c r="B129" s="2"/>
      <c r="C129" s="2"/>
      <c r="D129" s="2"/>
      <c r="E129" s="2" t="s">
        <v>4534</v>
      </c>
      <c r="F129" s="2" t="s">
        <v>4535</v>
      </c>
      <c r="G129" s="2" t="s">
        <v>3957</v>
      </c>
      <c r="H129" s="2" t="s">
        <v>4536</v>
      </c>
      <c r="I129" s="2" t="s">
        <v>4537</v>
      </c>
    </row>
    <row r="130">
      <c r="A130" s="2" t="s">
        <v>4538</v>
      </c>
      <c r="B130" s="2"/>
      <c r="C130" s="2"/>
      <c r="D130" s="2"/>
      <c r="E130" s="2" t="s">
        <v>4539</v>
      </c>
      <c r="F130" s="2" t="s">
        <v>4540</v>
      </c>
      <c r="G130" s="2" t="s">
        <v>4531</v>
      </c>
      <c r="H130" s="2" t="s">
        <v>4541</v>
      </c>
      <c r="I130" s="2" t="s">
        <v>4542</v>
      </c>
    </row>
    <row r="131">
      <c r="A131" s="2" t="s">
        <v>4543</v>
      </c>
      <c r="B131" s="2"/>
      <c r="C131" s="2"/>
      <c r="D131" s="2"/>
      <c r="E131" s="2" t="s">
        <v>4544</v>
      </c>
      <c r="F131" s="2" t="s">
        <v>4545</v>
      </c>
      <c r="G131" s="2" t="s">
        <v>4497</v>
      </c>
      <c r="H131" s="2" t="s">
        <v>647</v>
      </c>
      <c r="I131" s="7" t="s">
        <v>4546</v>
      </c>
    </row>
    <row r="132">
      <c r="A132" s="2" t="s">
        <v>4547</v>
      </c>
      <c r="B132" s="2"/>
      <c r="C132" s="2"/>
      <c r="D132" s="2"/>
      <c r="E132" s="2" t="s">
        <v>4548</v>
      </c>
      <c r="F132" s="2" t="s">
        <v>4549</v>
      </c>
      <c r="G132" s="2" t="s">
        <v>3997</v>
      </c>
      <c r="H132" s="2" t="s">
        <v>4550</v>
      </c>
      <c r="I132" s="2" t="s">
        <v>4551</v>
      </c>
    </row>
    <row r="133">
      <c r="A133" s="2" t="s">
        <v>4552</v>
      </c>
      <c r="B133" s="2"/>
      <c r="C133" s="2"/>
      <c r="D133" s="2"/>
      <c r="E133" s="2" t="s">
        <v>4553</v>
      </c>
      <c r="F133" s="2" t="s">
        <v>3997</v>
      </c>
      <c r="G133" s="2" t="s">
        <v>4484</v>
      </c>
      <c r="H133" s="2" t="s">
        <v>647</v>
      </c>
      <c r="I133" s="2" t="s">
        <v>4554</v>
      </c>
    </row>
    <row r="134">
      <c r="A134" s="2" t="s">
        <v>4555</v>
      </c>
      <c r="B134" s="2"/>
      <c r="C134" s="2"/>
      <c r="D134" s="2"/>
      <c r="E134" s="2" t="s">
        <v>4556</v>
      </c>
      <c r="F134" s="2" t="s">
        <v>4557</v>
      </c>
      <c r="G134" s="2" t="s">
        <v>4484</v>
      </c>
      <c r="H134" s="2" t="s">
        <v>4558</v>
      </c>
      <c r="I134" s="2" t="s">
        <v>4559</v>
      </c>
    </row>
    <row r="135">
      <c r="A135" s="2" t="s">
        <v>4560</v>
      </c>
      <c r="B135" s="2"/>
      <c r="C135" s="2"/>
      <c r="D135" s="2"/>
      <c r="E135" s="2" t="s">
        <v>4561</v>
      </c>
      <c r="F135" s="2" t="s">
        <v>4562</v>
      </c>
      <c r="G135" s="2" t="s">
        <v>3997</v>
      </c>
      <c r="H135" s="2" t="s">
        <v>647</v>
      </c>
      <c r="I135" s="7" t="s">
        <v>4563</v>
      </c>
    </row>
    <row r="136">
      <c r="A136" s="2" t="s">
        <v>4564</v>
      </c>
      <c r="B136" s="2"/>
      <c r="C136" s="2"/>
      <c r="D136" s="2"/>
      <c r="E136" s="2" t="s">
        <v>4565</v>
      </c>
      <c r="F136" s="2" t="s">
        <v>4566</v>
      </c>
      <c r="G136" s="2" t="s">
        <v>4484</v>
      </c>
      <c r="H136" s="2" t="s">
        <v>4567</v>
      </c>
      <c r="I136" s="2" t="s">
        <v>4568</v>
      </c>
    </row>
    <row r="137">
      <c r="A137" s="2" t="s">
        <v>4569</v>
      </c>
      <c r="B137" s="2"/>
      <c r="C137" s="2"/>
      <c r="D137" s="2"/>
      <c r="E137" s="2" t="s">
        <v>4570</v>
      </c>
      <c r="F137" s="2" t="s">
        <v>4571</v>
      </c>
      <c r="G137" s="2" t="s">
        <v>4497</v>
      </c>
      <c r="H137" s="2" t="s">
        <v>647</v>
      </c>
      <c r="I137" s="2" t="s">
        <v>4572</v>
      </c>
    </row>
    <row r="138">
      <c r="A138" s="2" t="s">
        <v>4573</v>
      </c>
      <c r="B138" s="2"/>
      <c r="C138" s="2"/>
      <c r="D138" s="2"/>
      <c r="E138" s="2" t="s">
        <v>4574</v>
      </c>
      <c r="F138" s="2" t="s">
        <v>4575</v>
      </c>
      <c r="G138" s="2" t="s">
        <v>4484</v>
      </c>
      <c r="H138" s="2" t="s">
        <v>647</v>
      </c>
      <c r="I138" s="2" t="s">
        <v>4576</v>
      </c>
    </row>
    <row r="139">
      <c r="A139" s="2" t="s">
        <v>4577</v>
      </c>
      <c r="B139" s="2"/>
      <c r="C139" s="2"/>
      <c r="D139" s="2"/>
      <c r="E139" s="2" t="s">
        <v>4578</v>
      </c>
      <c r="F139" s="2" t="s">
        <v>4579</v>
      </c>
      <c r="G139" s="2" t="s">
        <v>4497</v>
      </c>
      <c r="H139" s="2" t="s">
        <v>647</v>
      </c>
      <c r="I139" s="2" t="s">
        <v>4580</v>
      </c>
    </row>
    <row r="140">
      <c r="A140" s="2" t="s">
        <v>4581</v>
      </c>
      <c r="B140" s="2"/>
      <c r="C140" s="2"/>
      <c r="D140" s="2"/>
      <c r="E140" s="2" t="s">
        <v>4582</v>
      </c>
      <c r="F140" s="2" t="s">
        <v>4583</v>
      </c>
      <c r="G140" s="2" t="s">
        <v>3997</v>
      </c>
      <c r="H140" s="2" t="s">
        <v>647</v>
      </c>
      <c r="I140" s="2" t="s">
        <v>4584</v>
      </c>
    </row>
    <row r="141">
      <c r="A141" s="2" t="s">
        <v>4585</v>
      </c>
      <c r="B141" s="2"/>
      <c r="C141" s="2"/>
      <c r="D141" s="2"/>
      <c r="E141" s="2" t="s">
        <v>4586</v>
      </c>
      <c r="F141" s="2" t="s">
        <v>4587</v>
      </c>
      <c r="G141" s="2" t="s">
        <v>3957</v>
      </c>
      <c r="H141" s="2" t="s">
        <v>4588</v>
      </c>
      <c r="I141" s="2" t="s">
        <v>4589</v>
      </c>
    </row>
    <row r="142">
      <c r="A142" s="2" t="s">
        <v>4590</v>
      </c>
      <c r="B142" s="2"/>
      <c r="C142" s="2"/>
      <c r="D142" s="2"/>
      <c r="E142" s="2" t="s">
        <v>4591</v>
      </c>
      <c r="F142" s="2" t="s">
        <v>4592</v>
      </c>
      <c r="G142" s="2" t="s">
        <v>4497</v>
      </c>
      <c r="H142" s="2" t="s">
        <v>647</v>
      </c>
      <c r="I142" s="2" t="s">
        <v>4593</v>
      </c>
    </row>
    <row r="143">
      <c r="A143" s="2" t="s">
        <v>4594</v>
      </c>
      <c r="B143" s="2"/>
      <c r="C143" s="2"/>
      <c r="D143" s="2"/>
      <c r="E143" s="2" t="s">
        <v>4595</v>
      </c>
      <c r="F143" s="2" t="s">
        <v>4596</v>
      </c>
      <c r="G143" s="2" t="s">
        <v>4484</v>
      </c>
      <c r="H143" s="2" t="s">
        <v>647</v>
      </c>
      <c r="I143" s="2" t="s">
        <v>4597</v>
      </c>
    </row>
    <row r="144">
      <c r="A144" s="2" t="s">
        <v>4598</v>
      </c>
      <c r="B144" s="2"/>
      <c r="C144" s="2"/>
      <c r="D144" s="2"/>
      <c r="E144" s="2" t="s">
        <v>4599</v>
      </c>
      <c r="F144" s="2" t="s">
        <v>4600</v>
      </c>
      <c r="G144" s="2" t="s">
        <v>3997</v>
      </c>
      <c r="H144" s="2" t="s">
        <v>647</v>
      </c>
      <c r="I144" s="2" t="s">
        <v>4601</v>
      </c>
    </row>
    <row r="145">
      <c r="A145" s="2" t="s">
        <v>4602</v>
      </c>
      <c r="B145" s="2"/>
      <c r="C145" s="2"/>
      <c r="D145" s="2"/>
      <c r="E145" s="2" t="s">
        <v>4603</v>
      </c>
      <c r="F145" s="2" t="s">
        <v>4604</v>
      </c>
      <c r="G145" s="2" t="s">
        <v>4484</v>
      </c>
      <c r="H145" s="2" t="s">
        <v>4605</v>
      </c>
      <c r="I145" s="2" t="s">
        <v>4606</v>
      </c>
    </row>
    <row r="146">
      <c r="A146" s="2" t="s">
        <v>4607</v>
      </c>
      <c r="B146" s="2"/>
      <c r="C146" s="2"/>
      <c r="D146" s="2"/>
      <c r="E146" s="2" t="s">
        <v>4608</v>
      </c>
      <c r="F146" s="2" t="s">
        <v>4609</v>
      </c>
      <c r="G146" s="2" t="s">
        <v>4531</v>
      </c>
      <c r="H146" s="2" t="s">
        <v>4610</v>
      </c>
      <c r="I146" s="2" t="s">
        <v>4611</v>
      </c>
    </row>
    <row r="147">
      <c r="A147" s="2" t="s">
        <v>4612</v>
      </c>
      <c r="B147" s="2"/>
      <c r="C147" s="2"/>
      <c r="D147" s="2"/>
      <c r="E147" s="2" t="s">
        <v>4613</v>
      </c>
      <c r="F147" s="2" t="s">
        <v>4614</v>
      </c>
      <c r="G147" s="2" t="s">
        <v>4497</v>
      </c>
      <c r="H147" s="2" t="s">
        <v>4615</v>
      </c>
      <c r="I147" s="2" t="s">
        <v>4616</v>
      </c>
    </row>
    <row r="148">
      <c r="A148" s="2" t="s">
        <v>4617</v>
      </c>
      <c r="B148" s="2"/>
      <c r="C148" s="2"/>
      <c r="D148" s="2"/>
      <c r="E148" s="2" t="s">
        <v>4618</v>
      </c>
      <c r="F148" s="2" t="s">
        <v>4619</v>
      </c>
      <c r="G148" s="2" t="s">
        <v>4484</v>
      </c>
      <c r="H148" s="2" t="s">
        <v>647</v>
      </c>
      <c r="I148" s="2" t="s">
        <v>4620</v>
      </c>
    </row>
    <row r="149">
      <c r="A149" s="2" t="s">
        <v>4621</v>
      </c>
      <c r="B149" s="2"/>
      <c r="C149" s="2"/>
      <c r="D149" s="2"/>
      <c r="E149" s="2" t="s">
        <v>4622</v>
      </c>
      <c r="F149" s="2" t="s">
        <v>4623</v>
      </c>
      <c r="G149" s="2" t="s">
        <v>4531</v>
      </c>
      <c r="H149" s="2" t="s">
        <v>4624</v>
      </c>
      <c r="I149" s="2" t="s">
        <v>4625</v>
      </c>
    </row>
    <row r="150">
      <c r="A150" s="2" t="s">
        <v>4626</v>
      </c>
      <c r="B150" s="2"/>
      <c r="C150" s="2"/>
      <c r="D150" s="2"/>
      <c r="E150" s="2" t="s">
        <v>4627</v>
      </c>
      <c r="F150" s="2" t="s">
        <v>4628</v>
      </c>
      <c r="G150" s="2" t="s">
        <v>4531</v>
      </c>
      <c r="H150" s="2" t="s">
        <v>647</v>
      </c>
      <c r="I150" s="2" t="s">
        <v>4629</v>
      </c>
    </row>
    <row r="151">
      <c r="A151" s="2" t="s">
        <v>4630</v>
      </c>
      <c r="B151" s="2"/>
      <c r="C151" s="2"/>
      <c r="D151" s="2"/>
      <c r="E151" s="2" t="s">
        <v>4631</v>
      </c>
      <c r="F151" s="2" t="s">
        <v>4632</v>
      </c>
      <c r="G151" s="2" t="s">
        <v>4484</v>
      </c>
      <c r="H151" s="2" t="s">
        <v>647</v>
      </c>
      <c r="I151" s="2" t="s">
        <v>4633</v>
      </c>
    </row>
    <row r="152">
      <c r="A152" s="2" t="s">
        <v>4634</v>
      </c>
      <c r="B152" s="2"/>
      <c r="C152" s="2"/>
      <c r="D152" s="2"/>
      <c r="E152" s="2" t="s">
        <v>4635</v>
      </c>
      <c r="F152" s="2" t="s">
        <v>4636</v>
      </c>
      <c r="G152" s="2" t="s">
        <v>4531</v>
      </c>
      <c r="H152" s="2" t="s">
        <v>4637</v>
      </c>
      <c r="I152" s="2" t="s">
        <v>4638</v>
      </c>
    </row>
    <row r="153">
      <c r="A153" s="2" t="s">
        <v>4639</v>
      </c>
      <c r="B153" s="2"/>
      <c r="C153" s="2"/>
      <c r="D153" s="2"/>
      <c r="E153" s="2" t="s">
        <v>4640</v>
      </c>
      <c r="F153" s="2" t="s">
        <v>4641</v>
      </c>
      <c r="G153" s="2" t="s">
        <v>4531</v>
      </c>
      <c r="H153" s="2" t="s">
        <v>4642</v>
      </c>
      <c r="I153" s="2" t="s">
        <v>4643</v>
      </c>
    </row>
    <row r="154">
      <c r="A154" s="2" t="s">
        <v>4644</v>
      </c>
      <c r="B154" s="2"/>
      <c r="C154" s="2"/>
      <c r="D154" s="2"/>
      <c r="E154" s="2" t="s">
        <v>4645</v>
      </c>
      <c r="F154" s="2" t="s">
        <v>4646</v>
      </c>
      <c r="G154" s="2" t="s">
        <v>4497</v>
      </c>
      <c r="H154" s="2" t="s">
        <v>4647</v>
      </c>
      <c r="I154" s="2" t="s">
        <v>4648</v>
      </c>
    </row>
    <row r="155">
      <c r="A155" s="2" t="s">
        <v>4649</v>
      </c>
      <c r="B155" s="2"/>
      <c r="C155" s="2"/>
      <c r="D155" s="2"/>
      <c r="E155" s="2" t="s">
        <v>4650</v>
      </c>
      <c r="F155" s="2" t="s">
        <v>4651</v>
      </c>
      <c r="G155" s="2" t="s">
        <v>4484</v>
      </c>
      <c r="H155" s="2" t="s">
        <v>647</v>
      </c>
      <c r="I155" s="2" t="s">
        <v>4652</v>
      </c>
    </row>
    <row r="156">
      <c r="A156" s="2" t="s">
        <v>4653</v>
      </c>
      <c r="B156" s="2"/>
      <c r="C156" s="2"/>
      <c r="D156" s="2"/>
      <c r="E156" s="2" t="s">
        <v>4654</v>
      </c>
      <c r="F156" s="2" t="s">
        <v>3997</v>
      </c>
      <c r="G156" s="2" t="s">
        <v>4497</v>
      </c>
      <c r="H156" s="2" t="s">
        <v>647</v>
      </c>
      <c r="I156" s="2" t="s">
        <v>4655</v>
      </c>
    </row>
    <row r="157">
      <c r="A157" s="2" t="s">
        <v>4656</v>
      </c>
      <c r="B157" s="2"/>
      <c r="C157" s="2"/>
      <c r="D157" s="2"/>
      <c r="E157" s="2" t="s">
        <v>4657</v>
      </c>
      <c r="F157" s="2" t="s">
        <v>4658</v>
      </c>
      <c r="G157" s="2" t="s">
        <v>4497</v>
      </c>
      <c r="H157" s="2" t="s">
        <v>647</v>
      </c>
      <c r="I157" s="2" t="s">
        <v>4659</v>
      </c>
    </row>
    <row r="158">
      <c r="A158" s="2" t="s">
        <v>4660</v>
      </c>
      <c r="B158" s="2"/>
      <c r="C158" s="2"/>
      <c r="D158" s="2"/>
      <c r="E158" s="2" t="s">
        <v>4661</v>
      </c>
      <c r="F158" s="2" t="s">
        <v>4662</v>
      </c>
      <c r="G158" s="2" t="s">
        <v>4497</v>
      </c>
      <c r="H158" s="2">
        <v>3.0</v>
      </c>
      <c r="I158" s="2" t="s">
        <v>4663</v>
      </c>
    </row>
    <row r="159">
      <c r="A159" s="2" t="s">
        <v>4664</v>
      </c>
      <c r="B159" s="2"/>
      <c r="C159" s="2"/>
      <c r="D159" s="2"/>
      <c r="E159" s="2" t="s">
        <v>4665</v>
      </c>
      <c r="F159" s="2" t="s">
        <v>4666</v>
      </c>
      <c r="G159" s="2" t="s">
        <v>4497</v>
      </c>
      <c r="H159" s="2" t="s">
        <v>647</v>
      </c>
      <c r="I159" s="2" t="s">
        <v>4667</v>
      </c>
    </row>
    <row r="160">
      <c r="A160" s="2" t="s">
        <v>4668</v>
      </c>
      <c r="B160" s="2"/>
      <c r="C160" s="2"/>
      <c r="D160" s="2"/>
      <c r="E160" s="2" t="s">
        <v>4669</v>
      </c>
      <c r="F160" s="2" t="s">
        <v>4670</v>
      </c>
      <c r="G160" s="2" t="s">
        <v>4531</v>
      </c>
      <c r="H160" s="2" t="s">
        <v>647</v>
      </c>
      <c r="I160" s="2" t="s">
        <v>4671</v>
      </c>
    </row>
    <row r="161">
      <c r="A161" s="2" t="s">
        <v>4672</v>
      </c>
      <c r="B161" s="2"/>
      <c r="C161" s="2"/>
      <c r="D161" s="2"/>
      <c r="E161" s="2" t="s">
        <v>4673</v>
      </c>
      <c r="F161" s="2" t="s">
        <v>4674</v>
      </c>
      <c r="G161" s="2" t="s">
        <v>4675</v>
      </c>
      <c r="H161" s="2" t="s">
        <v>4676</v>
      </c>
      <c r="I161" s="2" t="s">
        <v>4677</v>
      </c>
    </row>
    <row r="162">
      <c r="A162" s="2" t="s">
        <v>4678</v>
      </c>
      <c r="B162" s="2"/>
      <c r="C162" s="2"/>
      <c r="D162" s="2"/>
      <c r="E162" s="2" t="s">
        <v>4679</v>
      </c>
      <c r="F162" s="2" t="s">
        <v>4680</v>
      </c>
      <c r="G162" s="2" t="s">
        <v>4497</v>
      </c>
      <c r="H162" s="2" t="s">
        <v>647</v>
      </c>
      <c r="I162" s="2" t="s">
        <v>4681</v>
      </c>
    </row>
    <row r="163">
      <c r="A163" s="2" t="s">
        <v>4682</v>
      </c>
      <c r="B163" s="2"/>
      <c r="C163" s="2"/>
      <c r="D163" s="2"/>
      <c r="E163" s="2" t="s">
        <v>4683</v>
      </c>
      <c r="F163" s="2" t="s">
        <v>4684</v>
      </c>
      <c r="G163" s="2" t="s">
        <v>4497</v>
      </c>
      <c r="H163" s="2" t="s">
        <v>4685</v>
      </c>
      <c r="I163" s="2" t="s">
        <v>4686</v>
      </c>
    </row>
    <row r="164">
      <c r="A164" s="2" t="s">
        <v>4687</v>
      </c>
      <c r="B164" s="2"/>
      <c r="C164" s="2"/>
      <c r="D164" s="2"/>
      <c r="E164" s="7" t="s">
        <v>4688</v>
      </c>
      <c r="F164" s="2" t="s">
        <v>3997</v>
      </c>
      <c r="G164" s="2" t="s">
        <v>3997</v>
      </c>
      <c r="H164" s="2" t="s">
        <v>647</v>
      </c>
      <c r="I164" s="2" t="s">
        <v>4689</v>
      </c>
    </row>
    <row r="165">
      <c r="A165" s="2" t="s">
        <v>4690</v>
      </c>
      <c r="B165" s="2"/>
      <c r="C165" s="2"/>
      <c r="D165" s="2"/>
      <c r="E165" s="2" t="s">
        <v>4691</v>
      </c>
      <c r="F165" s="2" t="s">
        <v>4692</v>
      </c>
      <c r="G165" s="2" t="s">
        <v>4497</v>
      </c>
      <c r="H165" s="2" t="s">
        <v>647</v>
      </c>
      <c r="I165" s="2" t="s">
        <v>4693</v>
      </c>
    </row>
    <row r="166">
      <c r="A166" s="2" t="s">
        <v>4694</v>
      </c>
      <c r="B166" s="2"/>
      <c r="C166" s="2"/>
      <c r="D166" s="2"/>
      <c r="E166" s="2" t="s">
        <v>4695</v>
      </c>
      <c r="F166" s="2" t="s">
        <v>4696</v>
      </c>
      <c r="G166" s="2" t="s">
        <v>3997</v>
      </c>
      <c r="H166" s="2" t="s">
        <v>647</v>
      </c>
      <c r="I166" s="2" t="s">
        <v>4697</v>
      </c>
    </row>
    <row r="167">
      <c r="A167" s="2" t="s">
        <v>4698</v>
      </c>
      <c r="B167" s="2"/>
      <c r="C167" s="2"/>
      <c r="D167" s="2"/>
      <c r="E167" s="2" t="s">
        <v>4699</v>
      </c>
      <c r="F167" s="2" t="s">
        <v>4700</v>
      </c>
      <c r="G167" s="2" t="s">
        <v>4497</v>
      </c>
      <c r="H167" s="2" t="s">
        <v>647</v>
      </c>
      <c r="I167" s="2" t="s">
        <v>4701</v>
      </c>
    </row>
    <row r="168">
      <c r="A168" s="2" t="s">
        <v>4702</v>
      </c>
      <c r="B168" s="2"/>
      <c r="C168" s="2"/>
      <c r="D168" s="2"/>
      <c r="E168" s="2" t="s">
        <v>4703</v>
      </c>
      <c r="F168" s="2" t="s">
        <v>4704</v>
      </c>
      <c r="G168" s="2" t="s">
        <v>4497</v>
      </c>
      <c r="H168" s="2" t="s">
        <v>647</v>
      </c>
      <c r="I168" s="2" t="s">
        <v>4705</v>
      </c>
    </row>
    <row r="169">
      <c r="A169" s="2" t="s">
        <v>4706</v>
      </c>
      <c r="B169" s="2"/>
      <c r="C169" s="2"/>
      <c r="D169" s="2"/>
      <c r="E169" s="2" t="s">
        <v>4707</v>
      </c>
      <c r="F169" s="2" t="s">
        <v>4708</v>
      </c>
      <c r="G169" s="2" t="s">
        <v>4484</v>
      </c>
      <c r="H169" s="2" t="s">
        <v>647</v>
      </c>
      <c r="I169" s="2" t="s">
        <v>4709</v>
      </c>
    </row>
    <row r="170">
      <c r="A170" s="2" t="s">
        <v>4710</v>
      </c>
      <c r="B170" s="2"/>
      <c r="C170" s="2"/>
      <c r="D170" s="2"/>
      <c r="E170" s="7" t="s">
        <v>4710</v>
      </c>
      <c r="F170" s="2" t="s">
        <v>4711</v>
      </c>
      <c r="G170" s="2" t="s">
        <v>3997</v>
      </c>
      <c r="H170" s="2" t="s">
        <v>647</v>
      </c>
      <c r="I170" s="2" t="s">
        <v>4712</v>
      </c>
    </row>
    <row r="171">
      <c r="A171" s="2" t="s">
        <v>4713</v>
      </c>
      <c r="B171" s="2"/>
      <c r="C171" s="2"/>
      <c r="D171" s="2"/>
      <c r="E171" s="2" t="s">
        <v>4714</v>
      </c>
      <c r="F171" s="2" t="s">
        <v>4715</v>
      </c>
      <c r="G171" s="2" t="s">
        <v>4497</v>
      </c>
      <c r="H171" s="2" t="s">
        <v>647</v>
      </c>
      <c r="I171" s="2" t="s">
        <v>4716</v>
      </c>
    </row>
    <row r="172">
      <c r="A172" s="2" t="s">
        <v>4717</v>
      </c>
      <c r="B172" s="2"/>
      <c r="C172" s="2"/>
      <c r="D172" s="2"/>
      <c r="E172" s="2" t="s">
        <v>4718</v>
      </c>
      <c r="F172" s="2" t="s">
        <v>4719</v>
      </c>
      <c r="G172" s="2" t="s">
        <v>4497</v>
      </c>
      <c r="H172" s="2" t="s">
        <v>4720</v>
      </c>
      <c r="I172" s="2" t="s">
        <v>4721</v>
      </c>
    </row>
    <row r="173">
      <c r="A173" s="2" t="s">
        <v>4722</v>
      </c>
      <c r="B173" s="2"/>
      <c r="C173" s="2"/>
      <c r="D173" s="2"/>
      <c r="E173" s="2" t="s">
        <v>4723</v>
      </c>
      <c r="F173" s="2" t="s">
        <v>4724</v>
      </c>
      <c r="G173" s="2" t="s">
        <v>4484</v>
      </c>
      <c r="H173" s="2" t="s">
        <v>647</v>
      </c>
      <c r="I173" s="2" t="s">
        <v>4725</v>
      </c>
    </row>
    <row r="174">
      <c r="A174" s="2" t="s">
        <v>4726</v>
      </c>
      <c r="B174" s="2"/>
      <c r="C174" s="2"/>
      <c r="D174" s="2"/>
      <c r="E174" s="2" t="s">
        <v>4727</v>
      </c>
      <c r="F174" s="2" t="s">
        <v>4728</v>
      </c>
      <c r="G174" s="2" t="s">
        <v>3997</v>
      </c>
      <c r="H174" s="2" t="s">
        <v>647</v>
      </c>
      <c r="I174" s="7" t="s">
        <v>4729</v>
      </c>
    </row>
    <row r="175">
      <c r="A175" s="2" t="s">
        <v>4730</v>
      </c>
      <c r="B175" s="2"/>
      <c r="C175" s="2"/>
      <c r="D175" s="2"/>
      <c r="E175" s="2" t="s">
        <v>4731</v>
      </c>
      <c r="F175" s="2" t="s">
        <v>4732</v>
      </c>
      <c r="G175" s="2" t="s">
        <v>4484</v>
      </c>
      <c r="H175" s="2" t="s">
        <v>4733</v>
      </c>
      <c r="I175" s="2" t="s">
        <v>4734</v>
      </c>
    </row>
    <row r="176">
      <c r="A176" s="2" t="s">
        <v>4735</v>
      </c>
      <c r="B176" s="2"/>
      <c r="C176" s="2"/>
      <c r="D176" s="2"/>
      <c r="E176" s="2" t="s">
        <v>4736</v>
      </c>
      <c r="F176" s="2" t="s">
        <v>3997</v>
      </c>
      <c r="G176" s="2" t="s">
        <v>4497</v>
      </c>
      <c r="H176" s="2" t="s">
        <v>647</v>
      </c>
      <c r="I176" s="2" t="s">
        <v>4737</v>
      </c>
    </row>
    <row r="177">
      <c r="A177" s="2" t="s">
        <v>4738</v>
      </c>
      <c r="B177" s="2"/>
      <c r="C177" s="2"/>
      <c r="D177" s="2"/>
      <c r="E177" s="2" t="s">
        <v>4739</v>
      </c>
      <c r="F177" s="2" t="s">
        <v>4740</v>
      </c>
      <c r="G177" s="2" t="s">
        <v>4484</v>
      </c>
      <c r="H177" s="2" t="s">
        <v>647</v>
      </c>
      <c r="I177" s="2" t="s">
        <v>4741</v>
      </c>
    </row>
    <row r="178">
      <c r="A178" s="2" t="s">
        <v>4742</v>
      </c>
      <c r="B178" s="2"/>
      <c r="C178" s="2"/>
      <c r="D178" s="2"/>
      <c r="E178" s="2" t="s">
        <v>4743</v>
      </c>
      <c r="F178" s="2" t="s">
        <v>4744</v>
      </c>
      <c r="G178" s="2" t="s">
        <v>4531</v>
      </c>
      <c r="H178" s="2" t="s">
        <v>4745</v>
      </c>
      <c r="I178" s="2" t="s">
        <v>4746</v>
      </c>
    </row>
    <row r="179">
      <c r="A179" s="2" t="s">
        <v>4747</v>
      </c>
      <c r="B179" s="2"/>
      <c r="C179" s="2"/>
      <c r="D179" s="2"/>
      <c r="E179" s="2" t="s">
        <v>4748</v>
      </c>
      <c r="F179" s="2" t="s">
        <v>4749</v>
      </c>
      <c r="G179" s="2" t="s">
        <v>4484</v>
      </c>
      <c r="H179" s="2" t="s">
        <v>647</v>
      </c>
      <c r="I179" s="2" t="s">
        <v>4750</v>
      </c>
    </row>
    <row r="180">
      <c r="A180" s="2" t="s">
        <v>4751</v>
      </c>
      <c r="B180" s="2"/>
      <c r="C180" s="2"/>
      <c r="D180" s="2"/>
      <c r="E180" s="2" t="s">
        <v>4752</v>
      </c>
      <c r="F180" s="2" t="s">
        <v>4753</v>
      </c>
      <c r="G180" s="2" t="s">
        <v>3957</v>
      </c>
      <c r="H180" s="2" t="s">
        <v>4754</v>
      </c>
      <c r="I180" s="2" t="s">
        <v>4755</v>
      </c>
    </row>
    <row r="181">
      <c r="A181" s="2" t="s">
        <v>4756</v>
      </c>
      <c r="B181" s="2"/>
      <c r="C181" s="2"/>
      <c r="D181" s="2"/>
      <c r="E181" s="2" t="s">
        <v>4757</v>
      </c>
      <c r="F181" s="2" t="s">
        <v>4758</v>
      </c>
      <c r="G181" s="2" t="s">
        <v>4484</v>
      </c>
      <c r="H181" s="2" t="s">
        <v>647</v>
      </c>
      <c r="I181" s="2" t="s">
        <v>4759</v>
      </c>
    </row>
    <row r="182">
      <c r="A182" s="2" t="s">
        <v>4760</v>
      </c>
      <c r="B182" s="2"/>
      <c r="C182" s="2"/>
      <c r="D182" s="2"/>
      <c r="E182" s="2" t="s">
        <v>4761</v>
      </c>
      <c r="F182" s="2" t="s">
        <v>4762</v>
      </c>
      <c r="G182" s="2" t="s">
        <v>4484</v>
      </c>
      <c r="H182" s="2" t="s">
        <v>4763</v>
      </c>
      <c r="I182" s="2" t="s">
        <v>4764</v>
      </c>
    </row>
    <row r="183">
      <c r="A183" s="2" t="s">
        <v>4765</v>
      </c>
      <c r="B183" s="2"/>
      <c r="C183" s="2"/>
      <c r="D183" s="2"/>
      <c r="E183" s="2" t="s">
        <v>4766</v>
      </c>
      <c r="F183" s="2" t="s">
        <v>4767</v>
      </c>
      <c r="G183" s="2" t="s">
        <v>4497</v>
      </c>
      <c r="H183" s="2" t="s">
        <v>647</v>
      </c>
      <c r="I183" s="2" t="s">
        <v>4768</v>
      </c>
    </row>
    <row r="184">
      <c r="A184" s="2" t="s">
        <v>4769</v>
      </c>
      <c r="B184" s="2"/>
      <c r="C184" s="2"/>
      <c r="D184" s="2"/>
      <c r="E184" s="2" t="s">
        <v>4770</v>
      </c>
      <c r="F184" s="2" t="s">
        <v>4771</v>
      </c>
      <c r="G184" s="2" t="s">
        <v>3997</v>
      </c>
      <c r="H184" s="2" t="s">
        <v>647</v>
      </c>
      <c r="I184" s="2" t="s">
        <v>4772</v>
      </c>
    </row>
    <row r="185">
      <c r="A185" s="2" t="s">
        <v>4773</v>
      </c>
      <c r="B185" s="2"/>
      <c r="C185" s="2"/>
      <c r="D185" s="2"/>
      <c r="E185" s="2" t="s">
        <v>4774</v>
      </c>
      <c r="F185" s="2" t="s">
        <v>3997</v>
      </c>
      <c r="G185" s="2" t="s">
        <v>4497</v>
      </c>
      <c r="H185" s="2" t="s">
        <v>647</v>
      </c>
      <c r="I185" s="2" t="s">
        <v>4775</v>
      </c>
    </row>
    <row r="186">
      <c r="A186" s="2" t="s">
        <v>4776</v>
      </c>
      <c r="B186" s="2"/>
      <c r="C186" s="2"/>
      <c r="D186" s="2"/>
      <c r="E186" s="2" t="s">
        <v>4777</v>
      </c>
      <c r="F186" s="2" t="s">
        <v>3997</v>
      </c>
      <c r="G186" s="2" t="s">
        <v>4484</v>
      </c>
      <c r="H186" s="2" t="s">
        <v>647</v>
      </c>
      <c r="I186" s="2" t="s">
        <v>4778</v>
      </c>
    </row>
    <row r="187">
      <c r="A187" s="2" t="s">
        <v>4779</v>
      </c>
      <c r="B187" s="2"/>
      <c r="C187" s="2"/>
      <c r="D187" s="2"/>
      <c r="E187" s="7" t="s">
        <v>4780</v>
      </c>
      <c r="F187" s="2" t="s">
        <v>3997</v>
      </c>
      <c r="G187" s="2" t="s">
        <v>3997</v>
      </c>
      <c r="H187" s="2" t="s">
        <v>647</v>
      </c>
      <c r="I187" s="2" t="s">
        <v>4781</v>
      </c>
    </row>
    <row r="188">
      <c r="A188" s="2" t="s">
        <v>4782</v>
      </c>
      <c r="B188" s="2"/>
      <c r="C188" s="2"/>
      <c r="D188" s="2"/>
      <c r="E188" s="2" t="s">
        <v>4783</v>
      </c>
      <c r="F188" s="2" t="s">
        <v>4784</v>
      </c>
      <c r="G188" s="2" t="s">
        <v>4497</v>
      </c>
      <c r="H188" s="2" t="s">
        <v>647</v>
      </c>
      <c r="I188" s="2" t="s">
        <v>4785</v>
      </c>
    </row>
    <row r="189">
      <c r="A189" s="2" t="s">
        <v>4786</v>
      </c>
      <c r="B189" s="2"/>
      <c r="C189" s="2"/>
      <c r="D189" s="2"/>
      <c r="E189" s="2" t="s">
        <v>4787</v>
      </c>
      <c r="F189" s="2" t="s">
        <v>4788</v>
      </c>
      <c r="G189" s="2" t="s">
        <v>4484</v>
      </c>
      <c r="H189" s="2" t="s">
        <v>4789</v>
      </c>
      <c r="I189" s="2" t="s">
        <v>4790</v>
      </c>
    </row>
    <row r="190">
      <c r="A190" s="2" t="s">
        <v>4791</v>
      </c>
      <c r="B190" s="2"/>
      <c r="C190" s="2"/>
      <c r="D190" s="2"/>
      <c r="E190" s="2" t="s">
        <v>4792</v>
      </c>
      <c r="F190" s="2" t="s">
        <v>4793</v>
      </c>
      <c r="G190" s="2" t="s">
        <v>4497</v>
      </c>
      <c r="H190" s="2" t="s">
        <v>647</v>
      </c>
      <c r="I190" s="2" t="s">
        <v>4794</v>
      </c>
    </row>
    <row r="191">
      <c r="A191" s="2" t="s">
        <v>4795</v>
      </c>
      <c r="B191" s="2"/>
      <c r="C191" s="2"/>
      <c r="D191" s="2"/>
      <c r="E191" s="2" t="s">
        <v>4796</v>
      </c>
      <c r="F191" s="2" t="s">
        <v>4797</v>
      </c>
      <c r="G191" s="2" t="s">
        <v>4484</v>
      </c>
      <c r="H191" s="2" t="s">
        <v>647</v>
      </c>
      <c r="I191" s="2" t="s">
        <v>4798</v>
      </c>
    </row>
    <row r="192">
      <c r="A192" s="2" t="s">
        <v>4799</v>
      </c>
      <c r="B192" s="2"/>
      <c r="C192" s="2"/>
      <c r="D192" s="2"/>
      <c r="E192" s="2" t="s">
        <v>4800</v>
      </c>
      <c r="F192" s="2" t="s">
        <v>4801</v>
      </c>
      <c r="G192" s="2" t="s">
        <v>3997</v>
      </c>
      <c r="H192" s="2" t="s">
        <v>647</v>
      </c>
      <c r="I192" s="2" t="s">
        <v>4802</v>
      </c>
    </row>
    <row r="193">
      <c r="A193" s="2" t="s">
        <v>4803</v>
      </c>
      <c r="B193" s="2"/>
      <c r="C193" s="2"/>
      <c r="D193" s="2"/>
      <c r="E193" s="7" t="s">
        <v>4804</v>
      </c>
      <c r="F193" s="2" t="s">
        <v>4805</v>
      </c>
      <c r="G193" s="2" t="s">
        <v>4497</v>
      </c>
      <c r="H193" s="2" t="s">
        <v>647</v>
      </c>
      <c r="I193" s="2" t="s">
        <v>4806</v>
      </c>
    </row>
    <row r="194">
      <c r="A194" s="2" t="s">
        <v>4807</v>
      </c>
      <c r="B194" s="2"/>
      <c r="C194" s="2"/>
      <c r="D194" s="2"/>
      <c r="E194" s="2" t="s">
        <v>4808</v>
      </c>
      <c r="F194" s="2" t="s">
        <v>3997</v>
      </c>
      <c r="G194" s="2" t="s">
        <v>4484</v>
      </c>
      <c r="H194" s="2" t="s">
        <v>647</v>
      </c>
      <c r="I194" s="2" t="s">
        <v>4809</v>
      </c>
    </row>
    <row r="195">
      <c r="A195" s="2" t="s">
        <v>4810</v>
      </c>
      <c r="B195" s="2"/>
      <c r="C195" s="2"/>
      <c r="D195" s="2"/>
      <c r="E195" s="7" t="s">
        <v>4811</v>
      </c>
      <c r="F195" s="2" t="s">
        <v>4812</v>
      </c>
      <c r="G195" s="2" t="s">
        <v>4531</v>
      </c>
      <c r="H195" s="2" t="s">
        <v>4813</v>
      </c>
      <c r="I195" s="2" t="s">
        <v>4814</v>
      </c>
    </row>
    <row r="196">
      <c r="A196" s="2" t="s">
        <v>4815</v>
      </c>
      <c r="B196" s="2"/>
      <c r="C196" s="2"/>
      <c r="D196" s="2"/>
      <c r="E196" s="2" t="s">
        <v>4816</v>
      </c>
      <c r="F196" s="2" t="s">
        <v>4817</v>
      </c>
      <c r="G196" s="2" t="s">
        <v>4497</v>
      </c>
      <c r="H196" s="2" t="s">
        <v>647</v>
      </c>
      <c r="I196" s="2" t="s">
        <v>4818</v>
      </c>
    </row>
    <row r="197">
      <c r="A197" s="2" t="s">
        <v>4819</v>
      </c>
      <c r="B197" s="2"/>
      <c r="C197" s="2"/>
      <c r="D197" s="2"/>
      <c r="E197" s="2" t="s">
        <v>4820</v>
      </c>
      <c r="F197" s="2" t="s">
        <v>4821</v>
      </c>
      <c r="G197" s="2" t="s">
        <v>4484</v>
      </c>
      <c r="H197" s="2" t="s">
        <v>647</v>
      </c>
      <c r="I197" s="2" t="s">
        <v>4822</v>
      </c>
    </row>
    <row r="198">
      <c r="A198" s="2" t="s">
        <v>4823</v>
      </c>
      <c r="B198" s="2"/>
      <c r="C198" s="2"/>
      <c r="D198" s="2"/>
      <c r="E198" s="2" t="s">
        <v>4824</v>
      </c>
      <c r="F198" s="2" t="s">
        <v>4825</v>
      </c>
      <c r="G198" s="2" t="s">
        <v>3957</v>
      </c>
      <c r="H198" s="2" t="s">
        <v>4826</v>
      </c>
      <c r="I198" s="2" t="s">
        <v>4827</v>
      </c>
    </row>
    <row r="199">
      <c r="A199" s="2" t="s">
        <v>4828</v>
      </c>
      <c r="B199" s="2"/>
      <c r="C199" s="2"/>
      <c r="D199" s="2"/>
      <c r="E199" s="2" t="s">
        <v>4829</v>
      </c>
      <c r="F199" s="2" t="s">
        <v>4830</v>
      </c>
      <c r="G199" s="2" t="s">
        <v>3957</v>
      </c>
      <c r="H199" s="2" t="s">
        <v>647</v>
      </c>
      <c r="I199" s="2" t="s">
        <v>4831</v>
      </c>
    </row>
    <row r="200">
      <c r="A200" s="2" t="s">
        <v>4832</v>
      </c>
      <c r="B200" s="2"/>
      <c r="C200" s="2"/>
      <c r="D200" s="2"/>
      <c r="E200" s="2" t="s">
        <v>4833</v>
      </c>
      <c r="F200" s="2" t="s">
        <v>4834</v>
      </c>
      <c r="G200" s="2" t="s">
        <v>4531</v>
      </c>
      <c r="H200" s="2" t="s">
        <v>4835</v>
      </c>
      <c r="I200" s="2" t="s">
        <v>4836</v>
      </c>
    </row>
    <row r="201">
      <c r="A201" s="2" t="s">
        <v>4837</v>
      </c>
      <c r="B201" s="2"/>
      <c r="C201" s="2"/>
      <c r="D201" s="2"/>
      <c r="E201" s="2" t="s">
        <v>4838</v>
      </c>
      <c r="F201" s="2" t="s">
        <v>4839</v>
      </c>
      <c r="G201" s="2" t="s">
        <v>4531</v>
      </c>
      <c r="H201" s="2" t="s">
        <v>4840</v>
      </c>
      <c r="I201" s="2" t="s">
        <v>4841</v>
      </c>
    </row>
    <row r="202">
      <c r="A202" s="2" t="s">
        <v>4842</v>
      </c>
      <c r="B202" s="2"/>
      <c r="C202" s="2"/>
      <c r="D202" s="2"/>
      <c r="E202" s="2" t="s">
        <v>4843</v>
      </c>
      <c r="F202" s="2" t="s">
        <v>3997</v>
      </c>
      <c r="G202" s="2" t="s">
        <v>4484</v>
      </c>
      <c r="H202" s="2" t="s">
        <v>647</v>
      </c>
      <c r="I202" s="2" t="s">
        <v>4844</v>
      </c>
    </row>
    <row r="203">
      <c r="A203" s="2" t="s">
        <v>4845</v>
      </c>
      <c r="B203" s="2"/>
      <c r="C203" s="2"/>
      <c r="D203" s="2"/>
      <c r="E203" s="2" t="s">
        <v>4846</v>
      </c>
      <c r="F203" s="2" t="s">
        <v>4847</v>
      </c>
      <c r="G203" s="2" t="s">
        <v>4484</v>
      </c>
      <c r="H203" s="2" t="s">
        <v>4848</v>
      </c>
      <c r="I203" s="2" t="s">
        <v>4849</v>
      </c>
    </row>
    <row r="204">
      <c r="A204" s="2" t="s">
        <v>4850</v>
      </c>
      <c r="B204" s="2"/>
      <c r="C204" s="2"/>
      <c r="D204" s="2"/>
      <c r="E204" s="2" t="s">
        <v>4851</v>
      </c>
      <c r="F204" s="2" t="s">
        <v>4852</v>
      </c>
      <c r="G204" s="2" t="s">
        <v>3997</v>
      </c>
      <c r="H204" s="2" t="s">
        <v>647</v>
      </c>
      <c r="I204" s="7" t="s">
        <v>4853</v>
      </c>
    </row>
    <row r="205">
      <c r="A205" s="2" t="s">
        <v>4854</v>
      </c>
      <c r="B205" s="2"/>
      <c r="C205" s="2"/>
      <c r="D205" s="2"/>
      <c r="E205" s="2" t="s">
        <v>4855</v>
      </c>
      <c r="F205" s="2" t="s">
        <v>4856</v>
      </c>
      <c r="G205" s="2" t="s">
        <v>4484</v>
      </c>
      <c r="H205" s="2" t="s">
        <v>647</v>
      </c>
      <c r="I205" s="2" t="s">
        <v>4857</v>
      </c>
    </row>
    <row r="206">
      <c r="A206" s="2" t="s">
        <v>4858</v>
      </c>
      <c r="B206" s="2"/>
      <c r="C206" s="2"/>
      <c r="D206" s="2"/>
      <c r="E206" s="2" t="s">
        <v>4859</v>
      </c>
      <c r="F206" s="2" t="s">
        <v>4860</v>
      </c>
      <c r="G206" s="2" t="s">
        <v>3997</v>
      </c>
      <c r="H206" s="2" t="s">
        <v>4861</v>
      </c>
      <c r="I206" s="2" t="s">
        <v>4862</v>
      </c>
    </row>
    <row r="207">
      <c r="A207" s="2" t="s">
        <v>4863</v>
      </c>
      <c r="B207" s="2"/>
      <c r="C207" s="2"/>
      <c r="D207" s="2"/>
      <c r="E207" s="2" t="s">
        <v>4864</v>
      </c>
      <c r="F207" s="2" t="s">
        <v>4865</v>
      </c>
      <c r="G207" s="2" t="s">
        <v>4484</v>
      </c>
      <c r="H207" s="2" t="s">
        <v>647</v>
      </c>
      <c r="I207" s="2" t="s">
        <v>4866</v>
      </c>
    </row>
    <row r="208">
      <c r="A208" s="2" t="s">
        <v>4867</v>
      </c>
      <c r="B208" s="2"/>
      <c r="C208" s="2"/>
      <c r="D208" s="2"/>
      <c r="E208" s="2" t="s">
        <v>4868</v>
      </c>
      <c r="F208" s="2" t="s">
        <v>4869</v>
      </c>
      <c r="G208" s="2" t="s">
        <v>4484</v>
      </c>
      <c r="H208" s="2" t="s">
        <v>647</v>
      </c>
      <c r="I208" s="2" t="s">
        <v>4870</v>
      </c>
    </row>
    <row r="209">
      <c r="A209" s="2" t="s">
        <v>4871</v>
      </c>
      <c r="B209" s="2"/>
      <c r="C209" s="2"/>
      <c r="D209" s="2"/>
      <c r="E209" s="2" t="s">
        <v>4872</v>
      </c>
      <c r="F209" s="2" t="s">
        <v>4873</v>
      </c>
      <c r="G209" s="2" t="s">
        <v>4531</v>
      </c>
      <c r="H209" s="2" t="s">
        <v>4874</v>
      </c>
      <c r="I209" s="2" t="s">
        <v>4875</v>
      </c>
    </row>
    <row r="210">
      <c r="A210" s="2" t="s">
        <v>4876</v>
      </c>
      <c r="B210" s="2"/>
      <c r="C210" s="2"/>
      <c r="D210" s="2"/>
      <c r="E210" s="2" t="s">
        <v>4877</v>
      </c>
      <c r="F210" s="2" t="s">
        <v>4878</v>
      </c>
      <c r="G210" s="2" t="s">
        <v>4484</v>
      </c>
      <c r="H210" s="2" t="s">
        <v>647</v>
      </c>
      <c r="I210" s="2" t="s">
        <v>4879</v>
      </c>
    </row>
    <row r="211">
      <c r="A211" s="2" t="s">
        <v>4880</v>
      </c>
      <c r="B211" s="2"/>
      <c r="C211" s="2"/>
      <c r="D211" s="2"/>
      <c r="E211" s="2" t="s">
        <v>4881</v>
      </c>
      <c r="F211" s="2" t="s">
        <v>4882</v>
      </c>
      <c r="G211" s="2" t="s">
        <v>4484</v>
      </c>
      <c r="H211" s="2" t="s">
        <v>647</v>
      </c>
      <c r="I211" s="2" t="s">
        <v>4883</v>
      </c>
    </row>
    <row r="212">
      <c r="A212" s="2" t="s">
        <v>4884</v>
      </c>
      <c r="B212" s="2"/>
      <c r="C212" s="2"/>
      <c r="D212" s="2"/>
      <c r="E212" s="2" t="s">
        <v>4885</v>
      </c>
      <c r="F212" s="2" t="s">
        <v>4886</v>
      </c>
      <c r="G212" s="2" t="s">
        <v>4887</v>
      </c>
      <c r="H212" s="2" t="s">
        <v>647</v>
      </c>
      <c r="I212" s="2" t="s">
        <v>4888</v>
      </c>
    </row>
    <row r="213">
      <c r="A213" s="2" t="s">
        <v>4889</v>
      </c>
      <c r="B213" s="2"/>
      <c r="C213" s="2"/>
      <c r="D213" s="2"/>
      <c r="E213" s="2" t="s">
        <v>4890</v>
      </c>
      <c r="F213" s="2" t="s">
        <v>4891</v>
      </c>
      <c r="G213" s="2" t="s">
        <v>3957</v>
      </c>
      <c r="H213" s="2" t="s">
        <v>4892</v>
      </c>
      <c r="I213" s="2" t="s">
        <v>4893</v>
      </c>
    </row>
    <row r="214">
      <c r="A214" s="2" t="s">
        <v>4894</v>
      </c>
      <c r="B214" s="2"/>
      <c r="C214" s="2"/>
      <c r="D214" s="2"/>
      <c r="E214" s="2" t="s">
        <v>4895</v>
      </c>
      <c r="F214" s="2" t="s">
        <v>4896</v>
      </c>
      <c r="G214" s="2" t="s">
        <v>4497</v>
      </c>
      <c r="H214" s="2" t="s">
        <v>647</v>
      </c>
      <c r="I214" s="2" t="s">
        <v>4897</v>
      </c>
    </row>
    <row r="215">
      <c r="A215" s="2" t="s">
        <v>4898</v>
      </c>
      <c r="B215" s="2"/>
      <c r="C215" s="2"/>
      <c r="D215" s="2"/>
      <c r="E215" s="2" t="s">
        <v>4899</v>
      </c>
      <c r="F215" s="2" t="s">
        <v>4900</v>
      </c>
      <c r="G215" s="2" t="s">
        <v>4531</v>
      </c>
      <c r="H215" s="2" t="s">
        <v>4901</v>
      </c>
      <c r="I215" s="2" t="s">
        <v>4902</v>
      </c>
    </row>
    <row r="216">
      <c r="A216" s="2" t="s">
        <v>4903</v>
      </c>
      <c r="B216" s="2"/>
      <c r="C216" s="2"/>
      <c r="D216" s="2"/>
      <c r="E216" s="2" t="s">
        <v>4904</v>
      </c>
      <c r="F216" s="2" t="s">
        <v>4905</v>
      </c>
      <c r="G216" s="2" t="s">
        <v>3997</v>
      </c>
      <c r="H216" s="2" t="s">
        <v>647</v>
      </c>
      <c r="I216" s="2" t="s">
        <v>4906</v>
      </c>
    </row>
    <row r="217">
      <c r="A217" s="2" t="s">
        <v>4907</v>
      </c>
      <c r="B217" s="2"/>
      <c r="C217" s="2"/>
      <c r="D217" s="2"/>
      <c r="E217" s="2" t="s">
        <v>4908</v>
      </c>
      <c r="F217" s="2" t="s">
        <v>4909</v>
      </c>
      <c r="G217" s="2" t="s">
        <v>4484</v>
      </c>
      <c r="H217" s="2" t="s">
        <v>647</v>
      </c>
      <c r="I217" s="2" t="s">
        <v>4910</v>
      </c>
    </row>
    <row r="218">
      <c r="A218" s="2" t="s">
        <v>4911</v>
      </c>
      <c r="B218" s="2"/>
      <c r="C218" s="2"/>
      <c r="D218" s="2"/>
      <c r="E218" s="2" t="s">
        <v>4912</v>
      </c>
      <c r="F218" s="2" t="s">
        <v>4913</v>
      </c>
      <c r="G218" s="2" t="s">
        <v>4531</v>
      </c>
      <c r="H218" s="2" t="s">
        <v>4914</v>
      </c>
      <c r="I218" s="2" t="s">
        <v>4915</v>
      </c>
    </row>
    <row r="219">
      <c r="A219" s="2" t="s">
        <v>4916</v>
      </c>
      <c r="B219" s="2"/>
      <c r="C219" s="2"/>
      <c r="D219" s="2"/>
      <c r="E219" s="2" t="s">
        <v>4917</v>
      </c>
      <c r="F219" s="2" t="s">
        <v>4918</v>
      </c>
      <c r="G219" s="2" t="s">
        <v>3997</v>
      </c>
      <c r="H219" s="2" t="s">
        <v>4919</v>
      </c>
      <c r="I219" s="2" t="s">
        <v>4920</v>
      </c>
    </row>
    <row r="220">
      <c r="A220" s="2" t="s">
        <v>4921</v>
      </c>
      <c r="B220" s="2"/>
      <c r="C220" s="2"/>
      <c r="D220" s="2"/>
      <c r="E220" s="2" t="s">
        <v>4922</v>
      </c>
      <c r="F220" s="2" t="s">
        <v>4923</v>
      </c>
      <c r="G220" s="2" t="s">
        <v>3997</v>
      </c>
      <c r="H220" s="2" t="s">
        <v>647</v>
      </c>
      <c r="I220" s="2" t="s">
        <v>4924</v>
      </c>
    </row>
    <row r="221">
      <c r="A221" s="2" t="s">
        <v>4925</v>
      </c>
      <c r="B221" s="2"/>
      <c r="C221" s="2"/>
      <c r="D221" s="2"/>
      <c r="E221" s="2" t="s">
        <v>4926</v>
      </c>
      <c r="F221" s="2" t="s">
        <v>4927</v>
      </c>
      <c r="G221" s="2" t="s">
        <v>4531</v>
      </c>
      <c r="H221" s="2" t="s">
        <v>647</v>
      </c>
      <c r="I221" s="2" t="s">
        <v>4928</v>
      </c>
    </row>
    <row r="222">
      <c r="A222" s="2" t="s">
        <v>4929</v>
      </c>
      <c r="B222" s="2"/>
      <c r="C222" s="2"/>
      <c r="D222" s="2"/>
      <c r="E222" s="2" t="s">
        <v>4930</v>
      </c>
      <c r="F222" s="2" t="s">
        <v>4931</v>
      </c>
      <c r="G222" s="2" t="s">
        <v>4497</v>
      </c>
      <c r="H222" s="2" t="s">
        <v>4932</v>
      </c>
      <c r="I222" s="2" t="s">
        <v>4933</v>
      </c>
    </row>
    <row r="223">
      <c r="A223" s="2" t="s">
        <v>4934</v>
      </c>
      <c r="B223" s="2"/>
      <c r="C223" s="2"/>
      <c r="D223" s="2"/>
      <c r="E223" s="2" t="s">
        <v>4935</v>
      </c>
      <c r="F223" s="2" t="s">
        <v>4936</v>
      </c>
      <c r="G223" s="2" t="s">
        <v>3997</v>
      </c>
      <c r="H223" s="2" t="s">
        <v>647</v>
      </c>
      <c r="I223" s="2" t="s">
        <v>4937</v>
      </c>
    </row>
    <row r="224">
      <c r="A224" s="2" t="s">
        <v>4938</v>
      </c>
      <c r="B224" s="2"/>
      <c r="C224" s="2"/>
      <c r="D224" s="2"/>
      <c r="E224" s="2" t="s">
        <v>4939</v>
      </c>
      <c r="F224" s="2" t="s">
        <v>4940</v>
      </c>
      <c r="G224" s="2" t="s">
        <v>4484</v>
      </c>
      <c r="H224" s="2" t="s">
        <v>647</v>
      </c>
      <c r="I224" s="2" t="s">
        <v>4941</v>
      </c>
    </row>
    <row r="225">
      <c r="A225" s="2" t="s">
        <v>4942</v>
      </c>
      <c r="B225" s="2"/>
      <c r="C225" s="2"/>
      <c r="D225" s="2"/>
      <c r="E225" s="2" t="s">
        <v>4943</v>
      </c>
      <c r="F225" s="2" t="s">
        <v>4944</v>
      </c>
      <c r="G225" s="2" t="s">
        <v>4531</v>
      </c>
      <c r="H225" s="2" t="s">
        <v>4945</v>
      </c>
      <c r="I225" s="2" t="s">
        <v>4946</v>
      </c>
    </row>
    <row r="226">
      <c r="A226" s="2" t="s">
        <v>4947</v>
      </c>
      <c r="B226" s="2"/>
      <c r="C226" s="2"/>
      <c r="D226" s="2"/>
      <c r="E226" s="2" t="s">
        <v>4948</v>
      </c>
      <c r="F226" s="2" t="s">
        <v>4949</v>
      </c>
      <c r="G226" s="2" t="s">
        <v>3997</v>
      </c>
      <c r="H226" s="2" t="s">
        <v>647</v>
      </c>
      <c r="I226" s="2" t="s">
        <v>4950</v>
      </c>
    </row>
    <row r="227">
      <c r="A227" s="2" t="s">
        <v>4951</v>
      </c>
      <c r="B227" s="2"/>
      <c r="C227" s="2"/>
      <c r="D227" s="2"/>
      <c r="E227" s="2" t="s">
        <v>4952</v>
      </c>
      <c r="F227" s="2" t="s">
        <v>4953</v>
      </c>
      <c r="G227" s="2" t="s">
        <v>3957</v>
      </c>
      <c r="H227" s="2" t="s">
        <v>647</v>
      </c>
      <c r="I227" s="7" t="s">
        <v>4954</v>
      </c>
    </row>
    <row r="228">
      <c r="A228" s="2" t="s">
        <v>4955</v>
      </c>
      <c r="B228" s="2"/>
      <c r="C228" s="2"/>
      <c r="D228" s="2"/>
      <c r="E228" s="2" t="s">
        <v>4956</v>
      </c>
      <c r="F228" s="2" t="s">
        <v>4957</v>
      </c>
      <c r="G228" s="2" t="s">
        <v>4531</v>
      </c>
      <c r="H228" s="2" t="s">
        <v>4958</v>
      </c>
      <c r="I228" s="2" t="s">
        <v>4959</v>
      </c>
    </row>
    <row r="229">
      <c r="A229" s="2" t="s">
        <v>4960</v>
      </c>
      <c r="B229" s="2"/>
      <c r="C229" s="2"/>
      <c r="D229" s="2"/>
      <c r="E229" s="2" t="s">
        <v>4961</v>
      </c>
      <c r="F229" s="2" t="s">
        <v>3997</v>
      </c>
      <c r="G229" s="2" t="s">
        <v>4484</v>
      </c>
      <c r="H229" s="2" t="s">
        <v>647</v>
      </c>
      <c r="I229" s="2" t="s">
        <v>4962</v>
      </c>
    </row>
    <row r="230">
      <c r="A230" s="2" t="s">
        <v>4963</v>
      </c>
      <c r="B230" s="2"/>
      <c r="C230" s="2"/>
      <c r="D230" s="2"/>
      <c r="E230" s="2" t="s">
        <v>4964</v>
      </c>
      <c r="F230" s="2" t="s">
        <v>4965</v>
      </c>
      <c r="G230" s="2" t="s">
        <v>4497</v>
      </c>
      <c r="H230" s="2" t="s">
        <v>4966</v>
      </c>
      <c r="I230" s="2" t="s">
        <v>4967</v>
      </c>
    </row>
    <row r="231">
      <c r="A231" s="2" t="s">
        <v>4968</v>
      </c>
      <c r="B231" s="2"/>
      <c r="C231" s="2"/>
      <c r="D231" s="2"/>
      <c r="E231" s="2" t="s">
        <v>4969</v>
      </c>
      <c r="F231" s="2" t="s">
        <v>4970</v>
      </c>
      <c r="G231" s="2" t="s">
        <v>4484</v>
      </c>
      <c r="H231" s="2" t="s">
        <v>4971</v>
      </c>
      <c r="I231" s="2" t="s">
        <v>4972</v>
      </c>
    </row>
    <row r="232">
      <c r="A232" s="2" t="s">
        <v>4973</v>
      </c>
      <c r="B232" s="2"/>
      <c r="C232" s="2"/>
      <c r="D232" s="2"/>
      <c r="E232" s="2" t="s">
        <v>4974</v>
      </c>
      <c r="F232" s="2" t="s">
        <v>4975</v>
      </c>
      <c r="G232" s="2" t="s">
        <v>4484</v>
      </c>
      <c r="H232" s="2" t="s">
        <v>647</v>
      </c>
      <c r="I232" s="2" t="s">
        <v>4976</v>
      </c>
    </row>
    <row r="233">
      <c r="A233" s="2" t="s">
        <v>4977</v>
      </c>
      <c r="B233" s="2"/>
      <c r="C233" s="2"/>
      <c r="D233" s="2"/>
      <c r="E233" s="2" t="s">
        <v>4978</v>
      </c>
      <c r="F233" s="2" t="s">
        <v>4979</v>
      </c>
      <c r="G233" s="2" t="s">
        <v>4484</v>
      </c>
      <c r="H233" s="2" t="s">
        <v>647</v>
      </c>
      <c r="I233" s="2" t="s">
        <v>4980</v>
      </c>
    </row>
    <row r="234">
      <c r="A234" s="2" t="s">
        <v>4981</v>
      </c>
      <c r="B234" s="2"/>
      <c r="C234" s="2"/>
      <c r="D234" s="2"/>
      <c r="E234" s="7" t="s">
        <v>4982</v>
      </c>
      <c r="F234" s="2" t="s">
        <v>4983</v>
      </c>
      <c r="G234" s="2" t="s">
        <v>4497</v>
      </c>
      <c r="H234" s="2" t="s">
        <v>4984</v>
      </c>
      <c r="I234" s="2" t="s">
        <v>4985</v>
      </c>
    </row>
    <row r="235">
      <c r="A235" s="2" t="s">
        <v>4986</v>
      </c>
      <c r="B235" s="2"/>
      <c r="C235" s="2"/>
      <c r="D235" s="2"/>
      <c r="E235" s="2" t="s">
        <v>4987</v>
      </c>
      <c r="F235" s="2" t="s">
        <v>3997</v>
      </c>
      <c r="G235" s="2" t="s">
        <v>4497</v>
      </c>
      <c r="H235" s="2" t="s">
        <v>647</v>
      </c>
      <c r="I235" s="2" t="s">
        <v>4988</v>
      </c>
    </row>
    <row r="236">
      <c r="A236" s="2" t="s">
        <v>4989</v>
      </c>
      <c r="B236" s="2"/>
      <c r="C236" s="2"/>
      <c r="D236" s="2"/>
      <c r="E236" s="2" t="s">
        <v>4990</v>
      </c>
      <c r="F236" s="2" t="s">
        <v>4991</v>
      </c>
      <c r="G236" s="2" t="s">
        <v>3997</v>
      </c>
      <c r="H236" s="2" t="s">
        <v>647</v>
      </c>
      <c r="I236" s="2" t="s">
        <v>4992</v>
      </c>
    </row>
    <row r="237">
      <c r="A237" s="2" t="s">
        <v>4993</v>
      </c>
      <c r="B237" s="2"/>
      <c r="C237" s="2"/>
      <c r="D237" s="2"/>
      <c r="E237" s="2" t="s">
        <v>4994</v>
      </c>
      <c r="F237" s="2" t="s">
        <v>4995</v>
      </c>
      <c r="G237" s="2" t="s">
        <v>3997</v>
      </c>
      <c r="H237" s="2" t="s">
        <v>647</v>
      </c>
      <c r="I237" s="2" t="s">
        <v>4996</v>
      </c>
    </row>
    <row r="238">
      <c r="A238" s="2" t="s">
        <v>4997</v>
      </c>
      <c r="B238" s="2"/>
      <c r="C238" s="2"/>
      <c r="D238" s="2"/>
      <c r="E238" s="2" t="s">
        <v>4998</v>
      </c>
      <c r="F238" s="2" t="s">
        <v>4999</v>
      </c>
      <c r="G238" s="2" t="s">
        <v>4497</v>
      </c>
      <c r="H238" s="2" t="s">
        <v>647</v>
      </c>
      <c r="I238" s="2" t="s">
        <v>5000</v>
      </c>
    </row>
    <row r="239">
      <c r="A239" s="2" t="s">
        <v>5001</v>
      </c>
      <c r="B239" s="2"/>
      <c r="C239" s="2"/>
      <c r="D239" s="2"/>
      <c r="E239" s="2" t="s">
        <v>5002</v>
      </c>
      <c r="F239" s="2" t="s">
        <v>5003</v>
      </c>
      <c r="G239" s="2" t="s">
        <v>4484</v>
      </c>
      <c r="H239" s="2" t="s">
        <v>5004</v>
      </c>
      <c r="I239" s="2" t="s">
        <v>5005</v>
      </c>
    </row>
    <row r="240">
      <c r="A240" s="2" t="s">
        <v>5006</v>
      </c>
      <c r="B240" s="2"/>
      <c r="C240" s="2"/>
      <c r="D240" s="2"/>
      <c r="E240" s="2" t="s">
        <v>5007</v>
      </c>
      <c r="F240" s="2" t="s">
        <v>5008</v>
      </c>
      <c r="G240" s="2" t="s">
        <v>4484</v>
      </c>
      <c r="H240" s="2" t="s">
        <v>5009</v>
      </c>
      <c r="I240" s="2" t="s">
        <v>5010</v>
      </c>
    </row>
    <row r="241">
      <c r="A241" s="2" t="s">
        <v>5011</v>
      </c>
      <c r="B241" s="2"/>
      <c r="C241" s="2"/>
      <c r="D241" s="2"/>
      <c r="E241" s="2" t="s">
        <v>5012</v>
      </c>
      <c r="F241" s="2" t="s">
        <v>5013</v>
      </c>
      <c r="G241" s="2" t="s">
        <v>4497</v>
      </c>
      <c r="H241" s="2" t="s">
        <v>647</v>
      </c>
      <c r="I241" s="7" t="s">
        <v>5014</v>
      </c>
    </row>
    <row r="242">
      <c r="A242" s="2" t="s">
        <v>5015</v>
      </c>
      <c r="B242" s="2"/>
      <c r="C242" s="2"/>
      <c r="D242" s="2"/>
      <c r="E242" s="2" t="s">
        <v>5016</v>
      </c>
      <c r="F242" s="2" t="s">
        <v>5017</v>
      </c>
      <c r="G242" s="2" t="s">
        <v>3997</v>
      </c>
      <c r="H242" s="2" t="s">
        <v>647</v>
      </c>
      <c r="I242" s="2" t="s">
        <v>5018</v>
      </c>
    </row>
    <row r="243">
      <c r="A243" s="2" t="s">
        <v>5019</v>
      </c>
      <c r="B243" s="2"/>
      <c r="C243" s="2"/>
      <c r="D243" s="2"/>
      <c r="E243" s="2" t="s">
        <v>5020</v>
      </c>
      <c r="F243" s="2" t="s">
        <v>5021</v>
      </c>
      <c r="G243" s="2" t="s">
        <v>4484</v>
      </c>
      <c r="H243" s="2" t="s">
        <v>647</v>
      </c>
      <c r="I243" s="2" t="s">
        <v>5022</v>
      </c>
    </row>
    <row r="244">
      <c r="A244" s="2" t="s">
        <v>5023</v>
      </c>
      <c r="B244" s="2"/>
      <c r="C244" s="2"/>
      <c r="D244" s="2"/>
      <c r="E244" s="2" t="s">
        <v>5024</v>
      </c>
      <c r="F244" s="2" t="s">
        <v>5025</v>
      </c>
      <c r="G244" s="2" t="s">
        <v>4497</v>
      </c>
      <c r="H244" s="2" t="s">
        <v>647</v>
      </c>
      <c r="I244" s="2" t="s">
        <v>5026</v>
      </c>
    </row>
    <row r="245">
      <c r="A245" s="2" t="s">
        <v>5027</v>
      </c>
      <c r="B245" s="2"/>
      <c r="C245" s="2"/>
      <c r="D245" s="2"/>
      <c r="E245" s="2" t="s">
        <v>5028</v>
      </c>
      <c r="F245" s="2" t="s">
        <v>5029</v>
      </c>
      <c r="G245" s="2" t="s">
        <v>4484</v>
      </c>
      <c r="H245" s="2" t="s">
        <v>5030</v>
      </c>
      <c r="I245" s="2" t="s">
        <v>5031</v>
      </c>
    </row>
    <row r="246">
      <c r="A246" s="2" t="s">
        <v>5032</v>
      </c>
      <c r="B246" s="2"/>
      <c r="C246" s="2"/>
      <c r="D246" s="2"/>
      <c r="E246" s="2" t="s">
        <v>5033</v>
      </c>
      <c r="F246" s="2" t="s">
        <v>5034</v>
      </c>
      <c r="G246" s="2" t="s">
        <v>4531</v>
      </c>
      <c r="H246" s="2" t="s">
        <v>5035</v>
      </c>
      <c r="I246" s="2" t="s">
        <v>5036</v>
      </c>
    </row>
    <row r="247">
      <c r="A247" s="2" t="s">
        <v>5037</v>
      </c>
      <c r="B247" s="2"/>
      <c r="C247" s="2"/>
      <c r="D247" s="2"/>
      <c r="E247" s="2" t="s">
        <v>5038</v>
      </c>
      <c r="F247" s="2" t="s">
        <v>5039</v>
      </c>
      <c r="G247" s="2" t="s">
        <v>4531</v>
      </c>
      <c r="H247" s="2" t="s">
        <v>5040</v>
      </c>
      <c r="I247" s="2" t="s">
        <v>5041</v>
      </c>
    </row>
    <row r="248">
      <c r="A248" s="2" t="s">
        <v>5042</v>
      </c>
      <c r="B248" s="2"/>
      <c r="C248" s="2"/>
      <c r="D248" s="2"/>
      <c r="E248" s="2" t="s">
        <v>5043</v>
      </c>
      <c r="F248" s="2" t="s">
        <v>3997</v>
      </c>
      <c r="G248" s="2" t="s">
        <v>4484</v>
      </c>
      <c r="H248" s="2" t="s">
        <v>647</v>
      </c>
      <c r="I248" s="2" t="s">
        <v>5044</v>
      </c>
    </row>
    <row r="249">
      <c r="A249" s="2" t="s">
        <v>5045</v>
      </c>
      <c r="B249" s="2"/>
      <c r="C249" s="2"/>
      <c r="D249" s="2"/>
      <c r="E249" s="2" t="s">
        <v>5046</v>
      </c>
      <c r="F249" s="2" t="s">
        <v>5047</v>
      </c>
      <c r="G249" s="2" t="s">
        <v>4497</v>
      </c>
      <c r="H249" s="2" t="s">
        <v>647</v>
      </c>
      <c r="I249" s="2" t="s">
        <v>5048</v>
      </c>
    </row>
    <row r="250">
      <c r="A250" s="2" t="s">
        <v>5049</v>
      </c>
      <c r="B250" s="2"/>
      <c r="C250" s="2"/>
      <c r="D250" s="2"/>
      <c r="E250" s="2" t="s">
        <v>5050</v>
      </c>
      <c r="F250" s="2" t="s">
        <v>5051</v>
      </c>
      <c r="G250" s="2" t="s">
        <v>4484</v>
      </c>
      <c r="H250" s="2" t="s">
        <v>647</v>
      </c>
      <c r="I250" s="2" t="s">
        <v>5052</v>
      </c>
    </row>
    <row r="251">
      <c r="A251" s="2" t="s">
        <v>5053</v>
      </c>
      <c r="B251" s="2"/>
      <c r="C251" s="2"/>
      <c r="D251" s="2"/>
      <c r="E251" s="2" t="s">
        <v>5054</v>
      </c>
      <c r="F251" s="2" t="s">
        <v>5055</v>
      </c>
      <c r="G251" s="2" t="s">
        <v>4484</v>
      </c>
      <c r="H251" s="2" t="s">
        <v>647</v>
      </c>
      <c r="I251" s="2" t="s">
        <v>5056</v>
      </c>
    </row>
    <row r="252">
      <c r="A252" s="2" t="s">
        <v>5057</v>
      </c>
      <c r="B252" s="2"/>
      <c r="C252" s="2"/>
      <c r="D252" s="2"/>
      <c r="E252" s="2" t="s">
        <v>5058</v>
      </c>
      <c r="F252" s="2" t="s">
        <v>5059</v>
      </c>
      <c r="G252" s="2" t="s">
        <v>3997</v>
      </c>
      <c r="H252" s="2" t="s">
        <v>647</v>
      </c>
      <c r="I252" s="2" t="s">
        <v>5060</v>
      </c>
    </row>
    <row r="253">
      <c r="A253" s="2" t="s">
        <v>5061</v>
      </c>
      <c r="B253" s="2"/>
      <c r="C253" s="2"/>
      <c r="D253" s="2"/>
      <c r="E253" s="2" t="s">
        <v>5062</v>
      </c>
      <c r="F253" s="2" t="s">
        <v>5063</v>
      </c>
      <c r="G253" s="2" t="s">
        <v>4531</v>
      </c>
      <c r="H253" s="2" t="s">
        <v>5064</v>
      </c>
      <c r="I253" s="2" t="s">
        <v>5065</v>
      </c>
    </row>
    <row r="254">
      <c r="A254" s="2" t="s">
        <v>5066</v>
      </c>
      <c r="B254" s="2"/>
      <c r="C254" s="2"/>
      <c r="D254" s="2"/>
      <c r="E254" s="2" t="s">
        <v>5067</v>
      </c>
      <c r="F254" s="2" t="s">
        <v>5068</v>
      </c>
      <c r="G254" s="2" t="s">
        <v>4484</v>
      </c>
      <c r="H254" s="2" t="s">
        <v>647</v>
      </c>
      <c r="I254" s="2" t="s">
        <v>5069</v>
      </c>
    </row>
    <row r="255">
      <c r="A255" s="2" t="s">
        <v>5070</v>
      </c>
      <c r="B255" s="2"/>
      <c r="C255" s="2"/>
      <c r="D255" s="2"/>
      <c r="E255" s="2" t="s">
        <v>5071</v>
      </c>
      <c r="F255" s="2" t="s">
        <v>5072</v>
      </c>
      <c r="G255" s="2" t="s">
        <v>4484</v>
      </c>
      <c r="H255" s="2" t="s">
        <v>5073</v>
      </c>
      <c r="I255" s="2" t="s">
        <v>5074</v>
      </c>
    </row>
    <row r="256">
      <c r="A256" s="2" t="s">
        <v>5075</v>
      </c>
      <c r="B256" s="2"/>
      <c r="C256" s="2"/>
      <c r="D256" s="2"/>
      <c r="E256" s="2" t="s">
        <v>5076</v>
      </c>
      <c r="F256" s="2" t="s">
        <v>5077</v>
      </c>
      <c r="G256" s="2" t="s">
        <v>3997</v>
      </c>
      <c r="H256" s="2" t="s">
        <v>5078</v>
      </c>
      <c r="I256" s="2" t="s">
        <v>5079</v>
      </c>
    </row>
    <row r="257">
      <c r="A257" s="2" t="s">
        <v>5080</v>
      </c>
      <c r="B257" s="2"/>
      <c r="C257" s="2"/>
      <c r="D257" s="2"/>
      <c r="E257" s="2" t="s">
        <v>5081</v>
      </c>
      <c r="F257" s="2" t="s">
        <v>5082</v>
      </c>
      <c r="G257" s="2" t="s">
        <v>4484</v>
      </c>
      <c r="H257" s="2" t="s">
        <v>5083</v>
      </c>
      <c r="I257" s="2" t="s">
        <v>5084</v>
      </c>
    </row>
    <row r="258">
      <c r="A258" s="2" t="s">
        <v>5085</v>
      </c>
      <c r="B258" s="2"/>
      <c r="C258" s="2"/>
      <c r="D258" s="2"/>
      <c r="E258" s="2" t="s">
        <v>5086</v>
      </c>
      <c r="F258" s="2" t="s">
        <v>5087</v>
      </c>
      <c r="G258" s="2" t="s">
        <v>4531</v>
      </c>
      <c r="H258" s="2" t="s">
        <v>5088</v>
      </c>
      <c r="I258" s="2" t="s">
        <v>5089</v>
      </c>
    </row>
    <row r="259">
      <c r="A259" s="2" t="s">
        <v>5090</v>
      </c>
      <c r="B259" s="2"/>
      <c r="C259" s="2"/>
      <c r="D259" s="2"/>
      <c r="E259" s="2" t="s">
        <v>5091</v>
      </c>
      <c r="F259" s="2" t="s">
        <v>5092</v>
      </c>
      <c r="G259" s="2" t="s">
        <v>3997</v>
      </c>
      <c r="H259" s="2" t="s">
        <v>647</v>
      </c>
      <c r="I259" s="2" t="s">
        <v>5093</v>
      </c>
    </row>
    <row r="260">
      <c r="A260" s="2" t="s">
        <v>5094</v>
      </c>
      <c r="B260" s="2"/>
      <c r="C260" s="2"/>
      <c r="D260" s="2"/>
      <c r="E260" s="2" t="s">
        <v>5095</v>
      </c>
      <c r="F260" s="2" t="s">
        <v>5096</v>
      </c>
      <c r="G260" s="2" t="s">
        <v>4531</v>
      </c>
      <c r="H260" s="2" t="s">
        <v>5097</v>
      </c>
      <c r="I260" s="2" t="s">
        <v>5098</v>
      </c>
    </row>
    <row r="261">
      <c r="A261" s="2" t="s">
        <v>5099</v>
      </c>
      <c r="B261" s="2"/>
      <c r="C261" s="2"/>
      <c r="D261" s="2"/>
      <c r="E261" s="2" t="s">
        <v>5100</v>
      </c>
      <c r="F261" s="2" t="s">
        <v>5101</v>
      </c>
      <c r="G261" s="2" t="s">
        <v>4497</v>
      </c>
      <c r="H261" s="2" t="s">
        <v>647</v>
      </c>
      <c r="I261" s="2" t="s">
        <v>5102</v>
      </c>
    </row>
    <row r="262">
      <c r="A262" s="2" t="s">
        <v>5103</v>
      </c>
      <c r="B262" s="2"/>
      <c r="C262" s="2"/>
      <c r="D262" s="2"/>
      <c r="E262" s="2" t="s">
        <v>5104</v>
      </c>
      <c r="F262" s="2" t="s">
        <v>5105</v>
      </c>
      <c r="G262" s="2" t="s">
        <v>3997</v>
      </c>
      <c r="H262" s="2" t="s">
        <v>647</v>
      </c>
      <c r="I262" s="2" t="s">
        <v>5106</v>
      </c>
    </row>
    <row r="263">
      <c r="A263" s="2" t="s">
        <v>5107</v>
      </c>
      <c r="B263" s="2"/>
      <c r="C263" s="2"/>
      <c r="D263" s="2"/>
      <c r="E263" s="2" t="s">
        <v>5108</v>
      </c>
      <c r="F263" s="2" t="s">
        <v>3997</v>
      </c>
      <c r="G263" s="2" t="s">
        <v>4497</v>
      </c>
      <c r="H263" s="2" t="s">
        <v>5109</v>
      </c>
      <c r="I263" s="2" t="s">
        <v>5110</v>
      </c>
    </row>
    <row r="264">
      <c r="A264" s="2" t="s">
        <v>5111</v>
      </c>
      <c r="B264" s="2"/>
      <c r="C264" s="2"/>
      <c r="D264" s="2"/>
      <c r="E264" s="2" t="s">
        <v>5112</v>
      </c>
      <c r="F264" s="2" t="s">
        <v>5113</v>
      </c>
      <c r="G264" s="2" t="s">
        <v>4531</v>
      </c>
      <c r="H264" s="2" t="s">
        <v>5114</v>
      </c>
      <c r="I264" s="2" t="s">
        <v>5115</v>
      </c>
    </row>
    <row r="265">
      <c r="A265" s="2" t="s">
        <v>5116</v>
      </c>
      <c r="B265" s="2"/>
      <c r="C265" s="2"/>
      <c r="D265" s="2"/>
      <c r="E265" s="2" t="s">
        <v>5117</v>
      </c>
      <c r="F265" s="2" t="s">
        <v>3997</v>
      </c>
      <c r="G265" s="2" t="s">
        <v>4484</v>
      </c>
      <c r="H265" s="2" t="s">
        <v>647</v>
      </c>
      <c r="I265" s="2" t="s">
        <v>5118</v>
      </c>
    </row>
    <row r="266">
      <c r="A266" s="2" t="s">
        <v>5119</v>
      </c>
      <c r="B266" s="2"/>
      <c r="C266" s="2"/>
      <c r="D266" s="2"/>
      <c r="E266" s="2" t="s">
        <v>5120</v>
      </c>
      <c r="F266" s="2" t="s">
        <v>5121</v>
      </c>
      <c r="G266" s="2" t="s">
        <v>4531</v>
      </c>
      <c r="H266" s="2" t="s">
        <v>5122</v>
      </c>
      <c r="I266" s="2" t="s">
        <v>5123</v>
      </c>
    </row>
    <row r="267">
      <c r="A267" s="2" t="s">
        <v>5124</v>
      </c>
      <c r="B267" s="2"/>
      <c r="C267" s="2"/>
      <c r="D267" s="2"/>
      <c r="E267" s="2" t="s">
        <v>5125</v>
      </c>
      <c r="F267" s="2" t="s">
        <v>5126</v>
      </c>
      <c r="G267" s="2" t="s">
        <v>4484</v>
      </c>
      <c r="H267" s="2" t="s">
        <v>647</v>
      </c>
      <c r="I267" s="2" t="s">
        <v>5127</v>
      </c>
    </row>
    <row r="268">
      <c r="A268" s="2" t="s">
        <v>5128</v>
      </c>
      <c r="B268" s="2"/>
      <c r="C268" s="2"/>
      <c r="D268" s="2"/>
      <c r="E268" s="2" t="s">
        <v>5129</v>
      </c>
      <c r="F268" s="2" t="s">
        <v>5130</v>
      </c>
      <c r="G268" s="2" t="s">
        <v>3997</v>
      </c>
      <c r="H268" s="2" t="s">
        <v>647</v>
      </c>
      <c r="I268" s="2" t="s">
        <v>5131</v>
      </c>
    </row>
    <row r="269">
      <c r="A269" s="2" t="s">
        <v>5132</v>
      </c>
      <c r="B269" s="2"/>
      <c r="C269" s="2"/>
      <c r="D269" s="2"/>
      <c r="E269" s="2" t="s">
        <v>5133</v>
      </c>
      <c r="F269" s="2" t="s">
        <v>5134</v>
      </c>
      <c r="G269" s="2" t="s">
        <v>3997</v>
      </c>
      <c r="H269" s="2" t="s">
        <v>647</v>
      </c>
      <c r="I269" s="2" t="s">
        <v>5135</v>
      </c>
    </row>
    <row r="270">
      <c r="A270" s="2" t="s">
        <v>5136</v>
      </c>
      <c r="B270" s="2"/>
      <c r="C270" s="2"/>
      <c r="D270" s="2"/>
      <c r="E270" s="2" t="s">
        <v>5137</v>
      </c>
      <c r="F270" s="2" t="s">
        <v>3997</v>
      </c>
      <c r="G270" s="2" t="s">
        <v>3957</v>
      </c>
      <c r="H270" s="2" t="s">
        <v>647</v>
      </c>
      <c r="I270" s="2" t="s">
        <v>5138</v>
      </c>
    </row>
    <row r="271">
      <c r="A271" s="2" t="s">
        <v>5139</v>
      </c>
      <c r="B271" s="2"/>
      <c r="C271" s="2"/>
      <c r="D271" s="2"/>
      <c r="E271" s="2" t="s">
        <v>5140</v>
      </c>
      <c r="F271" s="2" t="s">
        <v>5141</v>
      </c>
      <c r="G271" s="2" t="s">
        <v>4497</v>
      </c>
      <c r="H271" s="2" t="s">
        <v>647</v>
      </c>
      <c r="I271" s="2" t="s">
        <v>5142</v>
      </c>
    </row>
    <row r="272">
      <c r="A272" s="2" t="s">
        <v>5143</v>
      </c>
      <c r="B272" s="2"/>
      <c r="C272" s="2"/>
      <c r="D272" s="2"/>
      <c r="E272" s="2" t="s">
        <v>5144</v>
      </c>
      <c r="F272" s="2" t="s">
        <v>5145</v>
      </c>
      <c r="G272" s="2" t="s">
        <v>4484</v>
      </c>
      <c r="H272" s="2" t="s">
        <v>5146</v>
      </c>
      <c r="I272" s="2" t="s">
        <v>5147</v>
      </c>
    </row>
    <row r="273">
      <c r="A273" s="2" t="s">
        <v>5148</v>
      </c>
      <c r="B273" s="2"/>
      <c r="C273" s="2"/>
      <c r="D273" s="2"/>
      <c r="E273" s="2" t="s">
        <v>5149</v>
      </c>
      <c r="F273" s="2" t="s">
        <v>3997</v>
      </c>
      <c r="G273" s="2" t="s">
        <v>3997</v>
      </c>
      <c r="H273" s="2" t="s">
        <v>647</v>
      </c>
      <c r="I273" s="2" t="s">
        <v>5150</v>
      </c>
    </row>
    <row r="274">
      <c r="A274" s="2" t="s">
        <v>5151</v>
      </c>
      <c r="B274" s="2"/>
      <c r="C274" s="2"/>
      <c r="D274" s="2"/>
      <c r="E274" s="2" t="s">
        <v>5152</v>
      </c>
      <c r="F274" s="2" t="s">
        <v>5153</v>
      </c>
      <c r="G274" s="2" t="s">
        <v>4531</v>
      </c>
      <c r="H274" s="2" t="s">
        <v>647</v>
      </c>
      <c r="I274" s="2" t="s">
        <v>5154</v>
      </c>
    </row>
    <row r="275">
      <c r="A275" s="2" t="s">
        <v>5155</v>
      </c>
      <c r="B275" s="2"/>
      <c r="C275" s="2"/>
      <c r="D275" s="2"/>
      <c r="E275" s="2" t="s">
        <v>5156</v>
      </c>
      <c r="F275" s="2" t="s">
        <v>5157</v>
      </c>
      <c r="G275" s="2" t="s">
        <v>5158</v>
      </c>
      <c r="H275" s="2" t="s">
        <v>5159</v>
      </c>
      <c r="I275" s="2" t="s">
        <v>5160</v>
      </c>
    </row>
    <row r="276">
      <c r="A276" s="2" t="s">
        <v>5161</v>
      </c>
      <c r="B276" s="2"/>
      <c r="C276" s="2"/>
      <c r="D276" s="2"/>
      <c r="E276" s="2" t="s">
        <v>5162</v>
      </c>
      <c r="F276" s="2" t="s">
        <v>5163</v>
      </c>
      <c r="G276" s="2" t="s">
        <v>4484</v>
      </c>
      <c r="H276" s="2" t="s">
        <v>5164</v>
      </c>
      <c r="I276" s="2" t="s">
        <v>5165</v>
      </c>
    </row>
    <row r="277">
      <c r="A277" s="2" t="s">
        <v>5166</v>
      </c>
      <c r="B277" s="2"/>
      <c r="C277" s="2"/>
      <c r="D277" s="2"/>
      <c r="E277" s="2" t="s">
        <v>5167</v>
      </c>
      <c r="F277" s="2" t="s">
        <v>5168</v>
      </c>
      <c r="G277" s="2" t="s">
        <v>4497</v>
      </c>
      <c r="H277" s="2" t="s">
        <v>647</v>
      </c>
      <c r="I277" s="2" t="s">
        <v>5169</v>
      </c>
    </row>
    <row r="278">
      <c r="A278" s="2" t="s">
        <v>5170</v>
      </c>
      <c r="B278" s="2"/>
      <c r="C278" s="2"/>
      <c r="D278" s="2"/>
      <c r="E278" s="2" t="s">
        <v>5171</v>
      </c>
      <c r="F278" s="2" t="s">
        <v>3997</v>
      </c>
      <c r="G278" s="2" t="s">
        <v>4484</v>
      </c>
      <c r="H278" s="2" t="s">
        <v>647</v>
      </c>
      <c r="I278" s="2" t="s">
        <v>5172</v>
      </c>
    </row>
    <row r="279">
      <c r="A279" s="2" t="s">
        <v>5173</v>
      </c>
      <c r="B279" s="2"/>
      <c r="C279" s="2"/>
      <c r="D279" s="2"/>
      <c r="E279" s="2" t="s">
        <v>5174</v>
      </c>
      <c r="F279" s="2" t="s">
        <v>5175</v>
      </c>
      <c r="G279" s="2" t="s">
        <v>5176</v>
      </c>
      <c r="H279" s="2" t="s">
        <v>5177</v>
      </c>
      <c r="I279" s="2" t="s">
        <v>5178</v>
      </c>
    </row>
    <row r="280">
      <c r="A280" s="2" t="s">
        <v>5179</v>
      </c>
      <c r="B280" s="2"/>
      <c r="C280" s="2"/>
      <c r="D280" s="2"/>
      <c r="E280" s="2" t="s">
        <v>5180</v>
      </c>
      <c r="F280" s="2" t="s">
        <v>5181</v>
      </c>
      <c r="G280" s="2" t="s">
        <v>4484</v>
      </c>
      <c r="H280" s="2" t="s">
        <v>647</v>
      </c>
      <c r="I280" s="2" t="s">
        <v>5182</v>
      </c>
    </row>
    <row r="281">
      <c r="A281" s="2" t="s">
        <v>5183</v>
      </c>
      <c r="B281" s="2"/>
      <c r="C281" s="2"/>
      <c r="D281" s="2"/>
      <c r="E281" s="2" t="s">
        <v>5184</v>
      </c>
      <c r="F281" s="2" t="s">
        <v>3997</v>
      </c>
      <c r="G281" s="2" t="s">
        <v>4484</v>
      </c>
      <c r="H281" s="2" t="s">
        <v>5185</v>
      </c>
      <c r="I281" s="2" t="s">
        <v>5186</v>
      </c>
    </row>
    <row r="282" ht="15.75" customHeight="1">
      <c r="A282" s="2" t="s">
        <v>5187</v>
      </c>
      <c r="B282" s="2"/>
      <c r="C282" s="2"/>
      <c r="D282" s="2"/>
      <c r="E282" s="2" t="s">
        <v>5188</v>
      </c>
      <c r="F282" s="2" t="s">
        <v>5189</v>
      </c>
      <c r="G282" s="2" t="s">
        <v>4484</v>
      </c>
      <c r="H282" s="2" t="s">
        <v>647</v>
      </c>
      <c r="I282" s="2" t="s">
        <v>5190</v>
      </c>
    </row>
    <row r="283">
      <c r="A283" s="2" t="s">
        <v>5191</v>
      </c>
      <c r="B283" s="2"/>
      <c r="C283" s="2"/>
      <c r="D283" s="2"/>
      <c r="E283" s="2" t="s">
        <v>5192</v>
      </c>
      <c r="F283" s="2" t="s">
        <v>5193</v>
      </c>
      <c r="G283" s="2" t="s">
        <v>3997</v>
      </c>
      <c r="H283" s="2" t="s">
        <v>647</v>
      </c>
      <c r="I283" s="2" t="s">
        <v>5194</v>
      </c>
    </row>
    <row r="284">
      <c r="A284" s="2" t="s">
        <v>5195</v>
      </c>
      <c r="B284" s="2"/>
      <c r="C284" s="2"/>
      <c r="D284" s="2"/>
      <c r="E284" s="2" t="s">
        <v>5196</v>
      </c>
      <c r="F284" s="2" t="s">
        <v>5197</v>
      </c>
      <c r="G284" s="2" t="s">
        <v>4484</v>
      </c>
      <c r="H284" s="2" t="s">
        <v>5198</v>
      </c>
      <c r="I284" s="2" t="s">
        <v>5199</v>
      </c>
    </row>
    <row r="285">
      <c r="A285" s="2" t="s">
        <v>5200</v>
      </c>
      <c r="B285" s="2"/>
      <c r="C285" s="2"/>
      <c r="D285" s="2"/>
      <c r="E285" s="2" t="s">
        <v>5201</v>
      </c>
      <c r="F285" s="2" t="s">
        <v>5202</v>
      </c>
      <c r="G285" s="2" t="s">
        <v>3997</v>
      </c>
      <c r="H285" s="2" t="s">
        <v>647</v>
      </c>
      <c r="I285" s="2" t="s">
        <v>5203</v>
      </c>
    </row>
    <row r="286">
      <c r="A286" s="2" t="s">
        <v>5204</v>
      </c>
      <c r="B286" s="2"/>
      <c r="C286" s="2"/>
      <c r="D286" s="2"/>
      <c r="E286" s="2" t="s">
        <v>5205</v>
      </c>
      <c r="F286" s="2" t="s">
        <v>5206</v>
      </c>
      <c r="G286" s="2" t="s">
        <v>3997</v>
      </c>
      <c r="H286" s="2" t="s">
        <v>5207</v>
      </c>
      <c r="I286" s="2" t="s">
        <v>5208</v>
      </c>
    </row>
    <row r="287">
      <c r="A287" s="2" t="s">
        <v>5209</v>
      </c>
      <c r="B287" s="2"/>
      <c r="C287" s="2"/>
      <c r="D287" s="2"/>
      <c r="E287" s="2" t="s">
        <v>5210</v>
      </c>
      <c r="F287" s="2" t="s">
        <v>5211</v>
      </c>
      <c r="G287" s="2" t="s">
        <v>4484</v>
      </c>
      <c r="H287" s="2" t="s">
        <v>647</v>
      </c>
      <c r="I287" s="2" t="s">
        <v>5212</v>
      </c>
    </row>
    <row r="288">
      <c r="A288" s="2" t="s">
        <v>5213</v>
      </c>
      <c r="B288" s="2"/>
      <c r="C288" s="2"/>
      <c r="D288" s="2"/>
      <c r="E288" s="2" t="s">
        <v>5214</v>
      </c>
      <c r="F288" s="2" t="s">
        <v>3997</v>
      </c>
      <c r="G288" s="2" t="s">
        <v>4531</v>
      </c>
      <c r="H288" s="2" t="s">
        <v>647</v>
      </c>
      <c r="I288" s="7" t="s">
        <v>5215</v>
      </c>
    </row>
    <row r="289">
      <c r="A289" s="2" t="s">
        <v>5216</v>
      </c>
      <c r="B289" s="2"/>
      <c r="C289" s="2"/>
      <c r="D289" s="2"/>
      <c r="E289" s="2" t="s">
        <v>5217</v>
      </c>
      <c r="F289" s="2" t="s">
        <v>5218</v>
      </c>
      <c r="G289" s="2" t="s">
        <v>4484</v>
      </c>
      <c r="H289" s="2" t="s">
        <v>647</v>
      </c>
      <c r="I289" s="2" t="s">
        <v>5219</v>
      </c>
    </row>
    <row r="290">
      <c r="A290" s="2" t="s">
        <v>5220</v>
      </c>
      <c r="B290" s="2"/>
      <c r="C290" s="2"/>
      <c r="D290" s="2"/>
      <c r="E290" s="2" t="s">
        <v>5221</v>
      </c>
      <c r="F290" s="2" t="s">
        <v>5222</v>
      </c>
      <c r="G290" s="2" t="s">
        <v>4497</v>
      </c>
      <c r="H290" s="2" t="s">
        <v>647</v>
      </c>
      <c r="I290" s="2" t="s">
        <v>5223</v>
      </c>
    </row>
    <row r="291">
      <c r="A291" s="2" t="s">
        <v>5224</v>
      </c>
      <c r="B291" s="2"/>
      <c r="C291" s="2"/>
      <c r="D291" s="2"/>
      <c r="E291" s="2" t="s">
        <v>5225</v>
      </c>
      <c r="F291" s="2" t="s">
        <v>5226</v>
      </c>
      <c r="G291" s="2" t="s">
        <v>4484</v>
      </c>
      <c r="H291" s="2" t="s">
        <v>5227</v>
      </c>
      <c r="I291" s="2" t="s">
        <v>5228</v>
      </c>
    </row>
    <row r="292">
      <c r="A292" s="2" t="s">
        <v>5229</v>
      </c>
      <c r="B292" s="2"/>
      <c r="C292" s="2"/>
      <c r="D292" s="2"/>
      <c r="E292" s="2" t="s">
        <v>5230</v>
      </c>
      <c r="F292" s="2" t="s">
        <v>5231</v>
      </c>
      <c r="G292" s="2" t="s">
        <v>4484</v>
      </c>
      <c r="H292" s="2" t="s">
        <v>5232</v>
      </c>
      <c r="I292" s="2" t="s">
        <v>5233</v>
      </c>
    </row>
    <row r="293">
      <c r="A293" s="2" t="s">
        <v>5234</v>
      </c>
      <c r="B293" s="2"/>
      <c r="C293" s="2"/>
      <c r="D293" s="2"/>
      <c r="E293" s="2" t="s">
        <v>5235</v>
      </c>
      <c r="F293" s="2" t="s">
        <v>5236</v>
      </c>
      <c r="G293" s="2" t="s">
        <v>3997</v>
      </c>
      <c r="H293" s="2" t="s">
        <v>647</v>
      </c>
      <c r="I293" s="2" t="s">
        <v>5237</v>
      </c>
    </row>
    <row r="294">
      <c r="A294" s="2" t="s">
        <v>5238</v>
      </c>
      <c r="B294" s="2"/>
      <c r="C294" s="2"/>
      <c r="D294" s="2"/>
      <c r="E294" s="2" t="s">
        <v>5239</v>
      </c>
      <c r="F294" s="2" t="s">
        <v>3997</v>
      </c>
      <c r="G294" s="2" t="s">
        <v>3997</v>
      </c>
      <c r="H294" s="2" t="s">
        <v>647</v>
      </c>
      <c r="I294" s="2" t="s">
        <v>5240</v>
      </c>
    </row>
    <row r="295">
      <c r="A295" s="2" t="s">
        <v>5241</v>
      </c>
      <c r="B295" s="2"/>
      <c r="C295" s="2"/>
      <c r="D295" s="2"/>
      <c r="E295" s="2" t="s">
        <v>5242</v>
      </c>
      <c r="F295" s="2" t="s">
        <v>5243</v>
      </c>
      <c r="G295" s="2" t="s">
        <v>4484</v>
      </c>
      <c r="H295" s="2" t="s">
        <v>647</v>
      </c>
      <c r="I295" s="2" t="s">
        <v>5244</v>
      </c>
    </row>
    <row r="296">
      <c r="A296" s="2" t="s">
        <v>5245</v>
      </c>
      <c r="B296" s="2"/>
      <c r="C296" s="2"/>
      <c r="D296" s="2"/>
      <c r="E296" s="2" t="s">
        <v>5246</v>
      </c>
      <c r="F296" s="2" t="s">
        <v>5247</v>
      </c>
      <c r="G296" s="2" t="s">
        <v>4484</v>
      </c>
      <c r="H296" s="2" t="s">
        <v>647</v>
      </c>
      <c r="I296" s="2" t="s">
        <v>5248</v>
      </c>
    </row>
    <row r="297">
      <c r="A297" s="2" t="s">
        <v>5249</v>
      </c>
      <c r="B297" s="2"/>
      <c r="C297" s="2"/>
      <c r="D297" s="2"/>
      <c r="E297" s="2" t="s">
        <v>5250</v>
      </c>
      <c r="F297" s="2" t="s">
        <v>5251</v>
      </c>
      <c r="G297" s="2" t="s">
        <v>4484</v>
      </c>
      <c r="H297" s="2" t="s">
        <v>5252</v>
      </c>
      <c r="I297" s="2" t="s">
        <v>5253</v>
      </c>
    </row>
    <row r="298">
      <c r="A298" s="2" t="s">
        <v>5254</v>
      </c>
      <c r="B298" s="2"/>
      <c r="C298" s="2"/>
      <c r="D298" s="2"/>
      <c r="E298" s="2" t="s">
        <v>5255</v>
      </c>
      <c r="F298" s="2" t="s">
        <v>5256</v>
      </c>
      <c r="G298" s="2" t="s">
        <v>3997</v>
      </c>
      <c r="H298" s="2" t="s">
        <v>647</v>
      </c>
      <c r="I298" s="2" t="s">
        <v>5257</v>
      </c>
    </row>
    <row r="299">
      <c r="A299" s="2" t="s">
        <v>5258</v>
      </c>
      <c r="B299" s="2"/>
      <c r="C299" s="2"/>
      <c r="D299" s="2"/>
      <c r="E299" s="2" t="s">
        <v>5259</v>
      </c>
      <c r="F299" s="2" t="s">
        <v>5260</v>
      </c>
      <c r="G299" s="2" t="s">
        <v>4484</v>
      </c>
      <c r="H299" s="2" t="s">
        <v>647</v>
      </c>
      <c r="I299" s="2" t="s">
        <v>5261</v>
      </c>
    </row>
    <row r="300">
      <c r="A300" s="2" t="s">
        <v>5262</v>
      </c>
      <c r="B300" s="2"/>
      <c r="C300" s="2"/>
      <c r="D300" s="2"/>
      <c r="E300" s="2" t="s">
        <v>5263</v>
      </c>
      <c r="F300" s="2" t="s">
        <v>5264</v>
      </c>
      <c r="G300" s="2" t="s">
        <v>4484</v>
      </c>
      <c r="H300" s="2" t="s">
        <v>5265</v>
      </c>
      <c r="I300" s="2" t="s">
        <v>5266</v>
      </c>
    </row>
    <row r="301">
      <c r="A301" s="2" t="s">
        <v>5267</v>
      </c>
      <c r="B301" s="2"/>
      <c r="C301" s="2"/>
      <c r="D301" s="2"/>
      <c r="E301" s="2" t="s">
        <v>5268</v>
      </c>
      <c r="F301" s="2" t="s">
        <v>5269</v>
      </c>
      <c r="G301" s="2" t="s">
        <v>3997</v>
      </c>
      <c r="H301" s="2" t="s">
        <v>647</v>
      </c>
      <c r="I301" s="2" t="s">
        <v>5270</v>
      </c>
    </row>
    <row r="302">
      <c r="A302" s="2" t="s">
        <v>5271</v>
      </c>
      <c r="B302" s="2"/>
      <c r="C302" s="2"/>
      <c r="D302" s="2"/>
      <c r="E302" s="2" t="s">
        <v>5272</v>
      </c>
      <c r="F302" s="2" t="s">
        <v>5273</v>
      </c>
      <c r="G302" s="2" t="s">
        <v>4484</v>
      </c>
      <c r="H302" s="2" t="s">
        <v>5274</v>
      </c>
      <c r="I302" s="2" t="s">
        <v>5275</v>
      </c>
    </row>
    <row r="303">
      <c r="A303" s="2" t="s">
        <v>5276</v>
      </c>
      <c r="B303" s="2"/>
      <c r="C303" s="2"/>
      <c r="D303" s="2"/>
      <c r="E303" s="2" t="s">
        <v>5277</v>
      </c>
      <c r="F303" s="2" t="s">
        <v>5278</v>
      </c>
      <c r="G303" s="2" t="s">
        <v>4484</v>
      </c>
      <c r="H303" s="2" t="s">
        <v>647</v>
      </c>
      <c r="I303" s="2" t="s">
        <v>5279</v>
      </c>
    </row>
    <row r="304">
      <c r="A304" s="2" t="s">
        <v>5280</v>
      </c>
      <c r="B304" s="2"/>
      <c r="C304" s="2"/>
      <c r="D304" s="2"/>
      <c r="E304" s="2" t="s">
        <v>5281</v>
      </c>
      <c r="F304" s="2" t="s">
        <v>5282</v>
      </c>
      <c r="G304" s="2" t="s">
        <v>4484</v>
      </c>
      <c r="H304" s="2" t="s">
        <v>647</v>
      </c>
      <c r="I304" s="2" t="s">
        <v>5283</v>
      </c>
    </row>
    <row r="305">
      <c r="A305" s="2" t="s">
        <v>5284</v>
      </c>
      <c r="B305" s="2"/>
      <c r="C305" s="2"/>
      <c r="D305" s="2"/>
      <c r="E305" s="2" t="s">
        <v>5285</v>
      </c>
      <c r="F305" s="2" t="s">
        <v>5286</v>
      </c>
      <c r="G305" s="2" t="s">
        <v>3997</v>
      </c>
      <c r="H305" s="2" t="s">
        <v>647</v>
      </c>
      <c r="I305" s="2" t="s">
        <v>5287</v>
      </c>
    </row>
    <row r="306">
      <c r="A306" s="2" t="s">
        <v>5288</v>
      </c>
      <c r="B306" s="2"/>
      <c r="C306" s="2"/>
      <c r="D306" s="2"/>
      <c r="E306" s="2" t="s">
        <v>5289</v>
      </c>
      <c r="F306" s="2" t="s">
        <v>5290</v>
      </c>
      <c r="G306" s="2" t="s">
        <v>4484</v>
      </c>
      <c r="H306" s="2" t="s">
        <v>647</v>
      </c>
      <c r="I306" s="2" t="s">
        <v>5291</v>
      </c>
    </row>
    <row r="307">
      <c r="A307" s="2" t="s">
        <v>5292</v>
      </c>
      <c r="B307" s="2"/>
      <c r="C307" s="2"/>
      <c r="D307" s="2"/>
      <c r="E307" s="2" t="s">
        <v>5293</v>
      </c>
      <c r="F307" s="2" t="s">
        <v>5294</v>
      </c>
      <c r="G307" s="2" t="s">
        <v>4484</v>
      </c>
      <c r="H307" s="2" t="s">
        <v>5295</v>
      </c>
      <c r="I307" s="2" t="s">
        <v>5296</v>
      </c>
    </row>
    <row r="308">
      <c r="A308" s="2" t="s">
        <v>5297</v>
      </c>
      <c r="B308" s="2"/>
      <c r="C308" s="2"/>
      <c r="D308" s="2"/>
      <c r="E308" s="2" t="s">
        <v>5298</v>
      </c>
      <c r="F308" s="2" t="s">
        <v>5299</v>
      </c>
      <c r="G308" s="2" t="s">
        <v>3997</v>
      </c>
      <c r="H308" s="2" t="s">
        <v>647</v>
      </c>
      <c r="I308" s="2" t="s">
        <v>5300</v>
      </c>
    </row>
    <row r="309">
      <c r="A309" s="2" t="s">
        <v>5301</v>
      </c>
      <c r="B309" s="2"/>
      <c r="C309" s="2"/>
      <c r="D309" s="2"/>
      <c r="E309" s="2" t="s">
        <v>5302</v>
      </c>
      <c r="F309" s="2" t="s">
        <v>5303</v>
      </c>
      <c r="G309" s="2" t="s">
        <v>3997</v>
      </c>
      <c r="H309" s="2" t="s">
        <v>647</v>
      </c>
      <c r="I309" s="2" t="s">
        <v>5304</v>
      </c>
    </row>
    <row r="310">
      <c r="A310" s="2" t="s">
        <v>2741</v>
      </c>
      <c r="B310" s="2"/>
      <c r="C310" s="2"/>
      <c r="D310" s="2"/>
      <c r="E310" s="2" t="s">
        <v>2742</v>
      </c>
      <c r="F310" s="2" t="s">
        <v>5305</v>
      </c>
      <c r="G310" s="2" t="s">
        <v>3957</v>
      </c>
      <c r="H310" s="2" t="s">
        <v>2745</v>
      </c>
      <c r="I310" s="2" t="s">
        <v>5306</v>
      </c>
    </row>
    <row r="311">
      <c r="A311" s="4" t="s">
        <v>5307</v>
      </c>
      <c r="B311" s="2"/>
      <c r="C311" s="2"/>
      <c r="D311" s="2"/>
      <c r="E311" s="2" t="s">
        <v>5308</v>
      </c>
      <c r="F311" s="2" t="s">
        <v>3997</v>
      </c>
      <c r="G311" s="2" t="s">
        <v>4484</v>
      </c>
      <c r="H311" s="2" t="s">
        <v>647</v>
      </c>
      <c r="I311" s="2" t="s">
        <v>5309</v>
      </c>
    </row>
    <row r="312">
      <c r="A312" s="2" t="s">
        <v>5310</v>
      </c>
      <c r="B312" s="2"/>
      <c r="C312" s="2"/>
      <c r="D312" s="2"/>
      <c r="E312" s="2" t="s">
        <v>5311</v>
      </c>
      <c r="F312" s="2" t="s">
        <v>5312</v>
      </c>
      <c r="G312" s="2" t="s">
        <v>3997</v>
      </c>
      <c r="H312" s="2" t="s">
        <v>5313</v>
      </c>
      <c r="I312" s="2" t="s">
        <v>5314</v>
      </c>
    </row>
    <row r="313">
      <c r="A313" s="2" t="s">
        <v>5315</v>
      </c>
      <c r="B313" s="2"/>
      <c r="C313" s="2"/>
      <c r="D313" s="2"/>
      <c r="E313" s="2" t="s">
        <v>5316</v>
      </c>
      <c r="F313" s="2" t="s">
        <v>5317</v>
      </c>
      <c r="G313" s="2" t="s">
        <v>3997</v>
      </c>
      <c r="H313" s="2" t="s">
        <v>647</v>
      </c>
      <c r="I313" s="2" t="s">
        <v>5318</v>
      </c>
    </row>
    <row r="314">
      <c r="A314" s="2" t="s">
        <v>5319</v>
      </c>
      <c r="B314" s="2"/>
      <c r="C314" s="2"/>
      <c r="D314" s="2"/>
      <c r="E314" s="2" t="s">
        <v>5320</v>
      </c>
      <c r="F314" s="2" t="s">
        <v>5321</v>
      </c>
      <c r="G314" s="2" t="s">
        <v>3997</v>
      </c>
      <c r="H314" s="2" t="s">
        <v>647</v>
      </c>
      <c r="I314" s="7" t="s">
        <v>5322</v>
      </c>
    </row>
    <row r="315">
      <c r="A315" s="2" t="s">
        <v>5323</v>
      </c>
      <c r="B315" s="2"/>
      <c r="C315" s="2"/>
      <c r="D315" s="2"/>
      <c r="E315" s="2" t="s">
        <v>5324</v>
      </c>
      <c r="F315" s="2" t="s">
        <v>5325</v>
      </c>
      <c r="G315" s="2" t="s">
        <v>3997</v>
      </c>
      <c r="H315" s="2" t="s">
        <v>647</v>
      </c>
      <c r="I315" s="2" t="s">
        <v>5326</v>
      </c>
    </row>
    <row r="316">
      <c r="A316" s="2" t="s">
        <v>5327</v>
      </c>
      <c r="B316" s="2"/>
      <c r="C316" s="2"/>
      <c r="D316" s="2"/>
      <c r="E316" s="2" t="s">
        <v>5328</v>
      </c>
      <c r="F316" s="2" t="s">
        <v>5329</v>
      </c>
      <c r="G316" s="2" t="s">
        <v>3997</v>
      </c>
      <c r="H316" s="2" t="s">
        <v>647</v>
      </c>
      <c r="I316" s="2" t="s">
        <v>5330</v>
      </c>
    </row>
    <row r="317">
      <c r="A317" s="2" t="s">
        <v>5331</v>
      </c>
      <c r="B317" s="2"/>
      <c r="C317" s="2"/>
      <c r="D317" s="2"/>
      <c r="E317" s="2" t="s">
        <v>5332</v>
      </c>
      <c r="F317" s="2" t="s">
        <v>5333</v>
      </c>
      <c r="G317" s="2" t="s">
        <v>4484</v>
      </c>
      <c r="H317" s="2" t="s">
        <v>647</v>
      </c>
      <c r="I317" s="2" t="s">
        <v>5334</v>
      </c>
    </row>
    <row r="318">
      <c r="A318" s="2" t="s">
        <v>5335</v>
      </c>
      <c r="B318" s="2"/>
      <c r="C318" s="2"/>
      <c r="D318" s="2"/>
      <c r="E318" s="2" t="s">
        <v>5336</v>
      </c>
      <c r="F318" s="2" t="s">
        <v>5337</v>
      </c>
      <c r="G318" s="2" t="s">
        <v>4497</v>
      </c>
      <c r="H318" s="2" t="s">
        <v>647</v>
      </c>
      <c r="I318" s="2" t="s">
        <v>5338</v>
      </c>
    </row>
    <row r="319">
      <c r="A319" s="2" t="s">
        <v>5339</v>
      </c>
      <c r="B319" s="2"/>
      <c r="C319" s="2"/>
      <c r="D319" s="2"/>
      <c r="E319" s="2" t="s">
        <v>5340</v>
      </c>
      <c r="F319" s="2" t="s">
        <v>5341</v>
      </c>
      <c r="G319" s="2" t="s">
        <v>3997</v>
      </c>
      <c r="H319" s="2" t="s">
        <v>647</v>
      </c>
      <c r="I319" s="2" t="s">
        <v>5342</v>
      </c>
    </row>
    <row r="320">
      <c r="A320" s="2" t="s">
        <v>5343</v>
      </c>
      <c r="B320" s="2"/>
      <c r="C320" s="2"/>
      <c r="D320" s="2"/>
      <c r="E320" s="2" t="s">
        <v>5344</v>
      </c>
      <c r="F320" s="2" t="s">
        <v>5345</v>
      </c>
      <c r="G320" s="2" t="s">
        <v>4484</v>
      </c>
      <c r="H320" s="2" t="s">
        <v>647</v>
      </c>
      <c r="I320" s="2" t="s">
        <v>5346</v>
      </c>
    </row>
    <row r="321">
      <c r="A321" s="2" t="s">
        <v>5347</v>
      </c>
      <c r="B321" s="2"/>
      <c r="C321" s="2"/>
      <c r="D321" s="2"/>
      <c r="E321" s="2" t="s">
        <v>5348</v>
      </c>
      <c r="F321" s="2" t="s">
        <v>5349</v>
      </c>
      <c r="G321" s="2" t="s">
        <v>3957</v>
      </c>
      <c r="H321" s="2" t="s">
        <v>5350</v>
      </c>
      <c r="I321" s="2" t="s">
        <v>5351</v>
      </c>
    </row>
    <row r="322">
      <c r="A322" s="2" t="s">
        <v>5352</v>
      </c>
      <c r="B322" s="2"/>
      <c r="C322" s="2"/>
      <c r="D322" s="2"/>
      <c r="E322" s="2" t="s">
        <v>5353</v>
      </c>
      <c r="F322" s="2" t="s">
        <v>5354</v>
      </c>
      <c r="G322" s="2" t="s">
        <v>4531</v>
      </c>
      <c r="H322" s="2" t="s">
        <v>5355</v>
      </c>
      <c r="I322" s="2" t="s">
        <v>5356</v>
      </c>
    </row>
    <row r="323">
      <c r="A323" s="2" t="s">
        <v>5357</v>
      </c>
      <c r="B323" s="2"/>
      <c r="C323" s="2"/>
      <c r="D323" s="2"/>
      <c r="E323" s="2" t="s">
        <v>5358</v>
      </c>
      <c r="F323" s="2" t="s">
        <v>5359</v>
      </c>
      <c r="G323" s="2" t="s">
        <v>3997</v>
      </c>
      <c r="H323" s="2" t="s">
        <v>647</v>
      </c>
      <c r="I323" s="7" t="s">
        <v>5360</v>
      </c>
    </row>
    <row r="324">
      <c r="A324" s="2" t="s">
        <v>5361</v>
      </c>
      <c r="B324" s="2"/>
      <c r="C324" s="2"/>
      <c r="D324" s="2"/>
      <c r="E324" s="2" t="s">
        <v>5362</v>
      </c>
      <c r="F324" s="2" t="s">
        <v>5363</v>
      </c>
      <c r="G324" s="2" t="s">
        <v>4497</v>
      </c>
      <c r="H324" s="2" t="s">
        <v>5364</v>
      </c>
      <c r="I324" s="2" t="s">
        <v>5365</v>
      </c>
    </row>
    <row r="325">
      <c r="A325" s="2" t="s">
        <v>5366</v>
      </c>
      <c r="B325" s="2"/>
      <c r="C325" s="2"/>
      <c r="D325" s="2"/>
      <c r="E325" s="2" t="s">
        <v>5367</v>
      </c>
      <c r="F325" s="2" t="s">
        <v>5368</v>
      </c>
      <c r="G325" s="2" t="s">
        <v>4531</v>
      </c>
      <c r="H325" s="2" t="s">
        <v>5369</v>
      </c>
      <c r="I325" s="2" t="s">
        <v>5370</v>
      </c>
    </row>
    <row r="326">
      <c r="A326" s="2" t="s">
        <v>5371</v>
      </c>
      <c r="B326" s="2"/>
      <c r="C326" s="2"/>
      <c r="D326" s="2"/>
      <c r="E326" s="2" t="s">
        <v>5372</v>
      </c>
      <c r="F326" s="2" t="s">
        <v>5373</v>
      </c>
      <c r="G326" s="2" t="s">
        <v>4484</v>
      </c>
      <c r="H326" s="2" t="s">
        <v>5374</v>
      </c>
      <c r="I326" s="2" t="s">
        <v>5375</v>
      </c>
    </row>
    <row r="327">
      <c r="A327" s="2" t="s">
        <v>5376</v>
      </c>
      <c r="B327" s="2"/>
      <c r="C327" s="2"/>
      <c r="D327" s="2"/>
      <c r="E327" s="2" t="s">
        <v>5377</v>
      </c>
      <c r="F327" s="2" t="s">
        <v>5378</v>
      </c>
      <c r="G327" s="2" t="s">
        <v>4531</v>
      </c>
      <c r="H327" s="2" t="s">
        <v>5379</v>
      </c>
      <c r="I327" s="2" t="s">
        <v>5380</v>
      </c>
    </row>
    <row r="328">
      <c r="A328" s="2" t="s">
        <v>5381</v>
      </c>
      <c r="B328" s="2"/>
      <c r="C328" s="2"/>
      <c r="D328" s="2"/>
      <c r="E328" s="2" t="s">
        <v>5382</v>
      </c>
      <c r="F328" s="2" t="s">
        <v>5383</v>
      </c>
      <c r="G328" s="2" t="s">
        <v>4531</v>
      </c>
      <c r="H328" s="2" t="s">
        <v>5384</v>
      </c>
      <c r="I328" s="7" t="s">
        <v>5385</v>
      </c>
    </row>
    <row r="329">
      <c r="A329" s="2" t="s">
        <v>5386</v>
      </c>
      <c r="B329" s="2"/>
      <c r="C329" s="2"/>
      <c r="D329" s="2"/>
      <c r="E329" s="2" t="s">
        <v>5387</v>
      </c>
      <c r="F329" s="2" t="s">
        <v>5388</v>
      </c>
      <c r="G329" s="2" t="s">
        <v>3997</v>
      </c>
      <c r="H329" s="2" t="s">
        <v>647</v>
      </c>
      <c r="I329" s="2" t="s">
        <v>5389</v>
      </c>
    </row>
    <row r="330">
      <c r="A330" s="2" t="s">
        <v>5390</v>
      </c>
      <c r="B330" s="2"/>
      <c r="C330" s="2"/>
      <c r="D330" s="2"/>
      <c r="E330" s="2" t="s">
        <v>5391</v>
      </c>
      <c r="F330" s="2" t="s">
        <v>5392</v>
      </c>
      <c r="G330" s="2" t="s">
        <v>4484</v>
      </c>
      <c r="H330" s="2" t="s">
        <v>647</v>
      </c>
      <c r="I330" s="2" t="s">
        <v>5393</v>
      </c>
    </row>
    <row r="331">
      <c r="A331" s="2" t="s">
        <v>5394</v>
      </c>
      <c r="B331" s="2"/>
      <c r="C331" s="2"/>
      <c r="D331" s="2"/>
      <c r="E331" s="2" t="s">
        <v>5395</v>
      </c>
      <c r="F331" s="2" t="s">
        <v>5396</v>
      </c>
      <c r="G331" s="2" t="s">
        <v>4484</v>
      </c>
      <c r="H331" s="2" t="s">
        <v>647</v>
      </c>
      <c r="I331" s="2" t="s">
        <v>5397</v>
      </c>
    </row>
    <row r="332">
      <c r="A332" s="2" t="s">
        <v>5398</v>
      </c>
      <c r="B332" s="2"/>
      <c r="C332" s="2"/>
      <c r="D332" s="2"/>
      <c r="E332" s="2" t="s">
        <v>5399</v>
      </c>
      <c r="F332" s="2" t="s">
        <v>5400</v>
      </c>
      <c r="G332" s="2" t="s">
        <v>4497</v>
      </c>
      <c r="H332" s="2" t="s">
        <v>647</v>
      </c>
      <c r="I332" s="2" t="s">
        <v>5401</v>
      </c>
    </row>
    <row r="333">
      <c r="A333" s="2" t="s">
        <v>5402</v>
      </c>
      <c r="B333" s="2"/>
      <c r="C333" s="2"/>
      <c r="D333" s="2"/>
      <c r="E333" s="2" t="s">
        <v>5403</v>
      </c>
      <c r="F333" s="2" t="s">
        <v>5404</v>
      </c>
      <c r="G333" s="2" t="s">
        <v>4531</v>
      </c>
      <c r="H333" s="2" t="s">
        <v>647</v>
      </c>
      <c r="I333" s="2" t="s">
        <v>5405</v>
      </c>
    </row>
    <row r="334">
      <c r="A334" s="2" t="s">
        <v>5406</v>
      </c>
      <c r="B334" s="2"/>
      <c r="C334" s="2"/>
      <c r="D334" s="2"/>
      <c r="E334" s="2" t="s">
        <v>5407</v>
      </c>
      <c r="F334" s="2" t="s">
        <v>3997</v>
      </c>
      <c r="G334" s="2" t="s">
        <v>3997</v>
      </c>
      <c r="H334" s="2" t="s">
        <v>647</v>
      </c>
      <c r="I334" s="2" t="s">
        <v>5408</v>
      </c>
    </row>
    <row r="335">
      <c r="A335" s="2" t="s">
        <v>5409</v>
      </c>
      <c r="B335" s="2"/>
      <c r="C335" s="2"/>
      <c r="D335" s="2"/>
      <c r="E335" s="2" t="s">
        <v>5410</v>
      </c>
      <c r="F335" s="2" t="s">
        <v>5411</v>
      </c>
      <c r="G335" s="2" t="s">
        <v>4497</v>
      </c>
      <c r="H335" s="2" t="s">
        <v>647</v>
      </c>
      <c r="I335" s="7" t="s">
        <v>5412</v>
      </c>
    </row>
    <row r="336">
      <c r="A336" s="2" t="s">
        <v>5413</v>
      </c>
      <c r="B336" s="2"/>
      <c r="C336" s="2"/>
      <c r="D336" s="2"/>
      <c r="E336" s="2" t="s">
        <v>5414</v>
      </c>
      <c r="F336" s="2" t="s">
        <v>5415</v>
      </c>
      <c r="G336" s="2" t="s">
        <v>4484</v>
      </c>
      <c r="H336" s="2" t="s">
        <v>5416</v>
      </c>
      <c r="I336" s="2" t="s">
        <v>5417</v>
      </c>
    </row>
    <row r="337">
      <c r="A337" s="2" t="s">
        <v>5418</v>
      </c>
      <c r="B337" s="2"/>
      <c r="C337" s="2"/>
      <c r="D337" s="2"/>
      <c r="E337" s="2" t="s">
        <v>5419</v>
      </c>
      <c r="F337" s="2" t="s">
        <v>5420</v>
      </c>
      <c r="G337" s="2" t="s">
        <v>3997</v>
      </c>
      <c r="H337" s="2" t="s">
        <v>5421</v>
      </c>
      <c r="I337" s="2" t="s">
        <v>5422</v>
      </c>
    </row>
    <row r="338">
      <c r="A338" s="2" t="s">
        <v>5423</v>
      </c>
      <c r="B338" s="2"/>
      <c r="C338" s="2"/>
      <c r="D338" s="2"/>
      <c r="E338" s="2" t="s">
        <v>5424</v>
      </c>
      <c r="F338" s="2" t="s">
        <v>5425</v>
      </c>
      <c r="G338" s="2" t="s">
        <v>4484</v>
      </c>
      <c r="H338" s="2" t="s">
        <v>5426</v>
      </c>
      <c r="I338" s="2" t="s">
        <v>5427</v>
      </c>
    </row>
    <row r="339">
      <c r="A339" s="2" t="s">
        <v>5428</v>
      </c>
      <c r="B339" s="2"/>
      <c r="C339" s="2"/>
      <c r="D339" s="2"/>
      <c r="E339" s="2" t="s">
        <v>5429</v>
      </c>
      <c r="F339" s="2" t="s">
        <v>5430</v>
      </c>
      <c r="G339" s="2" t="s">
        <v>3997</v>
      </c>
      <c r="H339" s="2" t="s">
        <v>647</v>
      </c>
      <c r="I339" s="2" t="s">
        <v>5431</v>
      </c>
    </row>
    <row r="340">
      <c r="A340" s="2" t="s">
        <v>5432</v>
      </c>
      <c r="B340" s="2"/>
      <c r="C340" s="2"/>
      <c r="D340" s="2"/>
      <c r="E340" s="2" t="s">
        <v>5433</v>
      </c>
      <c r="F340" s="2" t="s">
        <v>5434</v>
      </c>
      <c r="G340" s="2" t="s">
        <v>4531</v>
      </c>
      <c r="H340" s="2" t="s">
        <v>647</v>
      </c>
      <c r="I340" s="2" t="s">
        <v>5435</v>
      </c>
    </row>
    <row r="341">
      <c r="A341" s="2" t="s">
        <v>5436</v>
      </c>
      <c r="B341" s="2"/>
      <c r="C341" s="2"/>
      <c r="D341" s="2"/>
      <c r="E341" s="2" t="s">
        <v>5437</v>
      </c>
      <c r="F341" s="2" t="s">
        <v>5438</v>
      </c>
      <c r="G341" s="2" t="s">
        <v>4497</v>
      </c>
      <c r="H341" s="2" t="s">
        <v>647</v>
      </c>
      <c r="I341" s="2" t="s">
        <v>5439</v>
      </c>
    </row>
    <row r="342">
      <c r="A342" s="2" t="s">
        <v>5440</v>
      </c>
      <c r="B342" s="2"/>
      <c r="C342" s="2"/>
      <c r="D342" s="2"/>
      <c r="E342" s="2" t="s">
        <v>5441</v>
      </c>
      <c r="F342" s="2" t="s">
        <v>5442</v>
      </c>
      <c r="G342" s="2" t="s">
        <v>4484</v>
      </c>
      <c r="H342" s="2" t="s">
        <v>647</v>
      </c>
      <c r="I342" s="7" t="s">
        <v>5443</v>
      </c>
    </row>
    <row r="343">
      <c r="A343" s="2" t="s">
        <v>5444</v>
      </c>
      <c r="B343" s="2"/>
      <c r="C343" s="2"/>
      <c r="D343" s="2"/>
      <c r="E343" s="2" t="s">
        <v>5445</v>
      </c>
      <c r="F343" s="2" t="s">
        <v>5446</v>
      </c>
      <c r="G343" s="2" t="s">
        <v>4484</v>
      </c>
      <c r="H343" s="2" t="s">
        <v>647</v>
      </c>
      <c r="I343" s="2" t="s">
        <v>5447</v>
      </c>
    </row>
    <row r="344">
      <c r="A344" s="2" t="s">
        <v>5448</v>
      </c>
      <c r="B344" s="2"/>
      <c r="C344" s="2"/>
      <c r="D344" s="2"/>
      <c r="E344" s="2" t="s">
        <v>5449</v>
      </c>
      <c r="F344" s="2" t="s">
        <v>5450</v>
      </c>
      <c r="G344" s="2" t="s">
        <v>3997</v>
      </c>
      <c r="H344" s="2" t="s">
        <v>647</v>
      </c>
      <c r="I344" s="2" t="s">
        <v>5451</v>
      </c>
    </row>
    <row r="345">
      <c r="A345" s="2" t="s">
        <v>5452</v>
      </c>
      <c r="B345" s="2"/>
      <c r="C345" s="2"/>
      <c r="D345" s="2"/>
      <c r="E345" s="2" t="s">
        <v>5453</v>
      </c>
      <c r="F345" s="2" t="s">
        <v>5454</v>
      </c>
      <c r="G345" s="2" t="s">
        <v>3997</v>
      </c>
      <c r="H345" s="2" t="s">
        <v>647</v>
      </c>
      <c r="I345" s="2" t="s">
        <v>5455</v>
      </c>
    </row>
    <row r="346">
      <c r="A346" s="2" t="s">
        <v>5456</v>
      </c>
      <c r="B346" s="2"/>
      <c r="C346" s="2"/>
      <c r="D346" s="2"/>
      <c r="E346" s="2" t="s">
        <v>5457</v>
      </c>
      <c r="F346" s="2" t="s">
        <v>5458</v>
      </c>
      <c r="G346" s="2" t="s">
        <v>3997</v>
      </c>
      <c r="H346" s="2" t="s">
        <v>647</v>
      </c>
      <c r="I346" s="2" t="s">
        <v>5459</v>
      </c>
    </row>
    <row r="347">
      <c r="A347" s="2" t="s">
        <v>5460</v>
      </c>
      <c r="B347" s="2"/>
      <c r="C347" s="2"/>
      <c r="D347" s="2"/>
      <c r="E347" s="2" t="s">
        <v>5461</v>
      </c>
      <c r="F347" s="2" t="s">
        <v>5462</v>
      </c>
      <c r="G347" s="2" t="s">
        <v>4484</v>
      </c>
      <c r="H347" s="2" t="s">
        <v>647</v>
      </c>
      <c r="I347" s="7" t="s">
        <v>5463</v>
      </c>
    </row>
    <row r="348">
      <c r="A348" s="2" t="s">
        <v>5464</v>
      </c>
      <c r="B348" s="2"/>
      <c r="C348" s="2"/>
      <c r="D348" s="2"/>
      <c r="E348" s="2" t="s">
        <v>5465</v>
      </c>
      <c r="F348" s="2" t="s">
        <v>5466</v>
      </c>
      <c r="G348" s="2" t="s">
        <v>4484</v>
      </c>
      <c r="H348" s="2" t="s">
        <v>647</v>
      </c>
      <c r="I348" s="2" t="s">
        <v>5467</v>
      </c>
    </row>
    <row r="349">
      <c r="A349" s="2" t="s">
        <v>5468</v>
      </c>
      <c r="B349" s="2"/>
      <c r="C349" s="2"/>
      <c r="D349" s="2"/>
      <c r="E349" s="2" t="s">
        <v>5469</v>
      </c>
      <c r="F349" s="2" t="s">
        <v>5470</v>
      </c>
      <c r="G349" s="2" t="s">
        <v>4484</v>
      </c>
      <c r="H349" s="2" t="s">
        <v>647</v>
      </c>
      <c r="I349" s="2" t="s">
        <v>5471</v>
      </c>
    </row>
    <row r="350">
      <c r="A350" s="2" t="s">
        <v>5472</v>
      </c>
      <c r="B350" s="2"/>
      <c r="C350" s="2"/>
      <c r="D350" s="2"/>
      <c r="E350" s="2" t="s">
        <v>5473</v>
      </c>
      <c r="F350" s="2" t="s">
        <v>5474</v>
      </c>
      <c r="G350" s="2" t="s">
        <v>3997</v>
      </c>
      <c r="H350" s="2" t="s">
        <v>5475</v>
      </c>
      <c r="I350" s="2" t="s">
        <v>5476</v>
      </c>
    </row>
    <row r="351">
      <c r="A351" s="2" t="s">
        <v>5477</v>
      </c>
      <c r="B351" s="2"/>
      <c r="C351" s="2"/>
      <c r="D351" s="2"/>
      <c r="E351" s="2" t="s">
        <v>5478</v>
      </c>
      <c r="F351" s="2" t="s">
        <v>5479</v>
      </c>
      <c r="G351" s="2" t="s">
        <v>3997</v>
      </c>
      <c r="H351" s="2" t="s">
        <v>647</v>
      </c>
      <c r="I351" s="2" t="s">
        <v>5480</v>
      </c>
    </row>
    <row r="352">
      <c r="A352" s="2" t="s">
        <v>5481</v>
      </c>
      <c r="B352" s="2"/>
      <c r="C352" s="2"/>
      <c r="D352" s="2"/>
      <c r="E352" s="2" t="s">
        <v>5482</v>
      </c>
      <c r="F352" s="2" t="s">
        <v>5483</v>
      </c>
      <c r="G352" s="2" t="s">
        <v>4484</v>
      </c>
      <c r="H352" s="2" t="s">
        <v>5484</v>
      </c>
      <c r="I352" s="2" t="s">
        <v>5485</v>
      </c>
    </row>
    <row r="353">
      <c r="A353" s="2" t="s">
        <v>5486</v>
      </c>
      <c r="B353" s="2"/>
      <c r="C353" s="2"/>
      <c r="D353" s="2"/>
      <c r="E353" s="2" t="s">
        <v>5487</v>
      </c>
      <c r="F353" s="2" t="s">
        <v>5488</v>
      </c>
      <c r="G353" s="2" t="s">
        <v>3997</v>
      </c>
      <c r="H353" s="2" t="s">
        <v>647</v>
      </c>
      <c r="I353" s="2" t="s">
        <v>5489</v>
      </c>
    </row>
    <row r="354">
      <c r="A354" s="2" t="s">
        <v>5490</v>
      </c>
      <c r="B354" s="2"/>
      <c r="C354" s="2"/>
      <c r="D354" s="2"/>
      <c r="E354" s="2" t="s">
        <v>5491</v>
      </c>
      <c r="F354" s="2" t="s">
        <v>5492</v>
      </c>
      <c r="G354" s="2" t="s">
        <v>4484</v>
      </c>
      <c r="H354" s="2" t="s">
        <v>5493</v>
      </c>
      <c r="I354" s="2" t="s">
        <v>5494</v>
      </c>
    </row>
    <row r="355">
      <c r="A355" s="2" t="s">
        <v>5495</v>
      </c>
      <c r="B355" s="2"/>
      <c r="C355" s="2"/>
      <c r="D355" s="2"/>
      <c r="E355" s="2" t="s">
        <v>5496</v>
      </c>
      <c r="F355" s="2" t="s">
        <v>5497</v>
      </c>
      <c r="G355" s="2" t="s">
        <v>3997</v>
      </c>
      <c r="H355" s="2" t="s">
        <v>647</v>
      </c>
      <c r="I355" s="2" t="s">
        <v>5498</v>
      </c>
    </row>
    <row r="356">
      <c r="A356" s="2" t="s">
        <v>5499</v>
      </c>
      <c r="B356" s="2"/>
      <c r="C356" s="2"/>
      <c r="D356" s="2"/>
      <c r="E356" s="2" t="s">
        <v>5500</v>
      </c>
      <c r="F356" s="2" t="s">
        <v>5501</v>
      </c>
      <c r="G356" s="2" t="s">
        <v>4484</v>
      </c>
      <c r="H356" s="2" t="s">
        <v>5502</v>
      </c>
      <c r="I356" s="2" t="s">
        <v>5503</v>
      </c>
    </row>
    <row r="357">
      <c r="A357" s="2" t="s">
        <v>5504</v>
      </c>
      <c r="B357" s="2"/>
      <c r="C357" s="2"/>
      <c r="D357" s="2"/>
      <c r="E357" s="2" t="s">
        <v>5505</v>
      </c>
      <c r="F357" s="2" t="s">
        <v>5506</v>
      </c>
      <c r="G357" s="2" t="s">
        <v>4484</v>
      </c>
      <c r="H357" s="2" t="s">
        <v>5507</v>
      </c>
      <c r="I357" s="2" t="s">
        <v>5508</v>
      </c>
    </row>
    <row r="358">
      <c r="A358" s="2" t="s">
        <v>5509</v>
      </c>
      <c r="B358" s="2"/>
      <c r="C358" s="2"/>
      <c r="D358" s="2"/>
      <c r="E358" s="2" t="s">
        <v>5510</v>
      </c>
      <c r="F358" s="2" t="s">
        <v>5511</v>
      </c>
      <c r="G358" s="2" t="s">
        <v>4531</v>
      </c>
      <c r="H358" s="2" t="s">
        <v>5512</v>
      </c>
      <c r="I358" s="2" t="s">
        <v>5513</v>
      </c>
    </row>
    <row r="359">
      <c r="A359" s="2" t="s">
        <v>5514</v>
      </c>
      <c r="B359" s="2"/>
      <c r="C359" s="2"/>
      <c r="D359" s="2"/>
      <c r="E359" s="2" t="s">
        <v>5515</v>
      </c>
      <c r="F359" s="2" t="s">
        <v>5516</v>
      </c>
      <c r="G359" s="2" t="s">
        <v>3997</v>
      </c>
      <c r="H359" s="2" t="s">
        <v>647</v>
      </c>
      <c r="I359" s="2" t="s">
        <v>5517</v>
      </c>
    </row>
    <row r="360">
      <c r="A360" s="2" t="s">
        <v>5518</v>
      </c>
      <c r="B360" s="2"/>
      <c r="C360" s="2"/>
      <c r="D360" s="2"/>
      <c r="E360" s="2" t="s">
        <v>5519</v>
      </c>
      <c r="F360" s="2" t="s">
        <v>3997</v>
      </c>
      <c r="G360" s="2" t="s">
        <v>3997</v>
      </c>
      <c r="H360" s="2" t="s">
        <v>647</v>
      </c>
      <c r="I360" s="2" t="s">
        <v>5520</v>
      </c>
    </row>
    <row r="361">
      <c r="A361" s="2" t="s">
        <v>5521</v>
      </c>
      <c r="B361" s="2"/>
      <c r="C361" s="2"/>
      <c r="D361" s="2"/>
      <c r="E361" s="2" t="s">
        <v>5522</v>
      </c>
      <c r="F361" s="2" t="s">
        <v>5523</v>
      </c>
      <c r="G361" s="2" t="s">
        <v>3997</v>
      </c>
      <c r="H361" s="2" t="s">
        <v>647</v>
      </c>
      <c r="I361" s="2" t="s">
        <v>5524</v>
      </c>
    </row>
    <row r="362">
      <c r="A362" s="2" t="s">
        <v>5525</v>
      </c>
      <c r="B362" s="2"/>
      <c r="C362" s="2"/>
      <c r="D362" s="2"/>
      <c r="E362" s="2" t="s">
        <v>5526</v>
      </c>
      <c r="F362" s="2" t="s">
        <v>5527</v>
      </c>
      <c r="G362" s="2" t="s">
        <v>4497</v>
      </c>
      <c r="H362" s="2" t="s">
        <v>647</v>
      </c>
      <c r="I362" s="2" t="s">
        <v>5528</v>
      </c>
    </row>
    <row r="363">
      <c r="A363" s="2" t="s">
        <v>5529</v>
      </c>
      <c r="B363" s="2"/>
      <c r="C363" s="2"/>
      <c r="D363" s="2"/>
      <c r="E363" s="2" t="s">
        <v>5530</v>
      </c>
      <c r="F363" s="2" t="s">
        <v>5531</v>
      </c>
      <c r="G363" s="2" t="s">
        <v>4484</v>
      </c>
      <c r="H363" s="2" t="s">
        <v>647</v>
      </c>
      <c r="I363" s="2" t="s">
        <v>5532</v>
      </c>
    </row>
    <row r="364">
      <c r="A364" s="2" t="s">
        <v>5533</v>
      </c>
      <c r="B364" s="2"/>
      <c r="C364" s="2"/>
      <c r="D364" s="2"/>
      <c r="E364" s="2" t="s">
        <v>5534</v>
      </c>
      <c r="F364" s="2" t="s">
        <v>3997</v>
      </c>
      <c r="G364" s="2" t="s">
        <v>3997</v>
      </c>
      <c r="H364" s="2" t="s">
        <v>647</v>
      </c>
      <c r="I364" s="2" t="s">
        <v>5535</v>
      </c>
    </row>
    <row r="365">
      <c r="A365" s="2" t="s">
        <v>5536</v>
      </c>
      <c r="B365" s="2"/>
      <c r="C365" s="2"/>
      <c r="D365" s="2"/>
      <c r="E365" s="2" t="s">
        <v>5537</v>
      </c>
      <c r="F365" s="2" t="s">
        <v>5538</v>
      </c>
      <c r="G365" s="2" t="s">
        <v>3997</v>
      </c>
      <c r="H365" s="2" t="s">
        <v>5539</v>
      </c>
      <c r="I365" s="2" t="s">
        <v>5540</v>
      </c>
    </row>
    <row r="366">
      <c r="A366" s="2" t="s">
        <v>5541</v>
      </c>
      <c r="B366" s="2"/>
      <c r="C366" s="2"/>
      <c r="D366" s="2"/>
      <c r="E366" s="2" t="s">
        <v>5542</v>
      </c>
      <c r="F366" s="2" t="s">
        <v>5543</v>
      </c>
      <c r="G366" s="2" t="s">
        <v>4531</v>
      </c>
      <c r="H366" s="2" t="s">
        <v>5544</v>
      </c>
      <c r="I366" s="2" t="s">
        <v>5545</v>
      </c>
    </row>
    <row r="367">
      <c r="A367" s="2" t="s">
        <v>5546</v>
      </c>
      <c r="B367" s="2"/>
      <c r="C367" s="2"/>
      <c r="D367" s="2"/>
      <c r="E367" s="2" t="s">
        <v>5547</v>
      </c>
      <c r="F367" s="2" t="s">
        <v>5548</v>
      </c>
      <c r="G367" s="2" t="s">
        <v>3997</v>
      </c>
      <c r="H367" s="2" t="s">
        <v>647</v>
      </c>
      <c r="I367" s="2" t="s">
        <v>5549</v>
      </c>
    </row>
    <row r="368">
      <c r="A368" s="2" t="s">
        <v>5550</v>
      </c>
      <c r="B368" s="2"/>
      <c r="C368" s="2"/>
      <c r="D368" s="2"/>
      <c r="E368" s="2" t="s">
        <v>5551</v>
      </c>
      <c r="F368" s="2" t="s">
        <v>3997</v>
      </c>
      <c r="G368" s="2" t="s">
        <v>4531</v>
      </c>
      <c r="H368" s="2" t="s">
        <v>647</v>
      </c>
      <c r="I368" s="2" t="s">
        <v>5552</v>
      </c>
    </row>
    <row r="369">
      <c r="A369" s="2" t="s">
        <v>5553</v>
      </c>
      <c r="B369" s="2"/>
      <c r="C369" s="2"/>
      <c r="D369" s="2"/>
      <c r="E369" s="2" t="s">
        <v>5554</v>
      </c>
      <c r="F369" s="2" t="s">
        <v>5555</v>
      </c>
      <c r="G369" s="2" t="s">
        <v>3997</v>
      </c>
      <c r="H369" s="2" t="s">
        <v>647</v>
      </c>
      <c r="I369" s="7" t="s">
        <v>5556</v>
      </c>
    </row>
    <row r="370">
      <c r="A370" s="2" t="s">
        <v>5557</v>
      </c>
      <c r="B370" s="2"/>
      <c r="C370" s="2"/>
      <c r="D370" s="2"/>
      <c r="E370" s="2" t="s">
        <v>5558</v>
      </c>
      <c r="F370" s="2" t="s">
        <v>3997</v>
      </c>
      <c r="G370" s="2" t="s">
        <v>3997</v>
      </c>
      <c r="H370" s="2" t="s">
        <v>647</v>
      </c>
      <c r="I370" s="2" t="s">
        <v>5559</v>
      </c>
    </row>
    <row r="371">
      <c r="A371" s="2" t="s">
        <v>5560</v>
      </c>
      <c r="B371" s="2"/>
      <c r="C371" s="2"/>
      <c r="D371" s="2"/>
      <c r="E371" s="2" t="s">
        <v>5561</v>
      </c>
      <c r="F371" s="2" t="s">
        <v>5562</v>
      </c>
      <c r="G371" s="2" t="s">
        <v>4531</v>
      </c>
      <c r="H371" s="2" t="s">
        <v>5563</v>
      </c>
      <c r="I371" s="2" t="s">
        <v>5564</v>
      </c>
    </row>
    <row r="372">
      <c r="A372" s="2" t="s">
        <v>5565</v>
      </c>
      <c r="B372" s="2"/>
      <c r="C372" s="2"/>
      <c r="D372" s="2"/>
      <c r="E372" s="2" t="s">
        <v>5566</v>
      </c>
      <c r="F372" s="2" t="s">
        <v>5567</v>
      </c>
      <c r="G372" s="2" t="s">
        <v>4484</v>
      </c>
      <c r="H372" s="2" t="s">
        <v>647</v>
      </c>
      <c r="I372" s="2" t="s">
        <v>5568</v>
      </c>
    </row>
    <row r="373">
      <c r="A373" s="2" t="s">
        <v>5569</v>
      </c>
      <c r="B373" s="2"/>
      <c r="C373" s="2"/>
      <c r="D373" s="2"/>
      <c r="E373" s="2" t="s">
        <v>5570</v>
      </c>
      <c r="F373" s="2" t="s">
        <v>5571</v>
      </c>
      <c r="G373" s="2" t="s">
        <v>4484</v>
      </c>
      <c r="H373" s="2" t="s">
        <v>647</v>
      </c>
      <c r="I373" s="2" t="s">
        <v>5572</v>
      </c>
    </row>
    <row r="374">
      <c r="A374" s="2" t="s">
        <v>5573</v>
      </c>
      <c r="B374" s="2"/>
      <c r="C374" s="2"/>
      <c r="D374" s="2"/>
      <c r="E374" s="2" t="s">
        <v>5574</v>
      </c>
      <c r="F374" s="2" t="s">
        <v>5575</v>
      </c>
      <c r="G374" s="2" t="s">
        <v>4484</v>
      </c>
      <c r="H374" s="2" t="s">
        <v>647</v>
      </c>
      <c r="I374" s="2" t="s">
        <v>5576</v>
      </c>
    </row>
    <row r="375">
      <c r="A375" s="2" t="s">
        <v>5577</v>
      </c>
      <c r="B375" s="2"/>
      <c r="C375" s="2"/>
      <c r="D375" s="2"/>
      <c r="E375" s="2" t="s">
        <v>5578</v>
      </c>
      <c r="F375" s="2" t="s">
        <v>3997</v>
      </c>
      <c r="G375" s="2" t="s">
        <v>4484</v>
      </c>
      <c r="H375" s="2" t="s">
        <v>647</v>
      </c>
      <c r="I375" s="2" t="s">
        <v>5579</v>
      </c>
    </row>
    <row r="376">
      <c r="A376" s="2" t="s">
        <v>5580</v>
      </c>
      <c r="B376" s="2"/>
      <c r="C376" s="2"/>
      <c r="D376" s="2"/>
      <c r="E376" s="2" t="s">
        <v>5581</v>
      </c>
      <c r="F376" s="2" t="s">
        <v>5582</v>
      </c>
      <c r="G376" s="2" t="s">
        <v>4484</v>
      </c>
      <c r="H376" s="2" t="s">
        <v>5583</v>
      </c>
      <c r="I376" s="2" t="s">
        <v>5584</v>
      </c>
    </row>
    <row r="377">
      <c r="A377" s="2" t="s">
        <v>5585</v>
      </c>
      <c r="B377" s="2"/>
      <c r="C377" s="2"/>
      <c r="D377" s="2"/>
      <c r="E377" s="2" t="s">
        <v>5586</v>
      </c>
      <c r="F377" s="2" t="s">
        <v>5587</v>
      </c>
      <c r="G377" s="2" t="s">
        <v>4484</v>
      </c>
      <c r="H377" s="2" t="s">
        <v>5588</v>
      </c>
      <c r="I377" s="2" t="s">
        <v>5589</v>
      </c>
    </row>
    <row r="378">
      <c r="A378" s="2" t="s">
        <v>5590</v>
      </c>
      <c r="B378" s="2"/>
      <c r="C378" s="2"/>
      <c r="D378" s="2"/>
      <c r="E378" s="2" t="s">
        <v>5591</v>
      </c>
      <c r="F378" s="2" t="s">
        <v>5592</v>
      </c>
      <c r="G378" s="2" t="s">
        <v>4531</v>
      </c>
      <c r="H378" s="2" t="s">
        <v>5593</v>
      </c>
      <c r="I378" s="2" t="s">
        <v>5594</v>
      </c>
    </row>
    <row r="379">
      <c r="A379" s="2" t="s">
        <v>5595</v>
      </c>
      <c r="B379" s="2"/>
      <c r="C379" s="2"/>
      <c r="D379" s="2"/>
      <c r="E379" s="2" t="s">
        <v>5596</v>
      </c>
      <c r="F379" s="2" t="s">
        <v>5597</v>
      </c>
      <c r="G379" s="2" t="s">
        <v>3997</v>
      </c>
      <c r="H379" s="2" t="s">
        <v>5598</v>
      </c>
      <c r="I379" s="2" t="s">
        <v>5599</v>
      </c>
    </row>
    <row r="380">
      <c r="A380" s="2" t="s">
        <v>5600</v>
      </c>
      <c r="B380" s="2"/>
      <c r="C380" s="2"/>
      <c r="D380" s="2"/>
      <c r="E380" s="2" t="s">
        <v>5601</v>
      </c>
      <c r="F380" s="2" t="s">
        <v>5602</v>
      </c>
      <c r="G380" s="2" t="s">
        <v>4497</v>
      </c>
      <c r="H380" s="2" t="s">
        <v>647</v>
      </c>
      <c r="I380" s="7" t="s">
        <v>5603</v>
      </c>
    </row>
    <row r="381">
      <c r="A381" s="2" t="s">
        <v>5604</v>
      </c>
      <c r="B381" s="2"/>
      <c r="C381" s="2"/>
      <c r="D381" s="2"/>
      <c r="E381" s="2" t="s">
        <v>5605</v>
      </c>
      <c r="F381" s="2" t="s">
        <v>5606</v>
      </c>
      <c r="G381" s="2" t="s">
        <v>3997</v>
      </c>
      <c r="H381" s="2" t="s">
        <v>647</v>
      </c>
      <c r="I381" s="2" t="s">
        <v>5607</v>
      </c>
    </row>
    <row r="382">
      <c r="A382" s="2" t="s">
        <v>5608</v>
      </c>
      <c r="B382" s="2"/>
      <c r="C382" s="2"/>
      <c r="D382" s="2"/>
      <c r="E382" s="2" t="s">
        <v>5609</v>
      </c>
      <c r="F382" s="2" t="s">
        <v>5610</v>
      </c>
      <c r="G382" s="2" t="s">
        <v>4484</v>
      </c>
      <c r="H382" s="2" t="s">
        <v>647</v>
      </c>
      <c r="I382" s="2" t="s">
        <v>5611</v>
      </c>
    </row>
    <row r="383">
      <c r="A383" s="2" t="s">
        <v>5612</v>
      </c>
      <c r="B383" s="2"/>
      <c r="C383" s="2"/>
      <c r="D383" s="2"/>
      <c r="E383" s="2" t="s">
        <v>5613</v>
      </c>
      <c r="F383" s="2" t="s">
        <v>5614</v>
      </c>
      <c r="G383" s="2" t="s">
        <v>4497</v>
      </c>
      <c r="H383" s="2" t="s">
        <v>647</v>
      </c>
      <c r="I383" s="7" t="s">
        <v>5615</v>
      </c>
    </row>
    <row r="384">
      <c r="A384" s="2" t="s">
        <v>5616</v>
      </c>
      <c r="B384" s="2"/>
      <c r="C384" s="2"/>
      <c r="D384" s="2"/>
      <c r="E384" s="2" t="s">
        <v>5617</v>
      </c>
      <c r="F384" s="2" t="s">
        <v>5618</v>
      </c>
      <c r="G384" s="2" t="s">
        <v>4484</v>
      </c>
      <c r="H384" s="2" t="s">
        <v>647</v>
      </c>
      <c r="I384" s="2" t="s">
        <v>5619</v>
      </c>
    </row>
    <row r="385">
      <c r="A385" s="2" t="s">
        <v>5620</v>
      </c>
      <c r="B385" s="2"/>
      <c r="C385" s="2"/>
      <c r="D385" s="2"/>
      <c r="E385" s="2" t="s">
        <v>5621</v>
      </c>
      <c r="F385" s="2" t="s">
        <v>3997</v>
      </c>
      <c r="G385" s="2" t="s">
        <v>4497</v>
      </c>
      <c r="H385" s="2" t="s">
        <v>647</v>
      </c>
      <c r="I385" s="2" t="s">
        <v>5622</v>
      </c>
    </row>
    <row r="386">
      <c r="A386" s="2" t="s">
        <v>5623</v>
      </c>
      <c r="B386" s="2"/>
      <c r="C386" s="2"/>
      <c r="D386" s="2"/>
      <c r="E386" s="2" t="s">
        <v>5624</v>
      </c>
      <c r="F386" s="2" t="s">
        <v>5625</v>
      </c>
      <c r="G386" s="2" t="s">
        <v>4531</v>
      </c>
      <c r="H386" s="2" t="s">
        <v>5626</v>
      </c>
      <c r="I386" s="7" t="s">
        <v>5627</v>
      </c>
    </row>
    <row r="387">
      <c r="A387" s="2" t="s">
        <v>5628</v>
      </c>
      <c r="B387" s="2"/>
      <c r="C387" s="2"/>
      <c r="D387" s="2"/>
      <c r="E387" s="2" t="s">
        <v>5629</v>
      </c>
      <c r="F387" s="2" t="s">
        <v>5630</v>
      </c>
      <c r="G387" s="2" t="s">
        <v>4497</v>
      </c>
      <c r="H387" s="2" t="s">
        <v>5631</v>
      </c>
      <c r="I387" s="2" t="s">
        <v>5632</v>
      </c>
    </row>
    <row r="388">
      <c r="A388" s="2" t="s">
        <v>5633</v>
      </c>
      <c r="B388" s="2"/>
      <c r="C388" s="2"/>
      <c r="D388" s="2"/>
      <c r="E388" s="2" t="s">
        <v>5634</v>
      </c>
      <c r="F388" s="2" t="s">
        <v>5635</v>
      </c>
      <c r="G388" s="2" t="s">
        <v>4531</v>
      </c>
      <c r="H388" s="2" t="s">
        <v>647</v>
      </c>
      <c r="I388" s="2" t="s">
        <v>5636</v>
      </c>
    </row>
    <row r="389">
      <c r="A389" s="2" t="s">
        <v>5637</v>
      </c>
      <c r="B389" s="2"/>
      <c r="C389" s="2"/>
      <c r="D389" s="2"/>
      <c r="E389" s="2" t="s">
        <v>5638</v>
      </c>
      <c r="F389" s="2" t="s">
        <v>5639</v>
      </c>
      <c r="G389" s="2" t="s">
        <v>3957</v>
      </c>
      <c r="H389" s="2" t="s">
        <v>5640</v>
      </c>
      <c r="I389" s="2" t="s">
        <v>5641</v>
      </c>
    </row>
    <row r="390">
      <c r="A390" s="2" t="s">
        <v>5642</v>
      </c>
      <c r="B390" s="2"/>
      <c r="C390" s="2"/>
      <c r="D390" s="2"/>
      <c r="E390" s="2" t="s">
        <v>5643</v>
      </c>
      <c r="F390" s="2" t="s">
        <v>5644</v>
      </c>
      <c r="G390" s="2" t="s">
        <v>4484</v>
      </c>
      <c r="H390" s="2" t="s">
        <v>5645</v>
      </c>
      <c r="I390" s="2" t="s">
        <v>5646</v>
      </c>
    </row>
    <row r="391">
      <c r="A391" s="2" t="s">
        <v>5647</v>
      </c>
      <c r="B391" s="2"/>
      <c r="C391" s="2"/>
      <c r="D391" s="2"/>
      <c r="E391" s="2" t="s">
        <v>5648</v>
      </c>
      <c r="F391" s="2" t="s">
        <v>5649</v>
      </c>
      <c r="G391" s="2" t="s">
        <v>4484</v>
      </c>
      <c r="H391" s="2" t="s">
        <v>5650</v>
      </c>
      <c r="I391" s="2" t="s">
        <v>5651</v>
      </c>
    </row>
    <row r="392">
      <c r="A392" s="2" t="s">
        <v>5652</v>
      </c>
      <c r="B392" s="2"/>
      <c r="C392" s="2"/>
      <c r="D392" s="2"/>
      <c r="E392" s="2" t="s">
        <v>5653</v>
      </c>
      <c r="F392" s="2" t="s">
        <v>5654</v>
      </c>
      <c r="G392" s="2" t="s">
        <v>3997</v>
      </c>
      <c r="H392" s="2" t="s">
        <v>5655</v>
      </c>
      <c r="I392" s="2" t="s">
        <v>5656</v>
      </c>
    </row>
    <row r="393">
      <c r="A393" s="2" t="s">
        <v>5657</v>
      </c>
      <c r="B393" s="2"/>
      <c r="C393" s="2"/>
      <c r="D393" s="2"/>
      <c r="E393" s="2" t="s">
        <v>5658</v>
      </c>
      <c r="F393" s="2" t="s">
        <v>5659</v>
      </c>
      <c r="G393" s="2" t="s">
        <v>3957</v>
      </c>
      <c r="H393" s="2" t="s">
        <v>5660</v>
      </c>
      <c r="I393" s="2" t="s">
        <v>5661</v>
      </c>
    </row>
    <row r="394">
      <c r="A394" s="2" t="s">
        <v>5662</v>
      </c>
      <c r="B394" s="2"/>
      <c r="C394" s="2"/>
      <c r="D394" s="2"/>
      <c r="E394" s="2" t="s">
        <v>5663</v>
      </c>
      <c r="F394" s="2" t="s">
        <v>3997</v>
      </c>
      <c r="G394" s="2" t="s">
        <v>3997</v>
      </c>
      <c r="H394" s="2" t="s">
        <v>647</v>
      </c>
      <c r="I394" s="2" t="s">
        <v>5664</v>
      </c>
    </row>
    <row r="395">
      <c r="A395" s="2" t="s">
        <v>5665</v>
      </c>
      <c r="B395" s="2"/>
      <c r="C395" s="2"/>
      <c r="D395" s="2"/>
      <c r="E395" s="2" t="s">
        <v>5666</v>
      </c>
      <c r="F395" s="2" t="s">
        <v>5667</v>
      </c>
      <c r="G395" s="2" t="s">
        <v>4484</v>
      </c>
      <c r="H395" s="2" t="s">
        <v>647</v>
      </c>
      <c r="I395" s="2" t="s">
        <v>5668</v>
      </c>
    </row>
    <row r="396">
      <c r="A396" s="2" t="s">
        <v>5669</v>
      </c>
      <c r="B396" s="2"/>
      <c r="C396" s="2"/>
      <c r="D396" s="2"/>
      <c r="E396" s="2" t="s">
        <v>5670</v>
      </c>
      <c r="F396" s="2" t="s">
        <v>5671</v>
      </c>
      <c r="G396" s="2" t="s">
        <v>4484</v>
      </c>
      <c r="H396" s="2" t="s">
        <v>5672</v>
      </c>
      <c r="I396" s="2" t="s">
        <v>5673</v>
      </c>
    </row>
    <row r="397">
      <c r="A397" s="2" t="s">
        <v>5674</v>
      </c>
      <c r="B397" s="2"/>
      <c r="C397" s="2"/>
      <c r="D397" s="2"/>
      <c r="E397" s="2" t="s">
        <v>5675</v>
      </c>
      <c r="F397" s="2" t="s">
        <v>5676</v>
      </c>
      <c r="G397" s="2" t="s">
        <v>4484</v>
      </c>
      <c r="H397" s="2" t="s">
        <v>647</v>
      </c>
      <c r="I397" s="2" t="s">
        <v>5677</v>
      </c>
    </row>
    <row r="398">
      <c r="A398" s="2" t="s">
        <v>5678</v>
      </c>
      <c r="B398" s="2"/>
      <c r="C398" s="2"/>
      <c r="D398" s="2"/>
      <c r="E398" s="2" t="s">
        <v>5679</v>
      </c>
      <c r="F398" s="2" t="s">
        <v>5680</v>
      </c>
      <c r="G398" s="2" t="s">
        <v>4484</v>
      </c>
      <c r="H398" s="2" t="s">
        <v>647</v>
      </c>
      <c r="I398" s="2" t="s">
        <v>5681</v>
      </c>
    </row>
    <row r="399">
      <c r="A399" s="2" t="s">
        <v>5682</v>
      </c>
      <c r="B399" s="2"/>
      <c r="C399" s="2"/>
      <c r="D399" s="2"/>
      <c r="E399" s="2" t="s">
        <v>5683</v>
      </c>
      <c r="F399" s="2" t="s">
        <v>5684</v>
      </c>
      <c r="G399" s="2" t="s">
        <v>3997</v>
      </c>
      <c r="H399" s="2" t="s">
        <v>647</v>
      </c>
      <c r="I399" s="2" t="s">
        <v>5685</v>
      </c>
    </row>
    <row r="400">
      <c r="A400" s="2" t="s">
        <v>5686</v>
      </c>
      <c r="B400" s="2"/>
      <c r="C400" s="2"/>
      <c r="D400" s="2"/>
      <c r="E400" s="2" t="s">
        <v>5687</v>
      </c>
      <c r="F400" s="2" t="s">
        <v>3997</v>
      </c>
      <c r="G400" s="2" t="s">
        <v>3997</v>
      </c>
      <c r="H400" s="2" t="s">
        <v>647</v>
      </c>
      <c r="I400" s="2" t="s">
        <v>5688</v>
      </c>
    </row>
    <row r="401">
      <c r="A401" s="2" t="s">
        <v>5689</v>
      </c>
      <c r="B401" s="2"/>
      <c r="C401" s="2"/>
      <c r="D401" s="2"/>
      <c r="E401" s="2" t="s">
        <v>5690</v>
      </c>
      <c r="F401" s="2" t="s">
        <v>5691</v>
      </c>
      <c r="G401" s="2" t="s">
        <v>4484</v>
      </c>
      <c r="H401" s="2" t="s">
        <v>647</v>
      </c>
      <c r="I401" s="2" t="s">
        <v>5692</v>
      </c>
    </row>
    <row r="402">
      <c r="A402" s="2" t="s">
        <v>5693</v>
      </c>
      <c r="B402" s="2"/>
      <c r="C402" s="2"/>
      <c r="D402" s="2"/>
      <c r="E402" s="2" t="s">
        <v>5694</v>
      </c>
      <c r="F402" s="2" t="s">
        <v>5695</v>
      </c>
      <c r="G402" s="2" t="s">
        <v>4484</v>
      </c>
      <c r="H402" s="2" t="s">
        <v>5696</v>
      </c>
      <c r="I402" s="2" t="s">
        <v>5697</v>
      </c>
    </row>
    <row r="403">
      <c r="A403" s="2" t="s">
        <v>5698</v>
      </c>
      <c r="B403" s="2"/>
      <c r="C403" s="2"/>
      <c r="D403" s="2"/>
      <c r="E403" s="2" t="s">
        <v>5699</v>
      </c>
      <c r="F403" s="2" t="s">
        <v>5700</v>
      </c>
      <c r="G403" s="2" t="s">
        <v>3997</v>
      </c>
      <c r="H403" s="2" t="s">
        <v>647</v>
      </c>
      <c r="I403" s="2" t="s">
        <v>5701</v>
      </c>
    </row>
    <row r="404">
      <c r="A404" s="2" t="s">
        <v>5702</v>
      </c>
      <c r="B404" s="2"/>
      <c r="C404" s="2"/>
      <c r="D404" s="2"/>
      <c r="E404" s="2" t="s">
        <v>5703</v>
      </c>
      <c r="F404" s="2" t="s">
        <v>5704</v>
      </c>
      <c r="G404" s="2" t="s">
        <v>4497</v>
      </c>
      <c r="H404" s="2" t="s">
        <v>647</v>
      </c>
      <c r="I404" s="2" t="s">
        <v>5705</v>
      </c>
    </row>
    <row r="405">
      <c r="A405" s="2" t="s">
        <v>5706</v>
      </c>
      <c r="B405" s="2"/>
      <c r="C405" s="2"/>
      <c r="D405" s="2"/>
      <c r="E405" s="2" t="s">
        <v>5707</v>
      </c>
      <c r="F405" s="2" t="s">
        <v>5708</v>
      </c>
      <c r="G405" s="2" t="s">
        <v>3997</v>
      </c>
      <c r="H405" s="2" t="s">
        <v>647</v>
      </c>
      <c r="I405" s="2" t="s">
        <v>5709</v>
      </c>
    </row>
    <row r="406">
      <c r="A406" s="2" t="s">
        <v>5710</v>
      </c>
      <c r="B406" s="2"/>
      <c r="C406" s="2"/>
      <c r="D406" s="2"/>
      <c r="E406" s="2" t="s">
        <v>5711</v>
      </c>
      <c r="F406" s="2" t="s">
        <v>3997</v>
      </c>
      <c r="G406" s="2" t="s">
        <v>3997</v>
      </c>
      <c r="H406" s="2" t="s">
        <v>647</v>
      </c>
      <c r="I406" s="7" t="s">
        <v>5712</v>
      </c>
    </row>
    <row r="407">
      <c r="A407" s="2" t="s">
        <v>5713</v>
      </c>
      <c r="B407" s="2"/>
      <c r="C407" s="2"/>
      <c r="D407" s="2"/>
      <c r="E407" s="2" t="s">
        <v>5714</v>
      </c>
      <c r="F407" s="2" t="s">
        <v>5715</v>
      </c>
      <c r="G407" s="2" t="s">
        <v>4484</v>
      </c>
      <c r="H407" s="2" t="s">
        <v>5716</v>
      </c>
      <c r="I407" s="2" t="s">
        <v>5717</v>
      </c>
    </row>
    <row r="408">
      <c r="A408" s="2" t="s">
        <v>5718</v>
      </c>
      <c r="B408" s="2"/>
      <c r="C408" s="2"/>
      <c r="D408" s="2"/>
      <c r="E408" s="2" t="s">
        <v>5719</v>
      </c>
      <c r="F408" s="2" t="s">
        <v>5720</v>
      </c>
      <c r="G408" s="2" t="s">
        <v>4484</v>
      </c>
      <c r="H408" s="2" t="s">
        <v>647</v>
      </c>
      <c r="I408" s="2" t="s">
        <v>5721</v>
      </c>
    </row>
    <row r="409">
      <c r="A409" s="2" t="s">
        <v>5722</v>
      </c>
      <c r="B409" s="2"/>
      <c r="C409" s="2"/>
      <c r="D409" s="2"/>
      <c r="E409" s="2" t="s">
        <v>5723</v>
      </c>
      <c r="F409" s="2" t="s">
        <v>5724</v>
      </c>
      <c r="G409" s="2" t="s">
        <v>4531</v>
      </c>
      <c r="H409" s="2" t="s">
        <v>5725</v>
      </c>
      <c r="I409" s="2" t="s">
        <v>5726</v>
      </c>
    </row>
    <row r="410">
      <c r="A410" s="2" t="s">
        <v>5727</v>
      </c>
      <c r="B410" s="2"/>
      <c r="C410" s="2"/>
      <c r="D410" s="2"/>
      <c r="E410" s="2" t="s">
        <v>5728</v>
      </c>
      <c r="F410" s="2" t="s">
        <v>5729</v>
      </c>
      <c r="G410" s="2" t="s">
        <v>4531</v>
      </c>
      <c r="H410" s="2" t="s">
        <v>647</v>
      </c>
      <c r="I410" s="2" t="s">
        <v>5730</v>
      </c>
    </row>
    <row r="411">
      <c r="A411" s="2" t="s">
        <v>5731</v>
      </c>
      <c r="B411" s="2"/>
      <c r="C411" s="2"/>
      <c r="D411" s="2"/>
      <c r="E411" s="2" t="s">
        <v>5732</v>
      </c>
      <c r="F411" s="2" t="s">
        <v>3997</v>
      </c>
      <c r="G411" s="2" t="s">
        <v>3997</v>
      </c>
      <c r="H411" s="2" t="s">
        <v>5733</v>
      </c>
      <c r="I411" s="2" t="s">
        <v>5734</v>
      </c>
    </row>
    <row r="412">
      <c r="A412" s="2" t="s">
        <v>5735</v>
      </c>
      <c r="B412" s="2"/>
      <c r="C412" s="2"/>
      <c r="D412" s="2"/>
      <c r="E412" s="2" t="s">
        <v>5736</v>
      </c>
      <c r="F412" s="2" t="s">
        <v>5737</v>
      </c>
      <c r="G412" s="2" t="s">
        <v>3997</v>
      </c>
      <c r="H412" s="2" t="s">
        <v>647</v>
      </c>
      <c r="I412" s="2" t="s">
        <v>5738</v>
      </c>
    </row>
    <row r="413">
      <c r="A413" s="2" t="s">
        <v>5739</v>
      </c>
      <c r="B413" s="2"/>
      <c r="C413" s="2"/>
      <c r="D413" s="2"/>
      <c r="E413" s="2" t="s">
        <v>5740</v>
      </c>
      <c r="F413" s="2" t="s">
        <v>5741</v>
      </c>
      <c r="G413" s="2" t="s">
        <v>4484</v>
      </c>
      <c r="H413" s="2" t="s">
        <v>5742</v>
      </c>
      <c r="I413" s="2" t="s">
        <v>5743</v>
      </c>
    </row>
    <row r="414">
      <c r="A414" s="2" t="s">
        <v>5744</v>
      </c>
      <c r="B414" s="2"/>
      <c r="C414" s="2"/>
      <c r="D414" s="2"/>
      <c r="E414" s="2" t="s">
        <v>5745</v>
      </c>
      <c r="F414" s="2" t="s">
        <v>5746</v>
      </c>
      <c r="G414" s="2" t="s">
        <v>4531</v>
      </c>
      <c r="H414" s="2" t="s">
        <v>5747</v>
      </c>
      <c r="I414" s="2" t="s">
        <v>5748</v>
      </c>
    </row>
    <row r="415">
      <c r="A415" s="2" t="s">
        <v>5749</v>
      </c>
      <c r="B415" s="2"/>
      <c r="C415" s="2"/>
      <c r="D415" s="2"/>
      <c r="E415" s="2" t="s">
        <v>5750</v>
      </c>
      <c r="F415" s="2" t="s">
        <v>5751</v>
      </c>
      <c r="G415" s="2" t="s">
        <v>3997</v>
      </c>
      <c r="H415" s="2" t="s">
        <v>647</v>
      </c>
      <c r="I415" s="2" t="s">
        <v>5752</v>
      </c>
    </row>
    <row r="416">
      <c r="A416" s="2" t="s">
        <v>5753</v>
      </c>
      <c r="B416" s="2"/>
      <c r="C416" s="2"/>
      <c r="D416" s="2"/>
      <c r="E416" s="2" t="s">
        <v>5754</v>
      </c>
      <c r="F416" s="2" t="s">
        <v>5755</v>
      </c>
      <c r="G416" s="2" t="s">
        <v>3997</v>
      </c>
      <c r="H416" s="2" t="s">
        <v>647</v>
      </c>
      <c r="I416" s="2" t="s">
        <v>5756</v>
      </c>
    </row>
    <row r="417">
      <c r="A417" s="2" t="s">
        <v>5757</v>
      </c>
      <c r="B417" s="2"/>
      <c r="C417" s="2"/>
      <c r="D417" s="2"/>
      <c r="E417" s="2" t="s">
        <v>5758</v>
      </c>
      <c r="F417" s="2" t="s">
        <v>5759</v>
      </c>
      <c r="G417" s="2" t="s">
        <v>3997</v>
      </c>
      <c r="H417" s="2" t="s">
        <v>647</v>
      </c>
      <c r="I417" s="2" t="s">
        <v>5760</v>
      </c>
    </row>
    <row r="418">
      <c r="A418" s="2" t="s">
        <v>5761</v>
      </c>
      <c r="B418" s="2"/>
      <c r="C418" s="2"/>
      <c r="D418" s="2"/>
      <c r="E418" s="2" t="s">
        <v>5762</v>
      </c>
      <c r="F418" s="2" t="s">
        <v>5763</v>
      </c>
      <c r="G418" s="2" t="s">
        <v>4484</v>
      </c>
      <c r="H418" s="2" t="s">
        <v>647</v>
      </c>
      <c r="I418" s="2" t="s">
        <v>5764</v>
      </c>
    </row>
    <row r="419">
      <c r="A419" s="2" t="s">
        <v>5765</v>
      </c>
      <c r="B419" s="2"/>
      <c r="C419" s="2"/>
      <c r="D419" s="2"/>
      <c r="E419" s="2" t="s">
        <v>5766</v>
      </c>
      <c r="F419" s="2" t="s">
        <v>5767</v>
      </c>
      <c r="G419" s="2" t="s">
        <v>3997</v>
      </c>
      <c r="H419" s="2" t="s">
        <v>647</v>
      </c>
      <c r="I419" s="2" t="s">
        <v>5768</v>
      </c>
    </row>
    <row r="420">
      <c r="A420" s="2" t="s">
        <v>5769</v>
      </c>
      <c r="B420" s="2"/>
      <c r="C420" s="2"/>
      <c r="D420" s="2"/>
      <c r="E420" s="2" t="s">
        <v>5770</v>
      </c>
      <c r="F420" s="2" t="s">
        <v>3997</v>
      </c>
      <c r="G420" s="2" t="s">
        <v>4484</v>
      </c>
      <c r="H420" s="2" t="s">
        <v>5771</v>
      </c>
      <c r="I420" s="2" t="s">
        <v>5772</v>
      </c>
    </row>
    <row r="421">
      <c r="A421" s="2" t="s">
        <v>5773</v>
      </c>
      <c r="B421" s="2"/>
      <c r="C421" s="2"/>
      <c r="D421" s="2"/>
      <c r="E421" s="2" t="s">
        <v>5774</v>
      </c>
      <c r="F421" s="2" t="s">
        <v>5775</v>
      </c>
      <c r="G421" s="2" t="s">
        <v>3997</v>
      </c>
      <c r="H421" s="2" t="s">
        <v>647</v>
      </c>
      <c r="I421" s="2" t="s">
        <v>5776</v>
      </c>
    </row>
    <row r="422">
      <c r="A422" s="2" t="s">
        <v>5777</v>
      </c>
      <c r="B422" s="2"/>
      <c r="C422" s="2"/>
      <c r="D422" s="2"/>
      <c r="E422" s="2" t="s">
        <v>5778</v>
      </c>
      <c r="F422" s="2" t="s">
        <v>5779</v>
      </c>
      <c r="G422" s="2" t="s">
        <v>4484</v>
      </c>
      <c r="H422" s="2" t="s">
        <v>5780</v>
      </c>
      <c r="I422" s="2" t="s">
        <v>5781</v>
      </c>
    </row>
    <row r="423">
      <c r="A423" s="2" t="s">
        <v>5782</v>
      </c>
      <c r="B423" s="2"/>
      <c r="C423" s="2"/>
      <c r="D423" s="2"/>
      <c r="E423" s="2" t="s">
        <v>5783</v>
      </c>
      <c r="F423" s="2" t="s">
        <v>5784</v>
      </c>
      <c r="G423" s="2" t="s">
        <v>3997</v>
      </c>
      <c r="H423" s="2" t="s">
        <v>647</v>
      </c>
      <c r="I423" s="2" t="s">
        <v>5785</v>
      </c>
    </row>
    <row r="424">
      <c r="A424" s="2" t="s">
        <v>5786</v>
      </c>
      <c r="B424" s="2"/>
      <c r="C424" s="2"/>
      <c r="D424" s="2"/>
      <c r="E424" s="2" t="s">
        <v>5787</v>
      </c>
      <c r="F424" s="2" t="s">
        <v>5788</v>
      </c>
      <c r="G424" s="2" t="s">
        <v>4484</v>
      </c>
      <c r="H424" s="2" t="s">
        <v>647</v>
      </c>
      <c r="I424" s="2" t="s">
        <v>5789</v>
      </c>
    </row>
    <row r="425">
      <c r="A425" s="2" t="s">
        <v>5790</v>
      </c>
      <c r="B425" s="2"/>
      <c r="C425" s="2"/>
      <c r="D425" s="2"/>
      <c r="E425" s="2" t="s">
        <v>5791</v>
      </c>
      <c r="F425" s="2" t="s">
        <v>3997</v>
      </c>
      <c r="G425" s="2" t="s">
        <v>4484</v>
      </c>
      <c r="H425" s="2" t="s">
        <v>647</v>
      </c>
      <c r="I425" s="2" t="s">
        <v>5792</v>
      </c>
    </row>
    <row r="426">
      <c r="A426" s="2" t="s">
        <v>5793</v>
      </c>
      <c r="B426" s="2"/>
      <c r="C426" s="2"/>
      <c r="D426" s="2"/>
      <c r="E426" s="7" t="s">
        <v>5794</v>
      </c>
      <c r="F426" s="2" t="s">
        <v>5795</v>
      </c>
      <c r="G426" s="2" t="s">
        <v>3997</v>
      </c>
      <c r="H426" s="2" t="s">
        <v>647</v>
      </c>
      <c r="I426" s="2" t="s">
        <v>5796</v>
      </c>
    </row>
    <row r="427">
      <c r="A427" s="2" t="s">
        <v>5797</v>
      </c>
      <c r="B427" s="2"/>
      <c r="C427" s="2"/>
      <c r="D427" s="2"/>
      <c r="E427" s="2" t="s">
        <v>5798</v>
      </c>
      <c r="F427" s="2" t="s">
        <v>5799</v>
      </c>
      <c r="G427" s="2" t="s">
        <v>3997</v>
      </c>
      <c r="H427" s="2" t="s">
        <v>647</v>
      </c>
      <c r="I427" s="2" t="s">
        <v>5800</v>
      </c>
    </row>
    <row r="428">
      <c r="A428" s="2" t="s">
        <v>5801</v>
      </c>
      <c r="B428" s="2"/>
      <c r="C428" s="2"/>
      <c r="D428" s="2"/>
      <c r="E428" s="2" t="s">
        <v>5802</v>
      </c>
      <c r="F428" s="2" t="s">
        <v>5803</v>
      </c>
      <c r="G428" s="2" t="s">
        <v>3957</v>
      </c>
      <c r="H428" s="2" t="s">
        <v>5804</v>
      </c>
      <c r="I428" s="2" t="s">
        <v>5805</v>
      </c>
    </row>
    <row r="429">
      <c r="A429" s="2" t="s">
        <v>5806</v>
      </c>
      <c r="B429" s="2"/>
      <c r="C429" s="2"/>
      <c r="D429" s="2"/>
      <c r="E429" s="2" t="s">
        <v>5807</v>
      </c>
      <c r="F429" s="2" t="s">
        <v>5808</v>
      </c>
      <c r="G429" s="2" t="s">
        <v>4497</v>
      </c>
      <c r="H429" s="2" t="s">
        <v>647</v>
      </c>
      <c r="I429" s="2" t="s">
        <v>5809</v>
      </c>
    </row>
    <row r="430">
      <c r="A430" s="2" t="s">
        <v>5810</v>
      </c>
      <c r="B430" s="2"/>
      <c r="C430" s="2"/>
      <c r="D430" s="2"/>
      <c r="E430" s="2" t="s">
        <v>5811</v>
      </c>
      <c r="F430" s="2" t="s">
        <v>5812</v>
      </c>
      <c r="G430" s="2" t="s">
        <v>4484</v>
      </c>
      <c r="H430" s="2" t="s">
        <v>5813</v>
      </c>
      <c r="I430" s="2" t="s">
        <v>5814</v>
      </c>
    </row>
    <row r="431">
      <c r="A431" s="2" t="s">
        <v>5815</v>
      </c>
      <c r="B431" s="2"/>
      <c r="C431" s="2"/>
      <c r="D431" s="2"/>
      <c r="E431" s="2" t="s">
        <v>5816</v>
      </c>
      <c r="F431" s="2" t="s">
        <v>5817</v>
      </c>
      <c r="G431" s="2" t="s">
        <v>3997</v>
      </c>
      <c r="H431" s="2" t="s">
        <v>647</v>
      </c>
      <c r="I431" s="2" t="s">
        <v>5818</v>
      </c>
    </row>
    <row r="432">
      <c r="A432" s="2" t="s">
        <v>5819</v>
      </c>
      <c r="B432" s="2"/>
      <c r="C432" s="2"/>
      <c r="D432" s="2"/>
      <c r="E432" s="2" t="s">
        <v>2074</v>
      </c>
      <c r="F432" s="2" t="s">
        <v>5820</v>
      </c>
      <c r="G432" s="2" t="s">
        <v>3997</v>
      </c>
      <c r="H432" s="2" t="s">
        <v>5821</v>
      </c>
      <c r="I432" s="2" t="s">
        <v>5822</v>
      </c>
    </row>
    <row r="433">
      <c r="A433" s="2" t="s">
        <v>5823</v>
      </c>
      <c r="B433" s="2"/>
      <c r="C433" s="2"/>
      <c r="D433" s="2"/>
      <c r="E433" s="2" t="s">
        <v>5824</v>
      </c>
      <c r="F433" s="2" t="s">
        <v>5825</v>
      </c>
      <c r="G433" s="2" t="s">
        <v>4497</v>
      </c>
      <c r="H433" s="2" t="s">
        <v>647</v>
      </c>
      <c r="I433" s="2" t="s">
        <v>5826</v>
      </c>
    </row>
    <row r="434">
      <c r="A434" s="2" t="s">
        <v>5827</v>
      </c>
      <c r="B434" s="2"/>
      <c r="C434" s="2"/>
      <c r="D434" s="2"/>
      <c r="E434" s="2" t="s">
        <v>5828</v>
      </c>
      <c r="F434" s="2" t="s">
        <v>5829</v>
      </c>
      <c r="G434" s="2" t="s">
        <v>4484</v>
      </c>
      <c r="H434" s="2" t="s">
        <v>5830</v>
      </c>
      <c r="I434" s="2" t="s">
        <v>5831</v>
      </c>
    </row>
    <row r="435">
      <c r="A435" s="2" t="s">
        <v>5832</v>
      </c>
      <c r="B435" s="2"/>
      <c r="C435" s="2"/>
      <c r="D435" s="2"/>
      <c r="E435" s="2" t="s">
        <v>5833</v>
      </c>
      <c r="F435" s="2" t="s">
        <v>5834</v>
      </c>
      <c r="G435" s="2" t="s">
        <v>4484</v>
      </c>
      <c r="H435" s="2" t="s">
        <v>647</v>
      </c>
      <c r="I435" s="2" t="s">
        <v>5835</v>
      </c>
    </row>
    <row r="436">
      <c r="A436" s="2" t="s">
        <v>5836</v>
      </c>
      <c r="B436" s="2"/>
      <c r="C436" s="2"/>
      <c r="D436" s="2"/>
      <c r="E436" s="2" t="s">
        <v>5837</v>
      </c>
      <c r="F436" s="2" t="s">
        <v>5838</v>
      </c>
      <c r="G436" s="2" t="s">
        <v>4497</v>
      </c>
      <c r="H436" s="2" t="s">
        <v>647</v>
      </c>
      <c r="I436" s="2" t="s">
        <v>5839</v>
      </c>
    </row>
    <row r="437">
      <c r="A437" s="2" t="s">
        <v>5840</v>
      </c>
      <c r="B437" s="2"/>
      <c r="C437" s="2"/>
      <c r="D437" s="2"/>
      <c r="E437" s="2" t="s">
        <v>5841</v>
      </c>
      <c r="F437" s="2" t="s">
        <v>5842</v>
      </c>
      <c r="G437" s="2" t="s">
        <v>4484</v>
      </c>
      <c r="H437" s="2" t="s">
        <v>5843</v>
      </c>
      <c r="I437" s="2" t="s">
        <v>5844</v>
      </c>
    </row>
    <row r="438">
      <c r="A438" s="2" t="s">
        <v>5845</v>
      </c>
      <c r="B438" s="2"/>
      <c r="C438" s="2"/>
      <c r="D438" s="2"/>
      <c r="E438" s="2" t="s">
        <v>5846</v>
      </c>
      <c r="F438" s="2" t="s">
        <v>5847</v>
      </c>
      <c r="G438" s="2" t="s">
        <v>4497</v>
      </c>
      <c r="H438" s="2" t="s">
        <v>647</v>
      </c>
      <c r="I438" s="2" t="s">
        <v>5848</v>
      </c>
    </row>
    <row r="439">
      <c r="A439" s="2" t="s">
        <v>5849</v>
      </c>
      <c r="B439" s="2"/>
      <c r="C439" s="2"/>
      <c r="D439" s="2"/>
      <c r="E439" s="2" t="s">
        <v>5850</v>
      </c>
      <c r="F439" s="2" t="s">
        <v>5851</v>
      </c>
      <c r="G439" s="2" t="s">
        <v>3997</v>
      </c>
      <c r="H439" s="2" t="s">
        <v>647</v>
      </c>
      <c r="I439" s="2" t="s">
        <v>5852</v>
      </c>
    </row>
    <row r="440">
      <c r="A440" s="2" t="s">
        <v>5853</v>
      </c>
      <c r="B440" s="2"/>
      <c r="C440" s="2"/>
      <c r="D440" s="2"/>
      <c r="E440" s="2" t="s">
        <v>5854</v>
      </c>
      <c r="F440" s="2" t="s">
        <v>5855</v>
      </c>
      <c r="G440" s="2" t="s">
        <v>3997</v>
      </c>
      <c r="H440" s="2" t="s">
        <v>5856</v>
      </c>
      <c r="I440" s="2" t="s">
        <v>5857</v>
      </c>
    </row>
    <row r="441">
      <c r="A441" s="2" t="s">
        <v>5858</v>
      </c>
      <c r="B441" s="2"/>
      <c r="C441" s="2"/>
      <c r="D441" s="2"/>
      <c r="E441" s="2" t="s">
        <v>5859</v>
      </c>
      <c r="F441" s="2" t="s">
        <v>5860</v>
      </c>
      <c r="G441" s="2" t="s">
        <v>4484</v>
      </c>
      <c r="H441" s="2" t="s">
        <v>647</v>
      </c>
      <c r="I441" s="2" t="s">
        <v>5861</v>
      </c>
    </row>
    <row r="442">
      <c r="A442" s="2" t="s">
        <v>5862</v>
      </c>
      <c r="B442" s="2"/>
      <c r="C442" s="2"/>
      <c r="D442" s="2"/>
      <c r="E442" s="2" t="s">
        <v>5863</v>
      </c>
      <c r="F442" s="2" t="s">
        <v>5864</v>
      </c>
      <c r="G442" s="2" t="s">
        <v>3997</v>
      </c>
      <c r="H442" s="2" t="s">
        <v>647</v>
      </c>
      <c r="I442" s="2" t="s">
        <v>5865</v>
      </c>
    </row>
    <row r="443">
      <c r="A443" s="2" t="s">
        <v>5866</v>
      </c>
      <c r="B443" s="2"/>
      <c r="C443" s="2"/>
      <c r="D443" s="2"/>
      <c r="E443" s="2" t="s">
        <v>5867</v>
      </c>
      <c r="F443" s="2" t="s">
        <v>5868</v>
      </c>
      <c r="G443" s="2" t="s">
        <v>4497</v>
      </c>
      <c r="H443" s="2" t="s">
        <v>647</v>
      </c>
      <c r="I443" s="7" t="s">
        <v>5869</v>
      </c>
    </row>
    <row r="444">
      <c r="A444" s="2" t="s">
        <v>5870</v>
      </c>
      <c r="B444" s="2"/>
      <c r="C444" s="2"/>
      <c r="D444" s="2"/>
      <c r="E444" s="2" t="s">
        <v>5871</v>
      </c>
      <c r="F444" s="2" t="s">
        <v>5872</v>
      </c>
      <c r="G444" s="2" t="s">
        <v>3997</v>
      </c>
      <c r="H444" s="2" t="s">
        <v>647</v>
      </c>
      <c r="I444" s="2" t="s">
        <v>5873</v>
      </c>
    </row>
    <row r="445">
      <c r="A445" s="2" t="s">
        <v>5874</v>
      </c>
      <c r="B445" s="2"/>
      <c r="C445" s="2"/>
      <c r="D445" s="2"/>
      <c r="E445" s="2" t="s">
        <v>5875</v>
      </c>
      <c r="F445" s="2" t="s">
        <v>5876</v>
      </c>
      <c r="G445" s="2" t="s">
        <v>4484</v>
      </c>
      <c r="H445" s="2" t="s">
        <v>647</v>
      </c>
      <c r="I445" s="2" t="s">
        <v>5877</v>
      </c>
    </row>
    <row r="446">
      <c r="A446" s="2" t="s">
        <v>5878</v>
      </c>
      <c r="B446" s="2"/>
      <c r="C446" s="2"/>
      <c r="D446" s="2"/>
      <c r="E446" s="2" t="s">
        <v>5879</v>
      </c>
      <c r="F446" s="2" t="s">
        <v>5880</v>
      </c>
      <c r="G446" s="2" t="s">
        <v>3997</v>
      </c>
      <c r="H446" s="2" t="s">
        <v>647</v>
      </c>
      <c r="I446" s="2" t="s">
        <v>5881</v>
      </c>
    </row>
    <row r="447">
      <c r="A447" s="2" t="s">
        <v>5882</v>
      </c>
      <c r="B447" s="2"/>
      <c r="C447" s="2"/>
      <c r="D447" s="2"/>
      <c r="E447" s="2" t="s">
        <v>5883</v>
      </c>
      <c r="F447" s="2" t="s">
        <v>5884</v>
      </c>
      <c r="G447" s="2" t="s">
        <v>4531</v>
      </c>
      <c r="H447" s="2" t="s">
        <v>5885</v>
      </c>
      <c r="I447" s="2" t="s">
        <v>5886</v>
      </c>
    </row>
    <row r="448">
      <c r="A448" s="2" t="s">
        <v>5887</v>
      </c>
      <c r="B448" s="2"/>
      <c r="C448" s="2"/>
      <c r="D448" s="2"/>
      <c r="E448" s="2" t="s">
        <v>5888</v>
      </c>
      <c r="F448" s="2" t="s">
        <v>5889</v>
      </c>
      <c r="G448" s="2" t="s">
        <v>4484</v>
      </c>
      <c r="H448" s="2" t="s">
        <v>647</v>
      </c>
      <c r="I448" s="2" t="s">
        <v>5890</v>
      </c>
    </row>
    <row r="449">
      <c r="A449" s="2" t="s">
        <v>5891</v>
      </c>
      <c r="B449" s="2"/>
      <c r="C449" s="2"/>
      <c r="D449" s="2"/>
      <c r="E449" s="2" t="s">
        <v>5892</v>
      </c>
      <c r="F449" s="2" t="s">
        <v>5893</v>
      </c>
      <c r="G449" s="2" t="s">
        <v>3997</v>
      </c>
      <c r="H449" s="2" t="s">
        <v>647</v>
      </c>
      <c r="I449" s="2" t="s">
        <v>5894</v>
      </c>
    </row>
    <row r="450">
      <c r="A450" s="2" t="s">
        <v>5895</v>
      </c>
      <c r="B450" s="2"/>
      <c r="C450" s="2"/>
      <c r="D450" s="2"/>
      <c r="E450" s="2" t="s">
        <v>5896</v>
      </c>
      <c r="F450" s="2" t="s">
        <v>5897</v>
      </c>
      <c r="G450" s="2" t="s">
        <v>4484</v>
      </c>
      <c r="H450" s="2" t="s">
        <v>5898</v>
      </c>
      <c r="I450" s="2" t="s">
        <v>5899</v>
      </c>
    </row>
    <row r="451">
      <c r="A451" s="2" t="s">
        <v>5900</v>
      </c>
      <c r="B451" s="2"/>
      <c r="C451" s="2"/>
      <c r="D451" s="2"/>
      <c r="E451" s="2" t="s">
        <v>5901</v>
      </c>
      <c r="F451" s="2" t="s">
        <v>5902</v>
      </c>
      <c r="G451" s="2" t="s">
        <v>4484</v>
      </c>
      <c r="H451" s="2" t="s">
        <v>5903</v>
      </c>
      <c r="I451" s="2" t="s">
        <v>5904</v>
      </c>
    </row>
    <row r="452">
      <c r="A452" s="2" t="s">
        <v>5905</v>
      </c>
      <c r="B452" s="2"/>
      <c r="C452" s="2"/>
      <c r="D452" s="2"/>
      <c r="E452" s="2" t="s">
        <v>5906</v>
      </c>
      <c r="F452" s="2" t="s">
        <v>5907</v>
      </c>
      <c r="G452" s="2" t="s">
        <v>4531</v>
      </c>
      <c r="H452" s="2" t="s">
        <v>5908</v>
      </c>
      <c r="I452" s="2" t="s">
        <v>5909</v>
      </c>
    </row>
    <row r="453">
      <c r="A453" s="2" t="s">
        <v>5910</v>
      </c>
      <c r="B453" s="2"/>
      <c r="C453" s="2"/>
      <c r="D453" s="2"/>
      <c r="E453" s="2" t="s">
        <v>5911</v>
      </c>
      <c r="F453" s="2" t="s">
        <v>5912</v>
      </c>
      <c r="G453" s="2" t="s">
        <v>3957</v>
      </c>
      <c r="H453" s="2" t="s">
        <v>647</v>
      </c>
      <c r="I453" s="2" t="s">
        <v>5913</v>
      </c>
    </row>
    <row r="454">
      <c r="A454" s="2" t="s">
        <v>5914</v>
      </c>
      <c r="B454" s="2"/>
      <c r="C454" s="2"/>
      <c r="D454" s="2"/>
      <c r="E454" s="2" t="s">
        <v>5915</v>
      </c>
      <c r="F454" s="2" t="s">
        <v>5916</v>
      </c>
      <c r="G454" s="2" t="s">
        <v>4484</v>
      </c>
      <c r="H454" s="2" t="s">
        <v>5917</v>
      </c>
      <c r="I454" s="2" t="s">
        <v>5918</v>
      </c>
    </row>
    <row r="455">
      <c r="A455" s="2" t="s">
        <v>5919</v>
      </c>
      <c r="B455" s="2"/>
      <c r="C455" s="2"/>
      <c r="D455" s="2"/>
      <c r="E455" s="2" t="s">
        <v>5920</v>
      </c>
      <c r="F455" s="2" t="s">
        <v>5921</v>
      </c>
      <c r="G455" s="2" t="s">
        <v>4497</v>
      </c>
      <c r="H455" s="2" t="s">
        <v>5922</v>
      </c>
      <c r="I455" s="2" t="s">
        <v>5923</v>
      </c>
    </row>
    <row r="456">
      <c r="A456" s="2" t="s">
        <v>5924</v>
      </c>
      <c r="B456" s="2"/>
      <c r="C456" s="2"/>
      <c r="D456" s="2"/>
      <c r="E456" s="2" t="s">
        <v>5925</v>
      </c>
      <c r="F456" s="2" t="s">
        <v>5926</v>
      </c>
      <c r="G456" s="2" t="s">
        <v>4497</v>
      </c>
      <c r="H456" s="2" t="s">
        <v>647</v>
      </c>
      <c r="I456" s="2" t="s">
        <v>5927</v>
      </c>
    </row>
    <row r="457">
      <c r="A457" s="2" t="s">
        <v>5928</v>
      </c>
      <c r="B457" s="2"/>
      <c r="C457" s="2"/>
      <c r="D457" s="2"/>
      <c r="E457" s="2" t="s">
        <v>5929</v>
      </c>
      <c r="F457" s="2" t="s">
        <v>5930</v>
      </c>
      <c r="G457" s="2" t="s">
        <v>4484</v>
      </c>
      <c r="H457" s="2" t="s">
        <v>5931</v>
      </c>
      <c r="I457" s="2" t="s">
        <v>5932</v>
      </c>
    </row>
    <row r="458">
      <c r="A458" s="2" t="s">
        <v>5933</v>
      </c>
      <c r="B458" s="2"/>
      <c r="C458" s="2"/>
      <c r="D458" s="2"/>
      <c r="E458" s="2" t="s">
        <v>5934</v>
      </c>
      <c r="F458" s="2" t="s">
        <v>5935</v>
      </c>
      <c r="G458" s="2" t="s">
        <v>3997</v>
      </c>
      <c r="H458" s="2" t="s">
        <v>5936</v>
      </c>
      <c r="I458" s="2" t="s">
        <v>5937</v>
      </c>
    </row>
    <row r="459">
      <c r="A459" s="2" t="s">
        <v>5938</v>
      </c>
      <c r="B459" s="2"/>
      <c r="C459" s="2"/>
      <c r="D459" s="2"/>
      <c r="E459" s="2" t="s">
        <v>5939</v>
      </c>
      <c r="F459" s="2" t="s">
        <v>5940</v>
      </c>
      <c r="G459" s="2" t="s">
        <v>4484</v>
      </c>
      <c r="H459" s="2" t="s">
        <v>647</v>
      </c>
      <c r="I459" s="2" t="s">
        <v>5941</v>
      </c>
    </row>
    <row r="460">
      <c r="A460" s="2" t="s">
        <v>5942</v>
      </c>
      <c r="B460" s="2"/>
      <c r="C460" s="2"/>
      <c r="D460" s="2"/>
      <c r="E460" s="2" t="s">
        <v>5943</v>
      </c>
      <c r="F460" s="2" t="s">
        <v>5944</v>
      </c>
      <c r="G460" s="2" t="s">
        <v>4484</v>
      </c>
      <c r="H460" s="2" t="s">
        <v>647</v>
      </c>
      <c r="I460" s="2" t="s">
        <v>5945</v>
      </c>
    </row>
    <row r="461">
      <c r="A461" s="2" t="s">
        <v>5946</v>
      </c>
      <c r="B461" s="2"/>
      <c r="C461" s="2"/>
      <c r="D461" s="2"/>
      <c r="E461" s="2" t="s">
        <v>5947</v>
      </c>
      <c r="F461" s="2" t="s">
        <v>5948</v>
      </c>
      <c r="G461" s="2" t="s">
        <v>3997</v>
      </c>
      <c r="H461" s="2" t="s">
        <v>647</v>
      </c>
      <c r="I461" s="2" t="s">
        <v>5949</v>
      </c>
    </row>
    <row r="462">
      <c r="A462" s="2" t="s">
        <v>5950</v>
      </c>
      <c r="B462" s="2"/>
      <c r="C462" s="2"/>
      <c r="D462" s="2"/>
      <c r="E462" s="2" t="s">
        <v>5951</v>
      </c>
      <c r="F462" s="2" t="s">
        <v>3997</v>
      </c>
      <c r="G462" s="2" t="s">
        <v>3997</v>
      </c>
      <c r="H462" s="2" t="s">
        <v>647</v>
      </c>
      <c r="I462" s="2" t="s">
        <v>5952</v>
      </c>
    </row>
    <row r="463">
      <c r="A463" s="2" t="s">
        <v>5953</v>
      </c>
      <c r="B463" s="2"/>
      <c r="C463" s="2"/>
      <c r="D463" s="2"/>
      <c r="E463" s="2" t="s">
        <v>5954</v>
      </c>
      <c r="F463" s="2" t="s">
        <v>5955</v>
      </c>
      <c r="G463" s="2" t="s">
        <v>4497</v>
      </c>
      <c r="H463" s="2" t="s">
        <v>5956</v>
      </c>
      <c r="I463" s="2" t="s">
        <v>5957</v>
      </c>
    </row>
    <row r="464">
      <c r="A464" s="2" t="s">
        <v>5958</v>
      </c>
      <c r="B464" s="2"/>
      <c r="C464" s="2"/>
      <c r="D464" s="2"/>
      <c r="E464" s="2" t="s">
        <v>5959</v>
      </c>
      <c r="F464" s="2" t="s">
        <v>5960</v>
      </c>
      <c r="G464" s="2" t="s">
        <v>4484</v>
      </c>
      <c r="H464" s="2" t="s">
        <v>647</v>
      </c>
      <c r="I464" s="2" t="s">
        <v>5961</v>
      </c>
    </row>
    <row r="465">
      <c r="A465" s="2" t="s">
        <v>5962</v>
      </c>
      <c r="B465" s="2"/>
      <c r="C465" s="2"/>
      <c r="D465" s="2"/>
      <c r="E465" s="2" t="s">
        <v>5963</v>
      </c>
      <c r="F465" s="2" t="s">
        <v>5964</v>
      </c>
      <c r="G465" s="2" t="s">
        <v>4484</v>
      </c>
      <c r="H465" s="2" t="s">
        <v>5965</v>
      </c>
      <c r="I465" s="2" t="s">
        <v>5966</v>
      </c>
    </row>
    <row r="466">
      <c r="A466" s="2" t="s">
        <v>5967</v>
      </c>
      <c r="B466" s="2"/>
      <c r="C466" s="2"/>
      <c r="D466" s="2"/>
      <c r="E466" s="2" t="s">
        <v>5968</v>
      </c>
      <c r="F466" s="2" t="s">
        <v>5969</v>
      </c>
      <c r="G466" s="2" t="s">
        <v>4484</v>
      </c>
      <c r="H466" s="2" t="s">
        <v>5970</v>
      </c>
      <c r="I466" s="2" t="s">
        <v>5971</v>
      </c>
    </row>
    <row r="467">
      <c r="A467" s="2" t="s">
        <v>5972</v>
      </c>
      <c r="B467" s="2"/>
      <c r="C467" s="2"/>
      <c r="D467" s="2"/>
      <c r="E467" s="2" t="s">
        <v>5973</v>
      </c>
      <c r="F467" s="2" t="s">
        <v>5974</v>
      </c>
      <c r="G467" s="2" t="s">
        <v>4497</v>
      </c>
      <c r="H467" s="2" t="s">
        <v>647</v>
      </c>
      <c r="I467" s="7" t="s">
        <v>5975</v>
      </c>
    </row>
    <row r="468">
      <c r="A468" s="2" t="s">
        <v>5976</v>
      </c>
      <c r="B468" s="2"/>
      <c r="C468" s="2"/>
      <c r="D468" s="2"/>
      <c r="E468" s="2" t="s">
        <v>5977</v>
      </c>
      <c r="F468" s="2" t="s">
        <v>3997</v>
      </c>
      <c r="G468" s="2" t="s">
        <v>3997</v>
      </c>
      <c r="H468" s="2" t="s">
        <v>647</v>
      </c>
      <c r="I468" s="2" t="s">
        <v>5978</v>
      </c>
    </row>
    <row r="469">
      <c r="A469" s="2" t="s">
        <v>5979</v>
      </c>
      <c r="B469" s="2"/>
      <c r="C469" s="2"/>
      <c r="D469" s="2"/>
      <c r="E469" s="2" t="s">
        <v>5980</v>
      </c>
      <c r="F469" s="2" t="s">
        <v>5981</v>
      </c>
      <c r="G469" s="2" t="s">
        <v>4484</v>
      </c>
      <c r="H469" s="2" t="s">
        <v>5982</v>
      </c>
      <c r="I469" s="2" t="s">
        <v>5983</v>
      </c>
    </row>
    <row r="470">
      <c r="A470" s="2" t="s">
        <v>5984</v>
      </c>
      <c r="B470" s="2"/>
      <c r="C470" s="2"/>
      <c r="D470" s="2"/>
      <c r="E470" s="2" t="s">
        <v>5985</v>
      </c>
      <c r="F470" s="2" t="s">
        <v>3997</v>
      </c>
      <c r="G470" s="2" t="s">
        <v>3997</v>
      </c>
      <c r="H470" s="2" t="s">
        <v>647</v>
      </c>
      <c r="I470" s="7" t="s">
        <v>5986</v>
      </c>
    </row>
    <row r="471">
      <c r="A471" s="2" t="s">
        <v>5987</v>
      </c>
      <c r="B471" s="2"/>
      <c r="C471" s="2"/>
      <c r="D471" s="2"/>
      <c r="E471" s="2" t="s">
        <v>5988</v>
      </c>
      <c r="F471" s="2" t="s">
        <v>5989</v>
      </c>
      <c r="G471" s="2" t="s">
        <v>4484</v>
      </c>
      <c r="H471" s="2" t="s">
        <v>647</v>
      </c>
      <c r="I471" s="2" t="s">
        <v>5990</v>
      </c>
    </row>
    <row r="472">
      <c r="A472" s="2" t="s">
        <v>5991</v>
      </c>
      <c r="B472" s="2"/>
      <c r="C472" s="2"/>
      <c r="D472" s="2"/>
      <c r="E472" s="2" t="s">
        <v>5992</v>
      </c>
      <c r="F472" s="2" t="s">
        <v>5993</v>
      </c>
      <c r="G472" s="2" t="s">
        <v>4484</v>
      </c>
      <c r="H472" s="2" t="s">
        <v>5994</v>
      </c>
      <c r="I472" s="2" t="s">
        <v>5995</v>
      </c>
    </row>
    <row r="473">
      <c r="A473" s="2" t="s">
        <v>5996</v>
      </c>
      <c r="B473" s="2"/>
      <c r="C473" s="2"/>
      <c r="D473" s="2"/>
      <c r="E473" s="2" t="s">
        <v>5997</v>
      </c>
      <c r="F473" s="2" t="s">
        <v>5998</v>
      </c>
      <c r="G473" s="2" t="s">
        <v>4484</v>
      </c>
      <c r="H473" s="2" t="s">
        <v>5999</v>
      </c>
      <c r="I473" s="2" t="s">
        <v>6000</v>
      </c>
    </row>
    <row r="474">
      <c r="A474" s="2" t="s">
        <v>6001</v>
      </c>
      <c r="B474" s="2"/>
      <c r="C474" s="2"/>
      <c r="D474" s="2"/>
      <c r="E474" s="2" t="s">
        <v>6002</v>
      </c>
      <c r="F474" s="2" t="s">
        <v>6003</v>
      </c>
      <c r="G474" s="2" t="s">
        <v>3997</v>
      </c>
      <c r="H474" s="2" t="s">
        <v>647</v>
      </c>
      <c r="I474" s="2" t="s">
        <v>6004</v>
      </c>
    </row>
    <row r="475">
      <c r="A475" s="2" t="s">
        <v>6005</v>
      </c>
      <c r="B475" s="2"/>
      <c r="C475" s="2"/>
      <c r="D475" s="2"/>
      <c r="E475" s="2" t="s">
        <v>6006</v>
      </c>
      <c r="F475" s="2" t="s">
        <v>6007</v>
      </c>
      <c r="G475" s="2" t="s">
        <v>4484</v>
      </c>
      <c r="H475" s="2" t="s">
        <v>647</v>
      </c>
      <c r="I475" s="2" t="s">
        <v>6008</v>
      </c>
    </row>
    <row r="476">
      <c r="A476" s="2" t="s">
        <v>6009</v>
      </c>
      <c r="B476" s="2"/>
      <c r="C476" s="2"/>
      <c r="D476" s="2"/>
      <c r="E476" s="2" t="s">
        <v>6010</v>
      </c>
      <c r="F476" s="2" t="s">
        <v>6011</v>
      </c>
      <c r="G476" s="2" t="s">
        <v>4484</v>
      </c>
      <c r="H476" s="2" t="s">
        <v>647</v>
      </c>
      <c r="I476" s="2" t="s">
        <v>6012</v>
      </c>
    </row>
    <row r="477">
      <c r="A477" s="2" t="s">
        <v>6013</v>
      </c>
      <c r="B477" s="2"/>
      <c r="C477" s="2"/>
      <c r="D477" s="2"/>
      <c r="E477" s="2" t="s">
        <v>6014</v>
      </c>
      <c r="F477" s="2" t="s">
        <v>6015</v>
      </c>
      <c r="G477" s="2" t="s">
        <v>4484</v>
      </c>
      <c r="H477" s="2" t="s">
        <v>6016</v>
      </c>
      <c r="I477" s="2" t="s">
        <v>6017</v>
      </c>
    </row>
    <row r="478">
      <c r="A478" s="2" t="s">
        <v>6018</v>
      </c>
      <c r="B478" s="2"/>
      <c r="C478" s="2"/>
      <c r="D478" s="2"/>
      <c r="E478" s="2" t="s">
        <v>6019</v>
      </c>
      <c r="F478" s="2" t="s">
        <v>6020</v>
      </c>
      <c r="G478" s="2" t="s">
        <v>3997</v>
      </c>
      <c r="H478" s="2" t="s">
        <v>647</v>
      </c>
      <c r="I478" s="2" t="s">
        <v>6021</v>
      </c>
    </row>
    <row r="479">
      <c r="A479" s="2" t="s">
        <v>6022</v>
      </c>
      <c r="B479" s="2"/>
      <c r="C479" s="2"/>
      <c r="D479" s="2"/>
      <c r="E479" s="2" t="s">
        <v>6023</v>
      </c>
      <c r="F479" s="2" t="s">
        <v>6024</v>
      </c>
      <c r="G479" s="2" t="s">
        <v>4484</v>
      </c>
      <c r="H479" s="2" t="s">
        <v>647</v>
      </c>
      <c r="I479" s="2" t="s">
        <v>6025</v>
      </c>
    </row>
    <row r="480">
      <c r="A480" s="2" t="s">
        <v>6026</v>
      </c>
      <c r="B480" s="2"/>
      <c r="C480" s="2"/>
      <c r="D480" s="2"/>
      <c r="E480" s="2" t="s">
        <v>6027</v>
      </c>
      <c r="F480" s="2" t="s">
        <v>6028</v>
      </c>
      <c r="G480" s="2" t="s">
        <v>3997</v>
      </c>
      <c r="H480" s="2" t="s">
        <v>647</v>
      </c>
      <c r="I480" s="2" t="s">
        <v>6029</v>
      </c>
    </row>
    <row r="481">
      <c r="A481" s="2" t="s">
        <v>6030</v>
      </c>
      <c r="B481" s="2"/>
      <c r="C481" s="2"/>
      <c r="D481" s="2"/>
      <c r="E481" s="2" t="s">
        <v>6031</v>
      </c>
      <c r="F481" s="2" t="s">
        <v>6032</v>
      </c>
      <c r="G481" s="2" t="s">
        <v>3997</v>
      </c>
      <c r="H481" s="2" t="s">
        <v>6033</v>
      </c>
      <c r="I481" s="2" t="s">
        <v>6034</v>
      </c>
    </row>
    <row r="482">
      <c r="A482" s="2" t="s">
        <v>6035</v>
      </c>
      <c r="B482" s="2"/>
      <c r="C482" s="2"/>
      <c r="D482" s="2"/>
      <c r="E482" s="2" t="s">
        <v>6036</v>
      </c>
      <c r="F482" s="2" t="s">
        <v>6037</v>
      </c>
      <c r="G482" s="2" t="s">
        <v>3997</v>
      </c>
      <c r="H482" s="2" t="s">
        <v>6038</v>
      </c>
      <c r="I482" s="2" t="s">
        <v>6039</v>
      </c>
    </row>
    <row r="483">
      <c r="A483" s="2" t="s">
        <v>6040</v>
      </c>
      <c r="B483" s="2"/>
      <c r="C483" s="2"/>
      <c r="D483" s="2"/>
      <c r="E483" s="2" t="s">
        <v>6041</v>
      </c>
      <c r="F483" s="2" t="s">
        <v>6042</v>
      </c>
      <c r="G483" s="2" t="s">
        <v>4484</v>
      </c>
      <c r="H483" s="2" t="s">
        <v>6043</v>
      </c>
      <c r="I483" s="2" t="s">
        <v>6044</v>
      </c>
    </row>
    <row r="484">
      <c r="A484" s="2" t="s">
        <v>6045</v>
      </c>
      <c r="B484" s="2"/>
      <c r="C484" s="2"/>
      <c r="D484" s="2"/>
      <c r="E484" s="2" t="s">
        <v>6046</v>
      </c>
      <c r="F484" s="2" t="s">
        <v>6047</v>
      </c>
      <c r="G484" s="2" t="s">
        <v>4531</v>
      </c>
      <c r="H484" s="2" t="s">
        <v>6048</v>
      </c>
      <c r="I484" s="2" t="s">
        <v>6049</v>
      </c>
    </row>
    <row r="485">
      <c r="A485" s="2" t="s">
        <v>6050</v>
      </c>
      <c r="B485" s="2"/>
      <c r="C485" s="2"/>
      <c r="D485" s="2"/>
      <c r="E485" s="2" t="s">
        <v>6051</v>
      </c>
      <c r="F485" s="2" t="s">
        <v>6052</v>
      </c>
      <c r="G485" s="2" t="s">
        <v>3997</v>
      </c>
      <c r="H485" s="2" t="s">
        <v>647</v>
      </c>
      <c r="I485" s="2" t="s">
        <v>6053</v>
      </c>
    </row>
    <row r="486">
      <c r="A486" s="2" t="s">
        <v>6054</v>
      </c>
      <c r="B486" s="2"/>
      <c r="C486" s="2"/>
      <c r="D486" s="2"/>
      <c r="E486" s="2" t="s">
        <v>6055</v>
      </c>
      <c r="F486" s="2" t="s">
        <v>6056</v>
      </c>
      <c r="G486" s="2" t="s">
        <v>4484</v>
      </c>
      <c r="H486" s="2" t="s">
        <v>647</v>
      </c>
      <c r="I486" s="2" t="s">
        <v>6057</v>
      </c>
    </row>
    <row r="487">
      <c r="A487" s="2" t="s">
        <v>6058</v>
      </c>
      <c r="B487" s="2"/>
      <c r="C487" s="2"/>
      <c r="D487" s="2"/>
      <c r="E487" s="2" t="s">
        <v>6059</v>
      </c>
      <c r="F487" s="2" t="s">
        <v>6060</v>
      </c>
      <c r="G487" s="2" t="s">
        <v>3997</v>
      </c>
      <c r="H487" s="2" t="s">
        <v>647</v>
      </c>
      <c r="I487" s="2" t="s">
        <v>6061</v>
      </c>
    </row>
    <row r="488">
      <c r="A488" s="2" t="s">
        <v>6062</v>
      </c>
      <c r="B488" s="2"/>
      <c r="C488" s="2"/>
      <c r="D488" s="2"/>
      <c r="E488" s="2" t="s">
        <v>6063</v>
      </c>
      <c r="F488" s="2" t="s">
        <v>6064</v>
      </c>
      <c r="G488" s="2" t="s">
        <v>3997</v>
      </c>
      <c r="H488" s="2" t="s">
        <v>647</v>
      </c>
      <c r="I488" s="2" t="s">
        <v>6065</v>
      </c>
    </row>
    <row r="489">
      <c r="A489" s="2" t="s">
        <v>6066</v>
      </c>
      <c r="B489" s="2"/>
      <c r="C489" s="2"/>
      <c r="D489" s="2"/>
      <c r="E489" s="2" t="s">
        <v>6067</v>
      </c>
      <c r="F489" s="2" t="s">
        <v>6068</v>
      </c>
      <c r="G489" s="2" t="s">
        <v>4484</v>
      </c>
      <c r="H489" s="2" t="s">
        <v>6069</v>
      </c>
      <c r="I489" s="2" t="s">
        <v>6070</v>
      </c>
    </row>
    <row r="490">
      <c r="A490" s="2" t="s">
        <v>6071</v>
      </c>
      <c r="B490" s="2"/>
      <c r="C490" s="2"/>
      <c r="D490" s="2"/>
      <c r="E490" s="2" t="s">
        <v>6072</v>
      </c>
      <c r="F490" s="2" t="s">
        <v>6073</v>
      </c>
      <c r="G490" s="2" t="s">
        <v>4484</v>
      </c>
      <c r="H490" s="2" t="s">
        <v>6074</v>
      </c>
      <c r="I490" s="2" t="s">
        <v>6075</v>
      </c>
    </row>
    <row r="491">
      <c r="A491" s="2" t="s">
        <v>6076</v>
      </c>
      <c r="B491" s="2"/>
      <c r="C491" s="2"/>
      <c r="D491" s="2"/>
      <c r="E491" s="2" t="s">
        <v>6077</v>
      </c>
      <c r="F491" s="2" t="s">
        <v>6078</v>
      </c>
      <c r="G491" s="2" t="s">
        <v>3957</v>
      </c>
      <c r="H491" s="2" t="s">
        <v>647</v>
      </c>
      <c r="I491" s="2" t="s">
        <v>6079</v>
      </c>
    </row>
    <row r="492">
      <c r="A492" s="2" t="s">
        <v>6080</v>
      </c>
      <c r="B492" s="2"/>
      <c r="C492" s="2"/>
      <c r="D492" s="2"/>
      <c r="E492" s="2" t="s">
        <v>6081</v>
      </c>
      <c r="F492" s="2" t="s">
        <v>6082</v>
      </c>
      <c r="G492" s="2" t="s">
        <v>4484</v>
      </c>
      <c r="H492" s="2" t="s">
        <v>647</v>
      </c>
      <c r="I492" s="2" t="s">
        <v>6083</v>
      </c>
    </row>
    <row r="493">
      <c r="A493" s="2" t="s">
        <v>6084</v>
      </c>
      <c r="B493" s="2"/>
      <c r="C493" s="2"/>
      <c r="D493" s="2"/>
      <c r="E493" s="2" t="s">
        <v>6085</v>
      </c>
      <c r="F493" s="2" t="s">
        <v>6086</v>
      </c>
      <c r="G493" s="2" t="s">
        <v>3997</v>
      </c>
      <c r="H493" s="2" t="s">
        <v>647</v>
      </c>
      <c r="I493" s="2" t="s">
        <v>6087</v>
      </c>
    </row>
    <row r="494">
      <c r="A494" s="2" t="s">
        <v>6088</v>
      </c>
      <c r="B494" s="2"/>
      <c r="C494" s="2"/>
      <c r="D494" s="2"/>
      <c r="E494" s="2" t="s">
        <v>6089</v>
      </c>
      <c r="F494" s="2" t="s">
        <v>3997</v>
      </c>
      <c r="G494" s="2" t="s">
        <v>3997</v>
      </c>
      <c r="H494" s="2" t="s">
        <v>6090</v>
      </c>
      <c r="I494" s="2" t="s">
        <v>6091</v>
      </c>
    </row>
    <row r="495">
      <c r="A495" s="2" t="s">
        <v>6092</v>
      </c>
      <c r="B495" s="2"/>
      <c r="C495" s="2"/>
      <c r="D495" s="2"/>
      <c r="E495" s="2" t="s">
        <v>6093</v>
      </c>
      <c r="F495" s="2" t="s">
        <v>3997</v>
      </c>
      <c r="G495" s="2" t="s">
        <v>4497</v>
      </c>
      <c r="H495" s="2" t="s">
        <v>647</v>
      </c>
      <c r="I495" s="2" t="s">
        <v>6094</v>
      </c>
    </row>
    <row r="496">
      <c r="A496" s="2" t="s">
        <v>6095</v>
      </c>
      <c r="B496" s="2"/>
      <c r="C496" s="2"/>
      <c r="D496" s="2"/>
      <c r="E496" s="2" t="s">
        <v>6096</v>
      </c>
      <c r="F496" s="2" t="s">
        <v>6097</v>
      </c>
      <c r="G496" s="2" t="s">
        <v>3997</v>
      </c>
      <c r="H496" s="2" t="s">
        <v>647</v>
      </c>
      <c r="I496" s="2" t="s">
        <v>6098</v>
      </c>
    </row>
    <row r="497">
      <c r="A497" s="2" t="s">
        <v>6099</v>
      </c>
      <c r="B497" s="2"/>
      <c r="C497" s="2"/>
      <c r="D497" s="2"/>
      <c r="E497" s="2" t="s">
        <v>6100</v>
      </c>
      <c r="F497" s="2" t="s">
        <v>6101</v>
      </c>
      <c r="G497" s="2" t="s">
        <v>4497</v>
      </c>
      <c r="H497" s="2" t="s">
        <v>647</v>
      </c>
      <c r="I497" s="2" t="s">
        <v>6102</v>
      </c>
    </row>
    <row r="498">
      <c r="A498" s="2" t="s">
        <v>6103</v>
      </c>
      <c r="B498" s="2"/>
      <c r="C498" s="2"/>
      <c r="D498" s="2"/>
      <c r="E498" s="2" t="s">
        <v>6104</v>
      </c>
      <c r="F498" s="2" t="s">
        <v>6105</v>
      </c>
      <c r="G498" s="2" t="s">
        <v>3997</v>
      </c>
      <c r="H498" s="2" t="s">
        <v>647</v>
      </c>
      <c r="I498" s="2" t="s">
        <v>6106</v>
      </c>
    </row>
    <row r="499">
      <c r="A499" s="2" t="s">
        <v>6107</v>
      </c>
      <c r="B499" s="2"/>
      <c r="C499" s="2"/>
      <c r="D499" s="2"/>
      <c r="E499" s="2" t="s">
        <v>6108</v>
      </c>
      <c r="F499" s="2" t="s">
        <v>6109</v>
      </c>
      <c r="G499" s="2" t="s">
        <v>4497</v>
      </c>
      <c r="H499" s="2" t="s">
        <v>647</v>
      </c>
      <c r="I499" s="2" t="s">
        <v>6110</v>
      </c>
    </row>
    <row r="500">
      <c r="A500" s="2" t="s">
        <v>6111</v>
      </c>
      <c r="B500" s="2"/>
      <c r="C500" s="2"/>
      <c r="D500" s="2"/>
      <c r="E500" s="2" t="s">
        <v>6112</v>
      </c>
      <c r="F500" s="2" t="s">
        <v>6113</v>
      </c>
      <c r="G500" s="2" t="s">
        <v>4484</v>
      </c>
      <c r="H500" s="2" t="s">
        <v>647</v>
      </c>
      <c r="I500" s="2" t="s">
        <v>6114</v>
      </c>
    </row>
    <row r="501">
      <c r="A501" s="2" t="s">
        <v>6115</v>
      </c>
      <c r="B501" s="2"/>
      <c r="C501" s="2"/>
      <c r="D501" s="2"/>
      <c r="E501" s="2" t="s">
        <v>6116</v>
      </c>
      <c r="F501" s="2" t="s">
        <v>6117</v>
      </c>
      <c r="G501" s="2" t="s">
        <v>4484</v>
      </c>
      <c r="H501" s="2" t="s">
        <v>647</v>
      </c>
      <c r="I501" s="2" t="s">
        <v>6118</v>
      </c>
    </row>
    <row r="502">
      <c r="A502" s="2" t="s">
        <v>6119</v>
      </c>
      <c r="B502" s="2"/>
      <c r="C502" s="2"/>
      <c r="D502" s="2"/>
      <c r="E502" s="2" t="s">
        <v>6120</v>
      </c>
      <c r="F502" s="2" t="s">
        <v>6121</v>
      </c>
      <c r="G502" s="2" t="s">
        <v>4484</v>
      </c>
      <c r="H502" s="2" t="s">
        <v>647</v>
      </c>
      <c r="I502" s="2" t="s">
        <v>6122</v>
      </c>
    </row>
    <row r="503">
      <c r="A503" s="2" t="s">
        <v>6123</v>
      </c>
      <c r="B503" s="2"/>
      <c r="C503" s="2"/>
      <c r="D503" s="2"/>
      <c r="E503" s="2" t="s">
        <v>6124</v>
      </c>
      <c r="F503" s="2" t="s">
        <v>6125</v>
      </c>
      <c r="G503" s="2" t="s">
        <v>3997</v>
      </c>
      <c r="H503" s="2" t="s">
        <v>6126</v>
      </c>
      <c r="I503" s="2" t="s">
        <v>6127</v>
      </c>
    </row>
    <row r="504">
      <c r="A504" s="2" t="s">
        <v>6128</v>
      </c>
      <c r="B504" s="2"/>
      <c r="C504" s="2"/>
      <c r="D504" s="2"/>
      <c r="E504" s="2" t="s">
        <v>6129</v>
      </c>
      <c r="F504" s="2" t="s">
        <v>6130</v>
      </c>
      <c r="G504" s="2" t="s">
        <v>4531</v>
      </c>
      <c r="H504" s="2" t="s">
        <v>647</v>
      </c>
      <c r="I504" s="2" t="s">
        <v>6131</v>
      </c>
    </row>
    <row r="505">
      <c r="A505" s="2" t="s">
        <v>6132</v>
      </c>
      <c r="B505" s="2"/>
      <c r="C505" s="2"/>
      <c r="D505" s="2"/>
      <c r="E505" s="2" t="s">
        <v>6133</v>
      </c>
      <c r="F505" s="2" t="s">
        <v>6134</v>
      </c>
      <c r="G505" s="2" t="s">
        <v>4484</v>
      </c>
      <c r="H505" s="2" t="s">
        <v>647</v>
      </c>
      <c r="I505" s="2" t="s">
        <v>6135</v>
      </c>
    </row>
    <row r="506">
      <c r="A506" s="2" t="s">
        <v>6136</v>
      </c>
      <c r="B506" s="2"/>
      <c r="C506" s="2"/>
      <c r="D506" s="2"/>
      <c r="E506" s="2" t="s">
        <v>6137</v>
      </c>
      <c r="F506" s="2" t="s">
        <v>6138</v>
      </c>
      <c r="G506" s="2" t="s">
        <v>3997</v>
      </c>
      <c r="H506" s="2" t="s">
        <v>647</v>
      </c>
      <c r="I506" s="2" t="s">
        <v>6139</v>
      </c>
    </row>
    <row r="507">
      <c r="A507" s="2" t="s">
        <v>6140</v>
      </c>
      <c r="B507" s="2"/>
      <c r="C507" s="2"/>
      <c r="D507" s="2"/>
      <c r="E507" s="2" t="s">
        <v>6141</v>
      </c>
      <c r="F507" s="2" t="s">
        <v>6142</v>
      </c>
      <c r="G507" s="2" t="s">
        <v>4531</v>
      </c>
      <c r="H507" s="2" t="s">
        <v>647</v>
      </c>
      <c r="I507" s="2" t="s">
        <v>6143</v>
      </c>
    </row>
    <row r="508">
      <c r="A508" s="2" t="s">
        <v>6144</v>
      </c>
      <c r="B508" s="2"/>
      <c r="C508" s="2"/>
      <c r="D508" s="2"/>
      <c r="E508" s="2" t="s">
        <v>6145</v>
      </c>
      <c r="F508" s="2" t="s">
        <v>6146</v>
      </c>
      <c r="G508" s="2" t="s">
        <v>3997</v>
      </c>
      <c r="H508" s="2" t="s">
        <v>647</v>
      </c>
      <c r="I508" s="2" t="s">
        <v>6147</v>
      </c>
    </row>
    <row r="509">
      <c r="A509" s="2" t="s">
        <v>6148</v>
      </c>
      <c r="B509" s="2"/>
      <c r="C509" s="2"/>
      <c r="D509" s="2"/>
      <c r="E509" s="2" t="s">
        <v>6149</v>
      </c>
      <c r="F509" s="2" t="s">
        <v>6150</v>
      </c>
      <c r="G509" s="2" t="s">
        <v>3957</v>
      </c>
      <c r="H509" s="2" t="s">
        <v>6151</v>
      </c>
      <c r="I509" s="2" t="s">
        <v>6152</v>
      </c>
    </row>
    <row r="510">
      <c r="A510" s="2" t="s">
        <v>6153</v>
      </c>
      <c r="B510" s="2"/>
      <c r="C510" s="2"/>
      <c r="D510" s="2"/>
      <c r="E510" s="2" t="s">
        <v>6154</v>
      </c>
      <c r="F510" s="2" t="s">
        <v>6155</v>
      </c>
      <c r="G510" s="2" t="s">
        <v>4531</v>
      </c>
      <c r="H510" s="2" t="s">
        <v>6156</v>
      </c>
      <c r="I510" s="2" t="s">
        <v>6157</v>
      </c>
    </row>
    <row r="511">
      <c r="A511" s="2" t="s">
        <v>6158</v>
      </c>
      <c r="B511" s="2"/>
      <c r="C511" s="2"/>
      <c r="D511" s="2"/>
      <c r="E511" s="2" t="s">
        <v>6159</v>
      </c>
      <c r="F511" s="2" t="s">
        <v>6160</v>
      </c>
      <c r="G511" s="2" t="s">
        <v>3997</v>
      </c>
      <c r="H511" s="2" t="s">
        <v>647</v>
      </c>
      <c r="I511" s="2" t="s">
        <v>6161</v>
      </c>
    </row>
    <row r="512">
      <c r="A512" s="2" t="s">
        <v>6162</v>
      </c>
      <c r="B512" s="2"/>
      <c r="C512" s="2"/>
      <c r="D512" s="2"/>
      <c r="E512" s="2" t="s">
        <v>6163</v>
      </c>
      <c r="F512" s="2" t="s">
        <v>6164</v>
      </c>
      <c r="G512" s="2" t="s">
        <v>3997</v>
      </c>
      <c r="H512" s="2" t="s">
        <v>647</v>
      </c>
      <c r="I512" s="2" t="s">
        <v>6165</v>
      </c>
    </row>
    <row r="513">
      <c r="A513" s="2" t="s">
        <v>6166</v>
      </c>
      <c r="B513" s="2"/>
      <c r="C513" s="2"/>
      <c r="D513" s="2"/>
      <c r="E513" s="2" t="s">
        <v>6167</v>
      </c>
      <c r="F513" s="2" t="s">
        <v>6168</v>
      </c>
      <c r="G513" s="2" t="s">
        <v>4484</v>
      </c>
      <c r="H513" s="2" t="s">
        <v>647</v>
      </c>
      <c r="I513" s="2" t="s">
        <v>6169</v>
      </c>
    </row>
    <row r="514">
      <c r="A514" s="2" t="s">
        <v>6170</v>
      </c>
      <c r="B514" s="2"/>
      <c r="C514" s="2"/>
      <c r="D514" s="2"/>
      <c r="E514" s="2" t="s">
        <v>6171</v>
      </c>
      <c r="F514" s="2" t="s">
        <v>6172</v>
      </c>
      <c r="G514" s="2" t="s">
        <v>4484</v>
      </c>
      <c r="H514" s="2" t="s">
        <v>647</v>
      </c>
      <c r="I514" s="2" t="s">
        <v>6173</v>
      </c>
    </row>
    <row r="515">
      <c r="A515" s="2" t="s">
        <v>6174</v>
      </c>
      <c r="B515" s="2"/>
      <c r="C515" s="2"/>
      <c r="D515" s="2"/>
      <c r="E515" s="2" t="s">
        <v>6175</v>
      </c>
      <c r="F515" s="2" t="s">
        <v>6176</v>
      </c>
      <c r="G515" s="2" t="s">
        <v>4497</v>
      </c>
      <c r="H515" s="2" t="s">
        <v>647</v>
      </c>
      <c r="I515" s="2" t="s">
        <v>6177</v>
      </c>
    </row>
    <row r="516">
      <c r="A516" s="2" t="s">
        <v>6178</v>
      </c>
      <c r="B516" s="2"/>
      <c r="C516" s="2"/>
      <c r="D516" s="2"/>
      <c r="E516" s="2" t="s">
        <v>6179</v>
      </c>
      <c r="F516" s="2" t="s">
        <v>6180</v>
      </c>
      <c r="G516" s="2" t="s">
        <v>3997</v>
      </c>
      <c r="H516" s="2" t="s">
        <v>647</v>
      </c>
      <c r="I516" s="2" t="s">
        <v>6181</v>
      </c>
    </row>
    <row r="517">
      <c r="A517" s="2" t="s">
        <v>6182</v>
      </c>
      <c r="B517" s="2"/>
      <c r="C517" s="2"/>
      <c r="D517" s="2"/>
      <c r="E517" s="2" t="s">
        <v>6183</v>
      </c>
      <c r="F517" s="2" t="s">
        <v>6184</v>
      </c>
      <c r="G517" s="2" t="s">
        <v>4484</v>
      </c>
      <c r="H517" s="2" t="s">
        <v>647</v>
      </c>
      <c r="I517" s="2" t="s">
        <v>6185</v>
      </c>
    </row>
    <row r="518">
      <c r="A518" s="2" t="s">
        <v>6186</v>
      </c>
      <c r="B518" s="2"/>
      <c r="C518" s="2"/>
      <c r="D518" s="2"/>
      <c r="E518" s="2" t="s">
        <v>6187</v>
      </c>
      <c r="F518" s="2" t="s">
        <v>3997</v>
      </c>
      <c r="G518" s="2" t="s">
        <v>3997</v>
      </c>
      <c r="H518" s="2" t="s">
        <v>647</v>
      </c>
      <c r="I518" s="7" t="s">
        <v>6188</v>
      </c>
    </row>
    <row r="519">
      <c r="A519" s="2" t="s">
        <v>6189</v>
      </c>
      <c r="B519" s="2"/>
      <c r="C519" s="2"/>
      <c r="D519" s="2"/>
      <c r="E519" s="2" t="s">
        <v>6190</v>
      </c>
      <c r="F519" s="2" t="s">
        <v>6191</v>
      </c>
      <c r="G519" s="2" t="s">
        <v>3997</v>
      </c>
      <c r="H519" s="2" t="s">
        <v>647</v>
      </c>
      <c r="I519" s="2" t="s">
        <v>6192</v>
      </c>
    </row>
    <row r="520">
      <c r="A520" s="2" t="s">
        <v>6193</v>
      </c>
      <c r="B520" s="2"/>
      <c r="C520" s="2"/>
      <c r="D520" s="2"/>
      <c r="E520" s="2" t="s">
        <v>6194</v>
      </c>
      <c r="F520" s="2" t="s">
        <v>6195</v>
      </c>
      <c r="G520" s="2" t="s">
        <v>4484</v>
      </c>
      <c r="H520" s="2" t="s">
        <v>647</v>
      </c>
      <c r="I520" s="2" t="s">
        <v>6196</v>
      </c>
    </row>
    <row r="521">
      <c r="A521" s="2" t="s">
        <v>6197</v>
      </c>
      <c r="B521" s="2"/>
      <c r="C521" s="2"/>
      <c r="D521" s="2"/>
      <c r="E521" s="2" t="s">
        <v>6198</v>
      </c>
      <c r="F521" s="2" t="s">
        <v>6199</v>
      </c>
      <c r="G521" s="2" t="s">
        <v>4531</v>
      </c>
      <c r="H521" s="2" t="s">
        <v>6200</v>
      </c>
      <c r="I521" s="2" t="s">
        <v>6201</v>
      </c>
    </row>
    <row r="522">
      <c r="A522" s="2" t="s">
        <v>6202</v>
      </c>
      <c r="B522" s="2"/>
      <c r="C522" s="2"/>
      <c r="D522" s="2"/>
      <c r="E522" s="2" t="s">
        <v>6203</v>
      </c>
      <c r="F522" s="2" t="s">
        <v>6204</v>
      </c>
      <c r="G522" s="2" t="s">
        <v>4484</v>
      </c>
      <c r="H522" s="2" t="s">
        <v>647</v>
      </c>
      <c r="I522" s="2" t="s">
        <v>6205</v>
      </c>
    </row>
    <row r="523">
      <c r="A523" s="2" t="s">
        <v>6206</v>
      </c>
      <c r="B523" s="2"/>
      <c r="C523" s="2"/>
      <c r="D523" s="2"/>
      <c r="E523" s="2" t="s">
        <v>6207</v>
      </c>
      <c r="F523" s="2" t="s">
        <v>3997</v>
      </c>
      <c r="G523" s="2" t="s">
        <v>4497</v>
      </c>
      <c r="H523" s="2" t="s">
        <v>6208</v>
      </c>
      <c r="I523" s="2" t="s">
        <v>6209</v>
      </c>
    </row>
    <row r="524">
      <c r="A524" s="2" t="s">
        <v>6210</v>
      </c>
      <c r="B524" s="2"/>
      <c r="C524" s="2"/>
      <c r="D524" s="2"/>
      <c r="E524" s="2" t="s">
        <v>6211</v>
      </c>
      <c r="F524" s="2" t="s">
        <v>3997</v>
      </c>
      <c r="G524" s="2" t="s">
        <v>4497</v>
      </c>
      <c r="H524" s="2" t="s">
        <v>647</v>
      </c>
      <c r="I524" s="2" t="s">
        <v>6212</v>
      </c>
    </row>
    <row r="525">
      <c r="A525" s="2" t="s">
        <v>6213</v>
      </c>
      <c r="B525" s="2"/>
      <c r="C525" s="2"/>
      <c r="D525" s="2"/>
      <c r="E525" s="2" t="s">
        <v>6214</v>
      </c>
      <c r="F525" s="2" t="s">
        <v>6215</v>
      </c>
      <c r="G525" s="2" t="s">
        <v>3997</v>
      </c>
      <c r="H525" s="2" t="s">
        <v>647</v>
      </c>
      <c r="I525" s="2" t="s">
        <v>6216</v>
      </c>
    </row>
    <row r="526">
      <c r="A526" s="2" t="s">
        <v>6217</v>
      </c>
      <c r="B526" s="2"/>
      <c r="C526" s="2"/>
      <c r="D526" s="2"/>
      <c r="E526" s="2" t="s">
        <v>6218</v>
      </c>
      <c r="F526" s="2" t="s">
        <v>6219</v>
      </c>
      <c r="G526" s="2" t="s">
        <v>3997</v>
      </c>
      <c r="H526" s="2" t="s">
        <v>647</v>
      </c>
      <c r="I526" s="2" t="s">
        <v>6220</v>
      </c>
    </row>
    <row r="527">
      <c r="A527" s="2" t="s">
        <v>6221</v>
      </c>
      <c r="B527" s="2"/>
      <c r="C527" s="2"/>
      <c r="D527" s="2"/>
      <c r="E527" s="2" t="s">
        <v>6222</v>
      </c>
      <c r="F527" s="2" t="s">
        <v>6223</v>
      </c>
      <c r="G527" s="2" t="s">
        <v>4484</v>
      </c>
      <c r="H527" s="2" t="s">
        <v>647</v>
      </c>
      <c r="I527" s="2" t="s">
        <v>6224</v>
      </c>
    </row>
    <row r="528">
      <c r="A528" s="2" t="s">
        <v>6225</v>
      </c>
      <c r="B528" s="2"/>
      <c r="C528" s="2"/>
      <c r="D528" s="2"/>
      <c r="E528" s="2" t="s">
        <v>6226</v>
      </c>
      <c r="F528" s="2" t="s">
        <v>6227</v>
      </c>
      <c r="G528" s="2" t="s">
        <v>4484</v>
      </c>
      <c r="H528" s="2" t="s">
        <v>647</v>
      </c>
      <c r="I528" s="2" t="s">
        <v>6228</v>
      </c>
    </row>
    <row r="529">
      <c r="A529" s="2" t="s">
        <v>6229</v>
      </c>
      <c r="B529" s="2"/>
      <c r="C529" s="2"/>
      <c r="D529" s="2"/>
      <c r="E529" s="2" t="s">
        <v>6230</v>
      </c>
      <c r="F529" s="2" t="s">
        <v>6231</v>
      </c>
      <c r="G529" s="2" t="s">
        <v>4497</v>
      </c>
      <c r="H529" s="2" t="s">
        <v>647</v>
      </c>
      <c r="I529" s="2" t="s">
        <v>6232</v>
      </c>
    </row>
    <row r="530">
      <c r="A530" s="2" t="s">
        <v>6233</v>
      </c>
      <c r="B530" s="2"/>
      <c r="C530" s="2"/>
      <c r="D530" s="2"/>
      <c r="E530" s="2" t="s">
        <v>6234</v>
      </c>
      <c r="F530" s="2" t="s">
        <v>6235</v>
      </c>
      <c r="G530" s="2" t="s">
        <v>4497</v>
      </c>
      <c r="H530" s="2" t="s">
        <v>647</v>
      </c>
      <c r="I530" s="2" t="s">
        <v>6236</v>
      </c>
    </row>
    <row r="531">
      <c r="A531" s="2" t="s">
        <v>6237</v>
      </c>
      <c r="B531" s="2"/>
      <c r="C531" s="2"/>
      <c r="D531" s="2"/>
      <c r="E531" s="2" t="s">
        <v>6238</v>
      </c>
      <c r="F531" s="2" t="s">
        <v>6239</v>
      </c>
      <c r="G531" s="2" t="s">
        <v>4531</v>
      </c>
      <c r="H531" s="2" t="s">
        <v>647</v>
      </c>
      <c r="I531" s="2" t="s">
        <v>6240</v>
      </c>
    </row>
    <row r="532">
      <c r="A532" s="2" t="s">
        <v>6241</v>
      </c>
      <c r="B532" s="2"/>
      <c r="C532" s="2"/>
      <c r="D532" s="2"/>
      <c r="E532" s="7" t="s">
        <v>6242</v>
      </c>
      <c r="F532" s="2" t="s">
        <v>6243</v>
      </c>
      <c r="G532" s="2" t="s">
        <v>4531</v>
      </c>
      <c r="H532" s="2" t="s">
        <v>647</v>
      </c>
      <c r="I532" s="2" t="s">
        <v>6244</v>
      </c>
    </row>
    <row r="533">
      <c r="A533" s="2" t="s">
        <v>6245</v>
      </c>
      <c r="B533" s="2"/>
      <c r="C533" s="2"/>
      <c r="D533" s="2"/>
      <c r="E533" s="2" t="s">
        <v>6246</v>
      </c>
      <c r="F533" s="2" t="s">
        <v>6247</v>
      </c>
      <c r="G533" s="2" t="s">
        <v>4484</v>
      </c>
      <c r="H533" s="2" t="s">
        <v>6248</v>
      </c>
      <c r="I533" s="2" t="s">
        <v>6249</v>
      </c>
    </row>
    <row r="534">
      <c r="A534" s="2" t="s">
        <v>6250</v>
      </c>
      <c r="B534" s="2"/>
      <c r="C534" s="2"/>
      <c r="D534" s="2"/>
      <c r="E534" s="7" t="s">
        <v>6251</v>
      </c>
      <c r="F534" s="2" t="s">
        <v>6252</v>
      </c>
      <c r="G534" s="2" t="s">
        <v>4484</v>
      </c>
      <c r="H534" s="2" t="s">
        <v>6253</v>
      </c>
      <c r="I534" s="2" t="s">
        <v>6254</v>
      </c>
    </row>
    <row r="535">
      <c r="A535" s="2" t="s">
        <v>6255</v>
      </c>
      <c r="B535" s="2"/>
      <c r="C535" s="2"/>
      <c r="D535" s="2"/>
      <c r="E535" s="2" t="s">
        <v>6256</v>
      </c>
      <c r="F535" s="2" t="s">
        <v>6257</v>
      </c>
      <c r="G535" s="2" t="s">
        <v>5158</v>
      </c>
      <c r="H535" s="2" t="s">
        <v>647</v>
      </c>
      <c r="I535" s="2" t="s">
        <v>6258</v>
      </c>
    </row>
    <row r="536">
      <c r="A536" s="2" t="s">
        <v>6259</v>
      </c>
      <c r="B536" s="2"/>
      <c r="C536" s="2"/>
      <c r="D536" s="2"/>
      <c r="E536" s="2" t="s">
        <v>6260</v>
      </c>
      <c r="F536" s="2" t="s">
        <v>6261</v>
      </c>
      <c r="G536" s="2" t="s">
        <v>4484</v>
      </c>
      <c r="H536" s="2" t="s">
        <v>6262</v>
      </c>
      <c r="I536" s="2" t="s">
        <v>6263</v>
      </c>
    </row>
    <row r="537">
      <c r="A537" s="2" t="s">
        <v>6264</v>
      </c>
      <c r="B537" s="2"/>
      <c r="C537" s="2"/>
      <c r="D537" s="2"/>
      <c r="E537" s="2" t="s">
        <v>6265</v>
      </c>
      <c r="F537" s="2" t="s">
        <v>6266</v>
      </c>
      <c r="G537" s="2" t="s">
        <v>3997</v>
      </c>
      <c r="H537" s="2" t="s">
        <v>647</v>
      </c>
      <c r="I537" s="2" t="s">
        <v>6267</v>
      </c>
    </row>
    <row r="538">
      <c r="A538" s="2" t="s">
        <v>6268</v>
      </c>
      <c r="B538" s="2"/>
      <c r="C538" s="2"/>
      <c r="D538" s="2"/>
      <c r="E538" s="2" t="s">
        <v>6269</v>
      </c>
      <c r="F538" s="2" t="s">
        <v>6270</v>
      </c>
      <c r="G538" s="2" t="s">
        <v>4484</v>
      </c>
      <c r="H538" s="2" t="s">
        <v>6271</v>
      </c>
      <c r="I538" s="2" t="s">
        <v>6272</v>
      </c>
    </row>
    <row r="539">
      <c r="A539" s="2" t="s">
        <v>6273</v>
      </c>
      <c r="B539" s="2"/>
      <c r="C539" s="2"/>
      <c r="D539" s="2"/>
      <c r="E539" s="2" t="s">
        <v>6274</v>
      </c>
      <c r="F539" s="2" t="s">
        <v>6275</v>
      </c>
      <c r="G539" s="2" t="s">
        <v>4484</v>
      </c>
      <c r="H539" s="2" t="s">
        <v>6276</v>
      </c>
      <c r="I539" s="2" t="s">
        <v>6277</v>
      </c>
    </row>
    <row r="540">
      <c r="A540" s="2" t="s">
        <v>6278</v>
      </c>
      <c r="B540" s="2"/>
      <c r="C540" s="2"/>
      <c r="D540" s="2"/>
      <c r="E540" s="2" t="s">
        <v>6279</v>
      </c>
      <c r="F540" s="2" t="s">
        <v>6280</v>
      </c>
      <c r="G540" s="2" t="s">
        <v>4497</v>
      </c>
      <c r="H540" s="2" t="s">
        <v>647</v>
      </c>
      <c r="I540" s="2" t="s">
        <v>6281</v>
      </c>
    </row>
    <row r="541">
      <c r="A541" s="2" t="s">
        <v>6282</v>
      </c>
      <c r="B541" s="2"/>
      <c r="C541" s="2"/>
      <c r="D541" s="2"/>
      <c r="E541" s="2" t="s">
        <v>6283</v>
      </c>
      <c r="F541" s="2" t="s">
        <v>6284</v>
      </c>
      <c r="G541" s="2" t="s">
        <v>4484</v>
      </c>
      <c r="H541" s="2" t="s">
        <v>647</v>
      </c>
      <c r="I541" s="2" t="s">
        <v>6285</v>
      </c>
    </row>
    <row r="542">
      <c r="A542" s="2" t="s">
        <v>6286</v>
      </c>
      <c r="B542" s="2"/>
      <c r="C542" s="2"/>
      <c r="D542" s="2"/>
      <c r="E542" s="2" t="s">
        <v>6287</v>
      </c>
      <c r="F542" s="2" t="s">
        <v>6288</v>
      </c>
      <c r="G542" s="2" t="s">
        <v>3997</v>
      </c>
      <c r="H542" s="2" t="s">
        <v>647</v>
      </c>
      <c r="I542" s="2" t="s">
        <v>6289</v>
      </c>
    </row>
    <row r="543">
      <c r="A543" s="2" t="s">
        <v>6290</v>
      </c>
      <c r="B543" s="2"/>
      <c r="C543" s="2"/>
      <c r="D543" s="2"/>
      <c r="E543" s="2" t="s">
        <v>6291</v>
      </c>
      <c r="F543" s="2" t="s">
        <v>6292</v>
      </c>
      <c r="G543" s="2" t="s">
        <v>4531</v>
      </c>
      <c r="H543" s="2" t="s">
        <v>6293</v>
      </c>
      <c r="I543" s="2" t="s">
        <v>6294</v>
      </c>
    </row>
    <row r="544">
      <c r="A544" s="2" t="s">
        <v>6295</v>
      </c>
      <c r="B544" s="2"/>
      <c r="C544" s="2"/>
      <c r="D544" s="2"/>
      <c r="E544" s="2" t="s">
        <v>6296</v>
      </c>
      <c r="F544" s="2" t="s">
        <v>6297</v>
      </c>
      <c r="G544" s="2" t="s">
        <v>3997</v>
      </c>
      <c r="H544" s="2" t="s">
        <v>6298</v>
      </c>
      <c r="I544" s="2" t="s">
        <v>6299</v>
      </c>
    </row>
    <row r="545">
      <c r="A545" s="2" t="s">
        <v>6300</v>
      </c>
      <c r="B545" s="2"/>
      <c r="C545" s="2"/>
      <c r="D545" s="2"/>
      <c r="E545" s="2" t="s">
        <v>6301</v>
      </c>
      <c r="F545" s="2" t="s">
        <v>6302</v>
      </c>
      <c r="G545" s="2" t="s">
        <v>4484</v>
      </c>
      <c r="H545" s="2" t="s">
        <v>6303</v>
      </c>
      <c r="I545" s="2" t="s">
        <v>6304</v>
      </c>
    </row>
    <row r="546">
      <c r="A546" s="2" t="s">
        <v>6305</v>
      </c>
      <c r="B546" s="2"/>
      <c r="C546" s="2"/>
      <c r="D546" s="2"/>
      <c r="E546" s="2" t="s">
        <v>6306</v>
      </c>
      <c r="F546" s="2" t="s">
        <v>6307</v>
      </c>
      <c r="G546" s="2" t="s">
        <v>4484</v>
      </c>
      <c r="H546" s="2" t="s">
        <v>647</v>
      </c>
      <c r="I546" s="2" t="s">
        <v>6308</v>
      </c>
    </row>
    <row r="547">
      <c r="A547" s="2" t="s">
        <v>6309</v>
      </c>
      <c r="B547" s="2"/>
      <c r="C547" s="2"/>
      <c r="D547" s="2"/>
      <c r="E547" s="2" t="s">
        <v>6310</v>
      </c>
      <c r="F547" s="2" t="s">
        <v>6311</v>
      </c>
      <c r="G547" s="2" t="s">
        <v>4497</v>
      </c>
      <c r="H547" s="2" t="s">
        <v>647</v>
      </c>
      <c r="I547" s="2" t="s">
        <v>6312</v>
      </c>
    </row>
    <row r="548">
      <c r="A548" s="2" t="s">
        <v>6313</v>
      </c>
      <c r="B548" s="2"/>
      <c r="C548" s="2"/>
      <c r="D548" s="2"/>
      <c r="E548" s="2" t="s">
        <v>6314</v>
      </c>
      <c r="F548" s="2" t="s">
        <v>6315</v>
      </c>
      <c r="G548" s="2" t="s">
        <v>4484</v>
      </c>
      <c r="H548" s="2" t="s">
        <v>6316</v>
      </c>
      <c r="I548" s="2" t="s">
        <v>6317</v>
      </c>
    </row>
    <row r="549">
      <c r="A549" s="2" t="s">
        <v>6318</v>
      </c>
      <c r="B549" s="2"/>
      <c r="C549" s="2"/>
      <c r="D549" s="2"/>
      <c r="E549" s="2" t="s">
        <v>6319</v>
      </c>
      <c r="F549" s="2" t="s">
        <v>6320</v>
      </c>
      <c r="G549" s="2" t="s">
        <v>4484</v>
      </c>
      <c r="H549" s="2" t="s">
        <v>6321</v>
      </c>
      <c r="I549" s="2" t="s">
        <v>6322</v>
      </c>
    </row>
    <row r="550">
      <c r="A550" s="2" t="s">
        <v>6323</v>
      </c>
      <c r="B550" s="2"/>
      <c r="C550" s="2"/>
      <c r="D550" s="2"/>
      <c r="E550" s="2" t="s">
        <v>6324</v>
      </c>
      <c r="F550" s="2" t="s">
        <v>6325</v>
      </c>
      <c r="G550" s="2" t="s">
        <v>3997</v>
      </c>
      <c r="H550" s="2" t="s">
        <v>647</v>
      </c>
      <c r="I550" s="2" t="s">
        <v>6326</v>
      </c>
    </row>
    <row r="551">
      <c r="A551" s="2" t="s">
        <v>6327</v>
      </c>
      <c r="B551" s="2"/>
      <c r="C551" s="2"/>
      <c r="D551" s="2"/>
      <c r="E551" s="2" t="s">
        <v>6328</v>
      </c>
      <c r="F551" s="2" t="s">
        <v>6329</v>
      </c>
      <c r="G551" s="2" t="s">
        <v>4484</v>
      </c>
      <c r="H551" s="2" t="s">
        <v>6330</v>
      </c>
      <c r="I551" s="2" t="s">
        <v>6331</v>
      </c>
    </row>
    <row r="552">
      <c r="A552" s="2" t="s">
        <v>6332</v>
      </c>
      <c r="B552" s="2"/>
      <c r="C552" s="2"/>
      <c r="D552" s="2"/>
      <c r="E552" s="2" t="s">
        <v>6333</v>
      </c>
      <c r="F552" s="2" t="s">
        <v>6334</v>
      </c>
      <c r="G552" s="2" t="s">
        <v>3997</v>
      </c>
      <c r="H552" s="2" t="s">
        <v>647</v>
      </c>
      <c r="I552" s="2" t="s">
        <v>6335</v>
      </c>
    </row>
    <row r="553">
      <c r="A553" s="2" t="s">
        <v>6336</v>
      </c>
      <c r="B553" s="2"/>
      <c r="C553" s="2"/>
      <c r="D553" s="2"/>
      <c r="E553" s="2" t="s">
        <v>6337</v>
      </c>
      <c r="F553" s="2" t="s">
        <v>6338</v>
      </c>
      <c r="G553" s="2" t="s">
        <v>4497</v>
      </c>
      <c r="H553" s="2" t="s">
        <v>647</v>
      </c>
      <c r="I553" s="2" t="s">
        <v>6339</v>
      </c>
    </row>
    <row r="554">
      <c r="A554" s="2" t="s">
        <v>6340</v>
      </c>
      <c r="B554" s="2"/>
      <c r="C554" s="2"/>
      <c r="D554" s="2"/>
      <c r="E554" s="2" t="s">
        <v>6341</v>
      </c>
      <c r="F554" s="2" t="s">
        <v>6342</v>
      </c>
      <c r="G554" s="2" t="s">
        <v>3997</v>
      </c>
      <c r="H554" s="2" t="s">
        <v>647</v>
      </c>
      <c r="I554" s="2" t="s">
        <v>6343</v>
      </c>
    </row>
    <row r="555">
      <c r="A555" s="2" t="s">
        <v>6344</v>
      </c>
      <c r="B555" s="2"/>
      <c r="C555" s="2"/>
      <c r="D555" s="2"/>
      <c r="E555" s="2" t="s">
        <v>6345</v>
      </c>
      <c r="F555" s="2" t="s">
        <v>3997</v>
      </c>
      <c r="G555" s="2" t="s">
        <v>4497</v>
      </c>
      <c r="H555" s="2" t="s">
        <v>6346</v>
      </c>
      <c r="I555" s="2" t="s">
        <v>6347</v>
      </c>
    </row>
    <row r="556">
      <c r="A556" s="2" t="s">
        <v>6348</v>
      </c>
      <c r="B556" s="2"/>
      <c r="C556" s="2"/>
      <c r="D556" s="2"/>
      <c r="E556" s="2" t="s">
        <v>6349</v>
      </c>
      <c r="F556" s="2" t="s">
        <v>6350</v>
      </c>
      <c r="G556" s="2" t="s">
        <v>4484</v>
      </c>
      <c r="H556" s="2" t="s">
        <v>647</v>
      </c>
      <c r="I556" s="2" t="s">
        <v>6351</v>
      </c>
    </row>
    <row r="557">
      <c r="A557" s="2" t="s">
        <v>6352</v>
      </c>
      <c r="B557" s="2"/>
      <c r="C557" s="2"/>
      <c r="D557" s="2"/>
      <c r="E557" s="2" t="s">
        <v>6353</v>
      </c>
      <c r="F557" s="2" t="s">
        <v>6354</v>
      </c>
      <c r="G557" s="2" t="s">
        <v>4497</v>
      </c>
      <c r="H557" s="2" t="s">
        <v>6355</v>
      </c>
      <c r="I557" s="2" t="s">
        <v>6356</v>
      </c>
    </row>
    <row r="558">
      <c r="A558" s="2" t="s">
        <v>6357</v>
      </c>
      <c r="B558" s="2"/>
      <c r="C558" s="2"/>
      <c r="D558" s="2"/>
      <c r="E558" s="2" t="s">
        <v>6358</v>
      </c>
      <c r="F558" s="2" t="s">
        <v>6359</v>
      </c>
      <c r="G558" s="2" t="s">
        <v>3957</v>
      </c>
      <c r="H558" s="2" t="s">
        <v>647</v>
      </c>
      <c r="I558" s="2" t="s">
        <v>6360</v>
      </c>
    </row>
    <row r="559">
      <c r="A559" s="2" t="s">
        <v>6361</v>
      </c>
      <c r="B559" s="2"/>
      <c r="C559" s="2"/>
      <c r="D559" s="2"/>
      <c r="E559" s="7" t="s">
        <v>6362</v>
      </c>
      <c r="F559" s="2" t="s">
        <v>6363</v>
      </c>
      <c r="G559" s="2" t="s">
        <v>3997</v>
      </c>
      <c r="H559" s="2" t="s">
        <v>647</v>
      </c>
      <c r="I559" s="2" t="s">
        <v>6364</v>
      </c>
    </row>
    <row r="560">
      <c r="A560" s="2" t="s">
        <v>6365</v>
      </c>
      <c r="B560" s="2"/>
      <c r="C560" s="2"/>
      <c r="D560" s="2"/>
      <c r="E560" s="2" t="s">
        <v>6366</v>
      </c>
      <c r="F560" s="2" t="s">
        <v>3997</v>
      </c>
      <c r="G560" s="2" t="s">
        <v>4484</v>
      </c>
      <c r="H560" s="2" t="s">
        <v>647</v>
      </c>
      <c r="I560" s="2" t="s">
        <v>6367</v>
      </c>
    </row>
    <row r="561">
      <c r="A561" s="2" t="s">
        <v>6368</v>
      </c>
      <c r="B561" s="2"/>
      <c r="C561" s="2"/>
      <c r="D561" s="2"/>
      <c r="E561" s="2" t="s">
        <v>6369</v>
      </c>
      <c r="F561" s="2" t="s">
        <v>6370</v>
      </c>
      <c r="G561" s="2" t="s">
        <v>4497</v>
      </c>
      <c r="H561" s="2" t="s">
        <v>647</v>
      </c>
      <c r="I561" s="2" t="s">
        <v>6371</v>
      </c>
    </row>
    <row r="562">
      <c r="A562" s="2" t="s">
        <v>6372</v>
      </c>
      <c r="B562" s="2"/>
      <c r="C562" s="2"/>
      <c r="D562" s="2"/>
      <c r="E562" s="2" t="s">
        <v>6373</v>
      </c>
      <c r="F562" s="2" t="s">
        <v>6374</v>
      </c>
      <c r="G562" s="2" t="s">
        <v>4484</v>
      </c>
      <c r="H562" s="2" t="s">
        <v>647</v>
      </c>
      <c r="I562" s="2" t="s">
        <v>6375</v>
      </c>
    </row>
    <row r="563">
      <c r="A563" s="2" t="s">
        <v>6376</v>
      </c>
      <c r="B563" s="2"/>
      <c r="C563" s="2"/>
      <c r="D563" s="2"/>
      <c r="E563" s="2" t="s">
        <v>6377</v>
      </c>
      <c r="F563" s="2" t="s">
        <v>6378</v>
      </c>
      <c r="G563" s="2" t="s">
        <v>3997</v>
      </c>
      <c r="H563" s="2" t="s">
        <v>647</v>
      </c>
      <c r="I563" s="2" t="s">
        <v>6379</v>
      </c>
    </row>
    <row r="564">
      <c r="A564" s="2" t="s">
        <v>6380</v>
      </c>
      <c r="B564" s="2"/>
      <c r="C564" s="2"/>
      <c r="D564" s="2"/>
      <c r="E564" s="2" t="s">
        <v>6381</v>
      </c>
      <c r="F564" s="2" t="s">
        <v>3997</v>
      </c>
      <c r="G564" s="2" t="s">
        <v>4531</v>
      </c>
      <c r="H564" s="2" t="s">
        <v>647</v>
      </c>
      <c r="I564" s="7" t="s">
        <v>6382</v>
      </c>
    </row>
    <row r="565">
      <c r="A565" s="2" t="s">
        <v>6383</v>
      </c>
      <c r="B565" s="2"/>
      <c r="C565" s="2"/>
      <c r="D565" s="2"/>
      <c r="E565" s="2" t="s">
        <v>6384</v>
      </c>
      <c r="F565" s="2" t="s">
        <v>6385</v>
      </c>
      <c r="G565" s="2" t="s">
        <v>3957</v>
      </c>
      <c r="H565" s="2" t="s">
        <v>6386</v>
      </c>
      <c r="I565" s="2" t="s">
        <v>6387</v>
      </c>
    </row>
    <row r="566">
      <c r="A566" s="2" t="s">
        <v>6388</v>
      </c>
      <c r="B566" s="2"/>
      <c r="C566" s="2"/>
      <c r="D566" s="2"/>
      <c r="E566" s="2" t="s">
        <v>6389</v>
      </c>
      <c r="F566" s="2" t="s">
        <v>6390</v>
      </c>
      <c r="G566" s="2" t="s">
        <v>3997</v>
      </c>
      <c r="H566" s="2" t="s">
        <v>647</v>
      </c>
      <c r="I566" s="7" t="s">
        <v>6391</v>
      </c>
    </row>
    <row r="567">
      <c r="A567" s="2" t="s">
        <v>6392</v>
      </c>
      <c r="B567" s="2"/>
      <c r="C567" s="2"/>
      <c r="D567" s="2"/>
      <c r="E567" s="2" t="s">
        <v>6393</v>
      </c>
      <c r="F567" s="2" t="s">
        <v>6394</v>
      </c>
      <c r="G567" s="2" t="s">
        <v>4484</v>
      </c>
      <c r="H567" s="2" t="s">
        <v>647</v>
      </c>
      <c r="I567" s="2" t="s">
        <v>6395</v>
      </c>
    </row>
    <row r="568">
      <c r="A568" s="2" t="s">
        <v>6396</v>
      </c>
      <c r="B568" s="2"/>
      <c r="C568" s="2"/>
      <c r="D568" s="2"/>
      <c r="E568" s="2" t="s">
        <v>6397</v>
      </c>
      <c r="F568" s="2" t="s">
        <v>6398</v>
      </c>
      <c r="G568" s="2" t="s">
        <v>4484</v>
      </c>
      <c r="H568" s="2" t="s">
        <v>647</v>
      </c>
      <c r="I568" s="2" t="s">
        <v>6399</v>
      </c>
    </row>
    <row r="569">
      <c r="A569" s="2" t="s">
        <v>6400</v>
      </c>
      <c r="B569" s="2"/>
      <c r="C569" s="2"/>
      <c r="D569" s="2"/>
      <c r="E569" s="2" t="s">
        <v>6401</v>
      </c>
      <c r="F569" s="2" t="s">
        <v>6402</v>
      </c>
      <c r="G569" s="2" t="s">
        <v>3957</v>
      </c>
      <c r="H569" s="2" t="s">
        <v>647</v>
      </c>
      <c r="I569" s="2" t="s">
        <v>6403</v>
      </c>
    </row>
    <row r="570">
      <c r="A570" s="2" t="s">
        <v>6404</v>
      </c>
      <c r="B570" s="2"/>
      <c r="C570" s="2"/>
      <c r="D570" s="2"/>
      <c r="E570" s="2" t="s">
        <v>6405</v>
      </c>
      <c r="F570" s="2" t="s">
        <v>6406</v>
      </c>
      <c r="G570" s="2" t="s">
        <v>4484</v>
      </c>
      <c r="H570" s="2" t="s">
        <v>647</v>
      </c>
      <c r="I570" s="2" t="s">
        <v>6407</v>
      </c>
    </row>
    <row r="571">
      <c r="A571" s="2" t="s">
        <v>6408</v>
      </c>
      <c r="B571" s="2"/>
      <c r="C571" s="2"/>
      <c r="D571" s="2"/>
      <c r="E571" s="2" t="s">
        <v>6409</v>
      </c>
      <c r="F571" s="2" t="s">
        <v>6410</v>
      </c>
      <c r="G571" s="2" t="s">
        <v>4484</v>
      </c>
      <c r="H571" s="2" t="s">
        <v>647</v>
      </c>
      <c r="I571" s="2" t="s">
        <v>6411</v>
      </c>
    </row>
    <row r="572">
      <c r="A572" s="2" t="s">
        <v>6412</v>
      </c>
      <c r="B572" s="2"/>
      <c r="C572" s="2"/>
      <c r="D572" s="2"/>
      <c r="E572" s="2" t="s">
        <v>6413</v>
      </c>
      <c r="F572" s="2" t="s">
        <v>6414</v>
      </c>
      <c r="G572" s="2" t="s">
        <v>3997</v>
      </c>
      <c r="H572" s="2" t="s">
        <v>647</v>
      </c>
      <c r="I572" s="2" t="s">
        <v>6415</v>
      </c>
    </row>
    <row r="573">
      <c r="A573" s="2" t="s">
        <v>6416</v>
      </c>
      <c r="B573" s="2"/>
      <c r="C573" s="2"/>
      <c r="D573" s="2"/>
      <c r="E573" s="2" t="s">
        <v>6417</v>
      </c>
      <c r="F573" s="2" t="s">
        <v>6418</v>
      </c>
      <c r="G573" s="2" t="s">
        <v>3997</v>
      </c>
      <c r="H573" s="2" t="s">
        <v>647</v>
      </c>
      <c r="I573" s="2" t="s">
        <v>6419</v>
      </c>
    </row>
    <row r="574">
      <c r="A574" s="2" t="s">
        <v>6420</v>
      </c>
      <c r="B574" s="2"/>
      <c r="C574" s="2"/>
      <c r="D574" s="2"/>
      <c r="E574" s="2" t="s">
        <v>6421</v>
      </c>
      <c r="F574" s="2" t="s">
        <v>6422</v>
      </c>
      <c r="G574" s="2" t="s">
        <v>3997</v>
      </c>
      <c r="H574" s="2" t="s">
        <v>647</v>
      </c>
      <c r="I574" s="7" t="s">
        <v>6423</v>
      </c>
    </row>
    <row r="575">
      <c r="A575" s="2" t="s">
        <v>6424</v>
      </c>
      <c r="B575" s="2"/>
      <c r="C575" s="2"/>
      <c r="D575" s="2"/>
      <c r="E575" s="2" t="s">
        <v>6425</v>
      </c>
      <c r="F575" s="2" t="s">
        <v>6426</v>
      </c>
      <c r="G575" s="2" t="s">
        <v>4484</v>
      </c>
      <c r="H575" s="2" t="s">
        <v>6427</v>
      </c>
      <c r="I575" s="2" t="s">
        <v>6428</v>
      </c>
    </row>
    <row r="576">
      <c r="A576" s="2" t="s">
        <v>6429</v>
      </c>
      <c r="B576" s="2"/>
      <c r="C576" s="2"/>
      <c r="D576" s="2"/>
      <c r="E576" s="2" t="s">
        <v>6430</v>
      </c>
      <c r="F576" s="2" t="s">
        <v>6431</v>
      </c>
      <c r="G576" s="2" t="s">
        <v>4497</v>
      </c>
      <c r="H576" s="2" t="s">
        <v>647</v>
      </c>
      <c r="I576" s="2" t="s">
        <v>6432</v>
      </c>
    </row>
    <row r="577">
      <c r="A577" s="2" t="s">
        <v>6433</v>
      </c>
      <c r="B577" s="2"/>
      <c r="C577" s="2"/>
      <c r="D577" s="2"/>
      <c r="E577" s="2" t="s">
        <v>6434</v>
      </c>
      <c r="F577" s="2" t="s">
        <v>6435</v>
      </c>
      <c r="G577" s="2" t="s">
        <v>4484</v>
      </c>
      <c r="H577" s="2" t="s">
        <v>6436</v>
      </c>
      <c r="I577" s="2" t="s">
        <v>6437</v>
      </c>
    </row>
    <row r="578">
      <c r="A578" s="2" t="s">
        <v>6438</v>
      </c>
      <c r="B578" s="2"/>
      <c r="C578" s="2"/>
      <c r="D578" s="2"/>
      <c r="E578" s="2" t="s">
        <v>6439</v>
      </c>
      <c r="F578" s="2" t="s">
        <v>6440</v>
      </c>
      <c r="G578" s="2" t="s">
        <v>4484</v>
      </c>
      <c r="H578" s="2" t="s">
        <v>6441</v>
      </c>
      <c r="I578" s="2" t="s">
        <v>6442</v>
      </c>
    </row>
    <row r="579">
      <c r="A579" s="2" t="s">
        <v>6443</v>
      </c>
      <c r="B579" s="2"/>
      <c r="C579" s="2"/>
      <c r="D579" s="2"/>
      <c r="E579" s="2" t="s">
        <v>6444</v>
      </c>
      <c r="F579" s="2" t="s">
        <v>6445</v>
      </c>
      <c r="G579" s="2" t="s">
        <v>4497</v>
      </c>
      <c r="H579" s="2" t="s">
        <v>647</v>
      </c>
      <c r="I579" s="2" t="s">
        <v>6446</v>
      </c>
    </row>
    <row r="580">
      <c r="A580" s="2" t="s">
        <v>6447</v>
      </c>
      <c r="B580" s="2"/>
      <c r="C580" s="2"/>
      <c r="D580" s="2"/>
      <c r="E580" s="2" t="s">
        <v>6448</v>
      </c>
      <c r="F580" s="2" t="s">
        <v>6449</v>
      </c>
      <c r="G580" s="2" t="s">
        <v>4497</v>
      </c>
      <c r="H580" s="2" t="s">
        <v>647</v>
      </c>
      <c r="I580" s="2" t="s">
        <v>6450</v>
      </c>
    </row>
    <row r="581">
      <c r="A581" s="2" t="s">
        <v>6451</v>
      </c>
      <c r="B581" s="2"/>
      <c r="C581" s="2"/>
      <c r="D581" s="2"/>
      <c r="E581" s="2" t="s">
        <v>6452</v>
      </c>
      <c r="F581" s="2" t="s">
        <v>6453</v>
      </c>
      <c r="G581" s="2" t="s">
        <v>4484</v>
      </c>
      <c r="H581" s="2" t="s">
        <v>647</v>
      </c>
      <c r="I581" s="2" t="s">
        <v>6454</v>
      </c>
    </row>
    <row r="582">
      <c r="A582" s="2" t="s">
        <v>6455</v>
      </c>
      <c r="B582" s="2"/>
      <c r="C582" s="2"/>
      <c r="D582" s="2"/>
      <c r="E582" s="2" t="s">
        <v>6456</v>
      </c>
      <c r="F582" s="2" t="s">
        <v>6457</v>
      </c>
      <c r="G582" s="2" t="s">
        <v>4484</v>
      </c>
      <c r="H582" s="2" t="s">
        <v>6458</v>
      </c>
      <c r="I582" s="2" t="s">
        <v>6459</v>
      </c>
    </row>
    <row r="583">
      <c r="A583" s="2" t="s">
        <v>6460</v>
      </c>
      <c r="B583" s="2"/>
      <c r="C583" s="2"/>
      <c r="D583" s="2"/>
      <c r="E583" s="2" t="s">
        <v>6461</v>
      </c>
      <c r="F583" s="2" t="s">
        <v>6462</v>
      </c>
      <c r="G583" s="2" t="s">
        <v>4484</v>
      </c>
      <c r="H583" s="2" t="s">
        <v>647</v>
      </c>
      <c r="I583" s="2" t="s">
        <v>6463</v>
      </c>
    </row>
    <row r="584">
      <c r="A584" s="2" t="s">
        <v>6464</v>
      </c>
      <c r="B584" s="2"/>
      <c r="C584" s="2"/>
      <c r="D584" s="2"/>
      <c r="E584" s="2" t="s">
        <v>6465</v>
      </c>
      <c r="F584" s="2" t="s">
        <v>6466</v>
      </c>
      <c r="G584" s="2" t="s">
        <v>4497</v>
      </c>
      <c r="H584" s="2" t="s">
        <v>647</v>
      </c>
      <c r="I584" s="2" t="s">
        <v>6467</v>
      </c>
    </row>
    <row r="585">
      <c r="A585" s="2" t="s">
        <v>6468</v>
      </c>
      <c r="B585" s="2"/>
      <c r="C585" s="2"/>
      <c r="D585" s="2"/>
      <c r="E585" s="2" t="s">
        <v>6469</v>
      </c>
      <c r="F585" s="2" t="s">
        <v>6470</v>
      </c>
      <c r="G585" s="2" t="s">
        <v>3957</v>
      </c>
      <c r="H585" s="2" t="s">
        <v>6471</v>
      </c>
      <c r="I585" s="2" t="s">
        <v>6472</v>
      </c>
    </row>
    <row r="586">
      <c r="A586" s="2" t="s">
        <v>6473</v>
      </c>
      <c r="B586" s="2"/>
      <c r="C586" s="2"/>
      <c r="D586" s="2"/>
      <c r="E586" s="2" t="s">
        <v>6474</v>
      </c>
      <c r="F586" s="2" t="s">
        <v>6475</v>
      </c>
      <c r="G586" s="2" t="s">
        <v>4484</v>
      </c>
      <c r="H586" s="2" t="s">
        <v>647</v>
      </c>
      <c r="I586" s="2" t="s">
        <v>6476</v>
      </c>
    </row>
    <row r="587">
      <c r="A587" s="2" t="s">
        <v>6477</v>
      </c>
      <c r="B587" s="2"/>
      <c r="C587" s="2"/>
      <c r="D587" s="2"/>
      <c r="E587" s="2" t="s">
        <v>6478</v>
      </c>
      <c r="F587" s="2" t="s">
        <v>6479</v>
      </c>
      <c r="G587" s="2" t="s">
        <v>4484</v>
      </c>
      <c r="H587" s="2" t="s">
        <v>647</v>
      </c>
      <c r="I587" s="2" t="s">
        <v>6480</v>
      </c>
    </row>
    <row r="588">
      <c r="A588" s="2" t="s">
        <v>6481</v>
      </c>
      <c r="B588" s="2"/>
      <c r="C588" s="2"/>
      <c r="D588" s="2"/>
      <c r="E588" s="2" t="s">
        <v>6482</v>
      </c>
      <c r="F588" s="2" t="s">
        <v>6483</v>
      </c>
      <c r="G588" s="2" t="s">
        <v>3997</v>
      </c>
      <c r="H588" s="2" t="s">
        <v>647</v>
      </c>
      <c r="I588" s="2" t="s">
        <v>6484</v>
      </c>
    </row>
    <row r="589">
      <c r="A589" s="2" t="s">
        <v>6485</v>
      </c>
      <c r="B589" s="2"/>
      <c r="C589" s="2"/>
      <c r="D589" s="2"/>
      <c r="E589" s="2" t="s">
        <v>6486</v>
      </c>
      <c r="F589" s="2" t="s">
        <v>6487</v>
      </c>
      <c r="G589" s="2" t="s">
        <v>3997</v>
      </c>
      <c r="H589" s="2" t="s">
        <v>6488</v>
      </c>
      <c r="I589" s="2" t="s">
        <v>6489</v>
      </c>
    </row>
    <row r="590">
      <c r="A590" s="2" t="s">
        <v>6490</v>
      </c>
      <c r="B590" s="2"/>
      <c r="C590" s="2"/>
      <c r="D590" s="2"/>
      <c r="E590" s="2" t="s">
        <v>6491</v>
      </c>
      <c r="F590" s="2" t="s">
        <v>6492</v>
      </c>
      <c r="G590" s="2" t="s">
        <v>4484</v>
      </c>
      <c r="H590" s="2" t="s">
        <v>647</v>
      </c>
      <c r="I590" s="2" t="s">
        <v>6493</v>
      </c>
    </row>
    <row r="591">
      <c r="A591" s="2" t="s">
        <v>6494</v>
      </c>
      <c r="B591" s="2"/>
      <c r="C591" s="2"/>
      <c r="D591" s="2"/>
      <c r="E591" s="2" t="s">
        <v>6495</v>
      </c>
      <c r="F591" s="2" t="s">
        <v>6496</v>
      </c>
      <c r="G591" s="2" t="s">
        <v>4887</v>
      </c>
      <c r="H591" s="2" t="s">
        <v>647</v>
      </c>
      <c r="I591" s="7" t="s">
        <v>6497</v>
      </c>
    </row>
    <row r="592">
      <c r="A592" s="2" t="s">
        <v>6498</v>
      </c>
      <c r="B592" s="2"/>
      <c r="C592" s="2"/>
      <c r="D592" s="2"/>
      <c r="E592" s="2" t="s">
        <v>6499</v>
      </c>
      <c r="F592" s="2" t="s">
        <v>6500</v>
      </c>
      <c r="G592" s="2" t="s">
        <v>4531</v>
      </c>
      <c r="H592" s="2" t="s">
        <v>6501</v>
      </c>
      <c r="I592" s="2" t="s">
        <v>6502</v>
      </c>
    </row>
    <row r="593">
      <c r="A593" s="2" t="s">
        <v>6503</v>
      </c>
      <c r="B593" s="2"/>
      <c r="C593" s="2"/>
      <c r="D593" s="2"/>
      <c r="E593" s="2" t="s">
        <v>6504</v>
      </c>
      <c r="F593" s="2" t="s">
        <v>6505</v>
      </c>
      <c r="G593" s="2" t="s">
        <v>3997</v>
      </c>
      <c r="H593" s="2" t="s">
        <v>647</v>
      </c>
      <c r="I593" s="2" t="s">
        <v>6506</v>
      </c>
    </row>
    <row r="594">
      <c r="A594" s="2" t="s">
        <v>6507</v>
      </c>
      <c r="B594" s="2"/>
      <c r="C594" s="2"/>
      <c r="D594" s="2"/>
      <c r="E594" s="2" t="s">
        <v>6508</v>
      </c>
      <c r="F594" s="2" t="s">
        <v>6509</v>
      </c>
      <c r="G594" s="2" t="s">
        <v>3997</v>
      </c>
      <c r="H594" s="2" t="s">
        <v>6510</v>
      </c>
      <c r="I594" s="2" t="s">
        <v>6511</v>
      </c>
    </row>
    <row r="595">
      <c r="A595" s="2" t="s">
        <v>6512</v>
      </c>
      <c r="B595" s="2"/>
      <c r="C595" s="2"/>
      <c r="D595" s="2"/>
      <c r="E595" s="2" t="s">
        <v>6513</v>
      </c>
      <c r="F595" s="2" t="s">
        <v>6514</v>
      </c>
      <c r="G595" s="2" t="s">
        <v>4484</v>
      </c>
      <c r="H595" s="2" t="s">
        <v>647</v>
      </c>
      <c r="I595" s="2" t="s">
        <v>6515</v>
      </c>
    </row>
    <row r="596">
      <c r="A596" s="2" t="s">
        <v>6516</v>
      </c>
      <c r="B596" s="2"/>
      <c r="C596" s="2"/>
      <c r="D596" s="2"/>
      <c r="E596" s="2" t="s">
        <v>6517</v>
      </c>
      <c r="F596" s="2" t="s">
        <v>3997</v>
      </c>
      <c r="G596" s="2" t="s">
        <v>3997</v>
      </c>
      <c r="H596" s="2" t="s">
        <v>6518</v>
      </c>
      <c r="I596" s="2" t="s">
        <v>6519</v>
      </c>
    </row>
    <row r="597">
      <c r="A597" s="2" t="s">
        <v>6520</v>
      </c>
      <c r="B597" s="2"/>
      <c r="C597" s="2"/>
      <c r="D597" s="2"/>
      <c r="E597" s="2" t="s">
        <v>6521</v>
      </c>
      <c r="F597" s="2" t="s">
        <v>6522</v>
      </c>
      <c r="G597" s="2" t="s">
        <v>3997</v>
      </c>
      <c r="H597" s="2" t="s">
        <v>647</v>
      </c>
      <c r="I597" s="2" t="s">
        <v>6523</v>
      </c>
    </row>
    <row r="598">
      <c r="A598" s="2" t="s">
        <v>6524</v>
      </c>
      <c r="B598" s="2"/>
      <c r="C598" s="2"/>
      <c r="D598" s="2"/>
      <c r="E598" s="2" t="s">
        <v>6525</v>
      </c>
      <c r="F598" s="2" t="s">
        <v>6526</v>
      </c>
      <c r="G598" s="2" t="s">
        <v>4484</v>
      </c>
      <c r="H598" s="2" t="s">
        <v>6527</v>
      </c>
      <c r="I598" s="2" t="s">
        <v>6528</v>
      </c>
    </row>
    <row r="599">
      <c r="A599" s="2" t="s">
        <v>6529</v>
      </c>
      <c r="B599" s="2"/>
      <c r="C599" s="2"/>
      <c r="D599" s="2"/>
      <c r="E599" s="2" t="s">
        <v>6530</v>
      </c>
      <c r="F599" s="2" t="s">
        <v>6531</v>
      </c>
      <c r="G599" s="2" t="s">
        <v>4484</v>
      </c>
      <c r="H599" s="2" t="s">
        <v>647</v>
      </c>
      <c r="I599" s="2" t="s">
        <v>6532</v>
      </c>
    </row>
    <row r="600">
      <c r="A600" s="2" t="s">
        <v>6533</v>
      </c>
      <c r="B600" s="2"/>
      <c r="C600" s="2"/>
      <c r="D600" s="2"/>
      <c r="E600" s="2" t="s">
        <v>6534</v>
      </c>
      <c r="F600" s="2" t="s">
        <v>6535</v>
      </c>
      <c r="G600" s="2" t="s">
        <v>3997</v>
      </c>
      <c r="H600" s="2" t="s">
        <v>647</v>
      </c>
      <c r="I600" s="2" t="s">
        <v>6536</v>
      </c>
    </row>
    <row r="601">
      <c r="A601" s="2" t="s">
        <v>6537</v>
      </c>
      <c r="B601" s="2"/>
      <c r="C601" s="2"/>
      <c r="D601" s="2"/>
      <c r="E601" s="2" t="s">
        <v>6538</v>
      </c>
      <c r="F601" s="2" t="s">
        <v>3997</v>
      </c>
      <c r="G601" s="2" t="s">
        <v>4531</v>
      </c>
      <c r="H601" s="2" t="s">
        <v>647</v>
      </c>
      <c r="I601" s="2" t="s">
        <v>6539</v>
      </c>
    </row>
    <row r="602">
      <c r="A602" s="2" t="s">
        <v>6540</v>
      </c>
      <c r="B602" s="2"/>
      <c r="C602" s="2"/>
      <c r="D602" s="2"/>
      <c r="E602" s="2" t="s">
        <v>6541</v>
      </c>
      <c r="F602" s="2" t="s">
        <v>6542</v>
      </c>
      <c r="G602" s="2" t="s">
        <v>4531</v>
      </c>
      <c r="H602" s="2" t="s">
        <v>6543</v>
      </c>
      <c r="I602" s="2" t="s">
        <v>6544</v>
      </c>
    </row>
    <row r="603">
      <c r="A603" s="2" t="s">
        <v>6545</v>
      </c>
      <c r="B603" s="2"/>
      <c r="C603" s="2"/>
      <c r="D603" s="2"/>
      <c r="E603" s="2" t="s">
        <v>6546</v>
      </c>
      <c r="F603" s="2" t="s">
        <v>6547</v>
      </c>
      <c r="G603" s="2" t="s">
        <v>4484</v>
      </c>
      <c r="H603" s="2" t="s">
        <v>647</v>
      </c>
      <c r="I603" s="7" t="s">
        <v>6548</v>
      </c>
    </row>
    <row r="604">
      <c r="A604" s="2" t="s">
        <v>6549</v>
      </c>
      <c r="B604" s="2"/>
      <c r="C604" s="2"/>
      <c r="D604" s="2"/>
      <c r="E604" s="2" t="s">
        <v>6550</v>
      </c>
      <c r="F604" s="2" t="s">
        <v>6551</v>
      </c>
      <c r="G604" s="2" t="s">
        <v>4484</v>
      </c>
      <c r="H604" s="2" t="s">
        <v>6552</v>
      </c>
      <c r="I604" s="2" t="s">
        <v>6553</v>
      </c>
    </row>
    <row r="605">
      <c r="A605" s="2" t="s">
        <v>6554</v>
      </c>
      <c r="B605" s="2"/>
      <c r="C605" s="2"/>
      <c r="D605" s="2"/>
      <c r="E605" s="2" t="s">
        <v>6555</v>
      </c>
      <c r="F605" s="2" t="s">
        <v>6556</v>
      </c>
      <c r="G605" s="2" t="s">
        <v>4484</v>
      </c>
      <c r="H605" s="2" t="s">
        <v>647</v>
      </c>
      <c r="I605" s="2" t="s">
        <v>6557</v>
      </c>
    </row>
    <row r="606">
      <c r="A606" s="2" t="s">
        <v>6558</v>
      </c>
      <c r="B606" s="2"/>
      <c r="C606" s="2"/>
      <c r="D606" s="2"/>
      <c r="E606" s="2" t="s">
        <v>6559</v>
      </c>
      <c r="F606" s="2" t="s">
        <v>6560</v>
      </c>
      <c r="G606" s="2" t="s">
        <v>3997</v>
      </c>
      <c r="H606" s="2" t="s">
        <v>647</v>
      </c>
      <c r="I606" s="2" t="s">
        <v>6561</v>
      </c>
    </row>
    <row r="607">
      <c r="A607" s="2" t="s">
        <v>6562</v>
      </c>
      <c r="B607" s="2"/>
      <c r="C607" s="2"/>
      <c r="D607" s="2"/>
      <c r="E607" s="2" t="s">
        <v>6563</v>
      </c>
      <c r="F607" s="2" t="s">
        <v>6564</v>
      </c>
      <c r="G607" s="2" t="s">
        <v>4484</v>
      </c>
      <c r="H607" s="2" t="s">
        <v>647</v>
      </c>
      <c r="I607" s="2" t="s">
        <v>6565</v>
      </c>
    </row>
    <row r="608">
      <c r="A608" s="2" t="s">
        <v>6566</v>
      </c>
      <c r="B608" s="2"/>
      <c r="C608" s="2"/>
      <c r="D608" s="2"/>
      <c r="E608" s="2" t="s">
        <v>6567</v>
      </c>
      <c r="F608" s="2" t="s">
        <v>6568</v>
      </c>
      <c r="G608" s="2" t="s">
        <v>4497</v>
      </c>
      <c r="H608" s="2" t="s">
        <v>647</v>
      </c>
      <c r="I608" s="2" t="s">
        <v>6569</v>
      </c>
    </row>
    <row r="609">
      <c r="A609" s="2" t="s">
        <v>6570</v>
      </c>
      <c r="B609" s="2"/>
      <c r="C609" s="2"/>
      <c r="D609" s="2"/>
      <c r="E609" s="2" t="s">
        <v>6571</v>
      </c>
      <c r="F609" s="2" t="s">
        <v>6572</v>
      </c>
      <c r="G609" s="2" t="s">
        <v>4484</v>
      </c>
      <c r="H609" s="2" t="s">
        <v>647</v>
      </c>
      <c r="I609" s="2" t="s">
        <v>6573</v>
      </c>
    </row>
    <row r="610">
      <c r="A610" s="2" t="s">
        <v>6574</v>
      </c>
      <c r="B610" s="2"/>
      <c r="C610" s="2"/>
      <c r="D610" s="2"/>
      <c r="E610" s="2" t="s">
        <v>6575</v>
      </c>
      <c r="F610" s="2" t="s">
        <v>6576</v>
      </c>
      <c r="G610" s="2" t="s">
        <v>4484</v>
      </c>
      <c r="H610" s="2" t="s">
        <v>6577</v>
      </c>
      <c r="I610" s="2" t="s">
        <v>6578</v>
      </c>
    </row>
    <row r="611">
      <c r="A611" s="2" t="s">
        <v>6579</v>
      </c>
      <c r="B611" s="2"/>
      <c r="C611" s="2"/>
      <c r="D611" s="2"/>
      <c r="E611" s="2" t="s">
        <v>6580</v>
      </c>
      <c r="F611" s="2" t="s">
        <v>6581</v>
      </c>
      <c r="G611" s="2" t="s">
        <v>4497</v>
      </c>
      <c r="H611" s="2" t="s">
        <v>6582</v>
      </c>
      <c r="I611" s="2" t="s">
        <v>6583</v>
      </c>
    </row>
    <row r="612">
      <c r="A612" s="2" t="s">
        <v>6584</v>
      </c>
      <c r="B612" s="2"/>
      <c r="C612" s="2"/>
      <c r="D612" s="2"/>
      <c r="E612" s="2" t="s">
        <v>6585</v>
      </c>
      <c r="F612" s="2" t="s">
        <v>6586</v>
      </c>
      <c r="G612" s="2" t="s">
        <v>4484</v>
      </c>
      <c r="H612" s="2" t="s">
        <v>647</v>
      </c>
      <c r="I612" s="2" t="s">
        <v>6587</v>
      </c>
    </row>
    <row r="613">
      <c r="A613" s="2" t="s">
        <v>6588</v>
      </c>
      <c r="B613" s="2"/>
      <c r="C613" s="2"/>
      <c r="D613" s="2"/>
      <c r="E613" s="7" t="s">
        <v>6589</v>
      </c>
      <c r="F613" s="2" t="s">
        <v>6590</v>
      </c>
      <c r="G613" s="2" t="s">
        <v>4484</v>
      </c>
      <c r="H613" s="2" t="s">
        <v>647</v>
      </c>
      <c r="I613" s="2" t="s">
        <v>6591</v>
      </c>
    </row>
    <row r="614">
      <c r="A614" s="2" t="s">
        <v>6592</v>
      </c>
      <c r="B614" s="2"/>
      <c r="C614" s="2"/>
      <c r="D614" s="2"/>
      <c r="E614" s="2" t="s">
        <v>6593</v>
      </c>
      <c r="F614" s="2" t="s">
        <v>6594</v>
      </c>
      <c r="G614" s="2" t="s">
        <v>4484</v>
      </c>
      <c r="H614" s="2" t="s">
        <v>6595</v>
      </c>
      <c r="I614" s="2" t="s">
        <v>6596</v>
      </c>
    </row>
    <row r="615">
      <c r="A615" s="2" t="s">
        <v>6597</v>
      </c>
      <c r="B615" s="2"/>
      <c r="C615" s="2"/>
      <c r="D615" s="2"/>
      <c r="E615" s="2" t="s">
        <v>6598</v>
      </c>
      <c r="F615" s="2" t="s">
        <v>6599</v>
      </c>
      <c r="G615" s="2" t="s">
        <v>3997</v>
      </c>
      <c r="H615" s="2" t="s">
        <v>647</v>
      </c>
      <c r="I615" s="2" t="s">
        <v>6600</v>
      </c>
    </row>
    <row r="616">
      <c r="A616" s="2" t="s">
        <v>6601</v>
      </c>
      <c r="B616" s="2"/>
      <c r="C616" s="2"/>
      <c r="D616" s="2"/>
      <c r="E616" s="2" t="s">
        <v>6602</v>
      </c>
      <c r="F616" s="2" t="s">
        <v>6603</v>
      </c>
      <c r="G616" s="2" t="s">
        <v>4484</v>
      </c>
      <c r="H616" s="2" t="s">
        <v>647</v>
      </c>
      <c r="I616" s="2" t="s">
        <v>6604</v>
      </c>
    </row>
    <row r="617">
      <c r="A617" s="2" t="s">
        <v>6605</v>
      </c>
      <c r="B617" s="2"/>
      <c r="C617" s="2"/>
      <c r="D617" s="2"/>
      <c r="E617" s="2" t="s">
        <v>6606</v>
      </c>
      <c r="F617" s="2" t="s">
        <v>6607</v>
      </c>
      <c r="G617" s="2" t="s">
        <v>4484</v>
      </c>
      <c r="H617" s="2" t="s">
        <v>6608</v>
      </c>
      <c r="I617" s="2" t="s">
        <v>6609</v>
      </c>
    </row>
    <row r="618">
      <c r="A618" s="2" t="s">
        <v>6610</v>
      </c>
      <c r="B618" s="2"/>
      <c r="C618" s="2"/>
      <c r="D618" s="2"/>
      <c r="E618" s="2" t="s">
        <v>6611</v>
      </c>
      <c r="F618" s="2" t="s">
        <v>6612</v>
      </c>
      <c r="G618" s="2" t="s">
        <v>4531</v>
      </c>
      <c r="H618" s="2" t="s">
        <v>647</v>
      </c>
      <c r="I618" s="2" t="s">
        <v>6613</v>
      </c>
    </row>
    <row r="619">
      <c r="A619" s="2" t="s">
        <v>6614</v>
      </c>
      <c r="B619" s="2"/>
      <c r="C619" s="2"/>
      <c r="D619" s="2"/>
      <c r="E619" s="2" t="s">
        <v>6615</v>
      </c>
      <c r="F619" s="2" t="s">
        <v>6616</v>
      </c>
      <c r="G619" s="2" t="s">
        <v>4531</v>
      </c>
      <c r="H619" s="2" t="s">
        <v>6617</v>
      </c>
      <c r="I619" s="2" t="s">
        <v>6618</v>
      </c>
    </row>
    <row r="620">
      <c r="A620" s="2" t="s">
        <v>6619</v>
      </c>
      <c r="B620" s="2"/>
      <c r="C620" s="2"/>
      <c r="D620" s="2"/>
      <c r="E620" s="2" t="s">
        <v>6620</v>
      </c>
      <c r="F620" s="2" t="s">
        <v>6621</v>
      </c>
      <c r="G620" s="2" t="s">
        <v>3997</v>
      </c>
      <c r="H620" s="2" t="s">
        <v>647</v>
      </c>
      <c r="I620" s="2" t="s">
        <v>6622</v>
      </c>
    </row>
    <row r="621">
      <c r="A621" s="2" t="s">
        <v>6623</v>
      </c>
      <c r="B621" s="2"/>
      <c r="C621" s="2"/>
      <c r="D621" s="2"/>
      <c r="E621" s="2" t="s">
        <v>6624</v>
      </c>
      <c r="F621" s="2" t="s">
        <v>6625</v>
      </c>
      <c r="G621" s="2" t="s">
        <v>4484</v>
      </c>
      <c r="H621" s="2" t="s">
        <v>6626</v>
      </c>
      <c r="I621" s="2" t="s">
        <v>6627</v>
      </c>
    </row>
    <row r="622">
      <c r="A622" s="2" t="s">
        <v>6628</v>
      </c>
      <c r="B622" s="2"/>
      <c r="C622" s="2"/>
      <c r="D622" s="2"/>
      <c r="E622" s="2" t="s">
        <v>6629</v>
      </c>
      <c r="F622" s="2" t="s">
        <v>6630</v>
      </c>
      <c r="G622" s="2" t="s">
        <v>4531</v>
      </c>
      <c r="H622" s="2" t="s">
        <v>6631</v>
      </c>
      <c r="I622" s="2" t="s">
        <v>6632</v>
      </c>
    </row>
    <row r="623">
      <c r="A623" s="2" t="s">
        <v>6633</v>
      </c>
      <c r="B623" s="2"/>
      <c r="C623" s="2"/>
      <c r="D623" s="2"/>
      <c r="E623" s="2" t="s">
        <v>6634</v>
      </c>
      <c r="F623" s="2" t="s">
        <v>6635</v>
      </c>
      <c r="G623" s="2" t="s">
        <v>4484</v>
      </c>
      <c r="H623" s="2" t="s">
        <v>647</v>
      </c>
      <c r="I623" s="7" t="s">
        <v>6636</v>
      </c>
    </row>
    <row r="624">
      <c r="A624" s="2" t="s">
        <v>6637</v>
      </c>
      <c r="B624" s="2"/>
      <c r="C624" s="2"/>
      <c r="D624" s="2"/>
      <c r="E624" s="2" t="s">
        <v>6638</v>
      </c>
      <c r="F624" s="2" t="s">
        <v>3997</v>
      </c>
      <c r="G624" s="2" t="s">
        <v>3997</v>
      </c>
      <c r="H624" s="2" t="s">
        <v>647</v>
      </c>
      <c r="I624" s="7" t="s">
        <v>6639</v>
      </c>
    </row>
    <row r="625">
      <c r="A625" s="2" t="s">
        <v>6640</v>
      </c>
      <c r="B625" s="2"/>
      <c r="C625" s="2"/>
      <c r="D625" s="2"/>
      <c r="E625" s="2" t="s">
        <v>6641</v>
      </c>
      <c r="F625" s="2" t="s">
        <v>6642</v>
      </c>
      <c r="G625" s="2" t="s">
        <v>4484</v>
      </c>
      <c r="H625" s="2" t="s">
        <v>6643</v>
      </c>
      <c r="I625" s="2" t="s">
        <v>6644</v>
      </c>
    </row>
    <row r="626">
      <c r="A626" s="2" t="s">
        <v>6645</v>
      </c>
      <c r="B626" s="2"/>
      <c r="C626" s="2"/>
      <c r="D626" s="2"/>
      <c r="E626" s="2" t="s">
        <v>6646</v>
      </c>
      <c r="F626" s="2" t="s">
        <v>6647</v>
      </c>
      <c r="G626" s="2" t="s">
        <v>4484</v>
      </c>
      <c r="H626" s="2" t="s">
        <v>6648</v>
      </c>
      <c r="I626" s="2" t="s">
        <v>6649</v>
      </c>
    </row>
    <row r="627">
      <c r="A627" s="2" t="s">
        <v>6650</v>
      </c>
      <c r="B627" s="2"/>
      <c r="C627" s="2"/>
      <c r="D627" s="2"/>
      <c r="E627" s="2" t="s">
        <v>6651</v>
      </c>
      <c r="F627" s="2" t="s">
        <v>6652</v>
      </c>
      <c r="G627" s="2" t="s">
        <v>4484</v>
      </c>
      <c r="H627" s="2" t="s">
        <v>6653</v>
      </c>
      <c r="I627" s="2" t="s">
        <v>6654</v>
      </c>
    </row>
    <row r="628">
      <c r="A628" s="2" t="s">
        <v>6655</v>
      </c>
      <c r="B628" s="2"/>
      <c r="C628" s="2"/>
      <c r="D628" s="2"/>
      <c r="E628" s="2" t="s">
        <v>6656</v>
      </c>
      <c r="F628" s="2" t="s">
        <v>6657</v>
      </c>
      <c r="G628" s="2" t="s">
        <v>4497</v>
      </c>
      <c r="H628" s="2" t="s">
        <v>647</v>
      </c>
      <c r="I628" s="2" t="s">
        <v>6658</v>
      </c>
    </row>
    <row r="629">
      <c r="A629" s="2" t="s">
        <v>6659</v>
      </c>
      <c r="B629" s="2"/>
      <c r="C629" s="2"/>
      <c r="D629" s="2"/>
      <c r="E629" s="2" t="s">
        <v>6660</v>
      </c>
      <c r="F629" s="2" t="s">
        <v>6661</v>
      </c>
      <c r="G629" s="2" t="s">
        <v>4484</v>
      </c>
      <c r="H629" s="2" t="s">
        <v>647</v>
      </c>
      <c r="I629" s="2" t="s">
        <v>6662</v>
      </c>
    </row>
    <row r="630">
      <c r="A630" s="2" t="s">
        <v>6663</v>
      </c>
      <c r="B630" s="2"/>
      <c r="C630" s="2"/>
      <c r="D630" s="2"/>
      <c r="E630" s="2" t="s">
        <v>6664</v>
      </c>
      <c r="F630" s="2" t="s">
        <v>6665</v>
      </c>
      <c r="G630" s="2" t="s">
        <v>3997</v>
      </c>
      <c r="H630" s="2" t="s">
        <v>647</v>
      </c>
      <c r="I630" s="2" t="s">
        <v>6666</v>
      </c>
    </row>
    <row r="631">
      <c r="A631" s="2" t="s">
        <v>6667</v>
      </c>
      <c r="B631" s="2"/>
      <c r="C631" s="2"/>
      <c r="D631" s="2"/>
      <c r="E631" s="7" t="s">
        <v>6668</v>
      </c>
      <c r="F631" s="2" t="s">
        <v>6669</v>
      </c>
      <c r="G631" s="2" t="s">
        <v>3997</v>
      </c>
      <c r="H631" s="2">
        <v>3.0</v>
      </c>
      <c r="I631" s="2" t="s">
        <v>6670</v>
      </c>
    </row>
    <row r="632">
      <c r="A632" s="2" t="s">
        <v>6671</v>
      </c>
      <c r="B632" s="2"/>
      <c r="C632" s="2"/>
      <c r="D632" s="2"/>
      <c r="E632" s="2" t="s">
        <v>6672</v>
      </c>
      <c r="F632" s="2" t="s">
        <v>6673</v>
      </c>
      <c r="G632" s="2" t="s">
        <v>4531</v>
      </c>
      <c r="H632" s="2" t="s">
        <v>6674</v>
      </c>
      <c r="I632" s="2" t="s">
        <v>6675</v>
      </c>
    </row>
    <row r="633">
      <c r="A633" s="2" t="s">
        <v>6676</v>
      </c>
      <c r="B633" s="2"/>
      <c r="C633" s="2"/>
      <c r="D633" s="2"/>
      <c r="E633" s="2" t="s">
        <v>6677</v>
      </c>
      <c r="F633" s="2" t="s">
        <v>6678</v>
      </c>
      <c r="G633" s="2" t="s">
        <v>4531</v>
      </c>
      <c r="H633" s="2" t="s">
        <v>6679</v>
      </c>
      <c r="I633" s="2" t="s">
        <v>6680</v>
      </c>
    </row>
    <row r="634">
      <c r="A634" s="2" t="s">
        <v>6681</v>
      </c>
      <c r="B634" s="2"/>
      <c r="C634" s="2"/>
      <c r="D634" s="2"/>
      <c r="E634" s="2" t="s">
        <v>6682</v>
      </c>
      <c r="F634" s="2" t="s">
        <v>6683</v>
      </c>
      <c r="G634" s="2" t="s">
        <v>4484</v>
      </c>
      <c r="H634" s="2" t="s">
        <v>647</v>
      </c>
      <c r="I634" s="2" t="s">
        <v>6684</v>
      </c>
    </row>
    <row r="635">
      <c r="A635" s="2" t="s">
        <v>6685</v>
      </c>
      <c r="B635" s="2"/>
      <c r="C635" s="2"/>
      <c r="D635" s="2"/>
      <c r="E635" s="2" t="s">
        <v>6686</v>
      </c>
      <c r="F635" s="2" t="s">
        <v>6687</v>
      </c>
      <c r="G635" s="2" t="s">
        <v>4531</v>
      </c>
      <c r="H635" s="2" t="s">
        <v>6688</v>
      </c>
      <c r="I635" s="2" t="s">
        <v>6689</v>
      </c>
    </row>
    <row r="636">
      <c r="A636" s="2" t="s">
        <v>6690</v>
      </c>
      <c r="B636" s="2"/>
      <c r="C636" s="2"/>
      <c r="D636" s="2"/>
      <c r="E636" s="2" t="s">
        <v>6691</v>
      </c>
      <c r="F636" s="2" t="s">
        <v>6692</v>
      </c>
      <c r="G636" s="2" t="s">
        <v>4484</v>
      </c>
      <c r="H636" s="2" t="s">
        <v>647</v>
      </c>
      <c r="I636" s="2" t="s">
        <v>6693</v>
      </c>
    </row>
    <row r="637">
      <c r="A637" s="2" t="s">
        <v>6694</v>
      </c>
      <c r="B637" s="2"/>
      <c r="C637" s="2"/>
      <c r="D637" s="2"/>
      <c r="E637" s="2" t="s">
        <v>6695</v>
      </c>
      <c r="F637" s="2" t="s">
        <v>6696</v>
      </c>
      <c r="G637" s="2" t="s">
        <v>4484</v>
      </c>
      <c r="H637" s="2" t="s">
        <v>647</v>
      </c>
      <c r="I637" s="2" t="s">
        <v>6697</v>
      </c>
    </row>
    <row r="638">
      <c r="A638" s="2" t="s">
        <v>6698</v>
      </c>
      <c r="B638" s="2"/>
      <c r="C638" s="2"/>
      <c r="D638" s="2"/>
      <c r="E638" s="2" t="s">
        <v>6699</v>
      </c>
      <c r="F638" s="2" t="s">
        <v>6700</v>
      </c>
      <c r="G638" s="2" t="s">
        <v>3997</v>
      </c>
      <c r="H638" s="2" t="s">
        <v>647</v>
      </c>
      <c r="I638" s="2" t="s">
        <v>6701</v>
      </c>
    </row>
    <row r="639">
      <c r="A639" s="2" t="s">
        <v>6702</v>
      </c>
      <c r="B639" s="2"/>
      <c r="C639" s="2"/>
      <c r="D639" s="2"/>
      <c r="E639" s="2" t="s">
        <v>6703</v>
      </c>
      <c r="F639" s="2" t="s">
        <v>6704</v>
      </c>
      <c r="G639" s="2" t="s">
        <v>4484</v>
      </c>
      <c r="H639" s="2" t="s">
        <v>647</v>
      </c>
      <c r="I639" s="2" t="s">
        <v>6705</v>
      </c>
    </row>
    <row r="640">
      <c r="A640" s="2" t="s">
        <v>6706</v>
      </c>
      <c r="B640" s="2"/>
      <c r="C640" s="2"/>
      <c r="D640" s="2"/>
      <c r="E640" s="2" t="s">
        <v>6707</v>
      </c>
      <c r="F640" s="2" t="s">
        <v>6708</v>
      </c>
      <c r="G640" s="2" t="s">
        <v>4531</v>
      </c>
      <c r="H640" s="2" t="s">
        <v>6709</v>
      </c>
      <c r="I640" s="2" t="s">
        <v>6710</v>
      </c>
    </row>
    <row r="641">
      <c r="A641" s="2" t="s">
        <v>6711</v>
      </c>
      <c r="B641" s="2"/>
      <c r="C641" s="2"/>
      <c r="D641" s="2"/>
      <c r="E641" s="2" t="s">
        <v>6712</v>
      </c>
      <c r="F641" s="2" t="s">
        <v>6713</v>
      </c>
      <c r="G641" s="2" t="s">
        <v>4484</v>
      </c>
      <c r="H641" s="2" t="s">
        <v>647</v>
      </c>
      <c r="I641" s="2" t="s">
        <v>6714</v>
      </c>
    </row>
    <row r="642">
      <c r="A642" s="2" t="s">
        <v>6715</v>
      </c>
      <c r="B642" s="2"/>
      <c r="C642" s="2"/>
      <c r="D642" s="2"/>
      <c r="E642" s="2" t="s">
        <v>6716</v>
      </c>
      <c r="F642" s="2" t="s">
        <v>6717</v>
      </c>
      <c r="G642" s="2" t="s">
        <v>4497</v>
      </c>
      <c r="H642" s="2" t="s">
        <v>647</v>
      </c>
      <c r="I642" s="2" t="s">
        <v>6718</v>
      </c>
    </row>
    <row r="643">
      <c r="A643" s="2" t="s">
        <v>6719</v>
      </c>
      <c r="B643" s="2"/>
      <c r="C643" s="2"/>
      <c r="D643" s="2"/>
      <c r="E643" s="2" t="s">
        <v>6720</v>
      </c>
      <c r="F643" s="2" t="s">
        <v>6721</v>
      </c>
      <c r="G643" s="2" t="s">
        <v>3997</v>
      </c>
      <c r="H643" s="2" t="s">
        <v>647</v>
      </c>
      <c r="I643" s="2" t="s">
        <v>6722</v>
      </c>
    </row>
    <row r="644">
      <c r="A644" s="2" t="s">
        <v>6723</v>
      </c>
      <c r="B644" s="2"/>
      <c r="C644" s="2"/>
      <c r="D644" s="2"/>
      <c r="E644" s="2" t="s">
        <v>6724</v>
      </c>
      <c r="F644" s="2" t="s">
        <v>6725</v>
      </c>
      <c r="G644" s="2" t="s">
        <v>4484</v>
      </c>
      <c r="H644" s="2" t="s">
        <v>647</v>
      </c>
      <c r="I644" s="2" t="s">
        <v>6726</v>
      </c>
    </row>
    <row r="645">
      <c r="A645" s="2" t="s">
        <v>6727</v>
      </c>
      <c r="B645" s="2"/>
      <c r="C645" s="2"/>
      <c r="D645" s="2"/>
      <c r="E645" s="2" t="s">
        <v>6728</v>
      </c>
      <c r="F645" s="2" t="s">
        <v>3997</v>
      </c>
      <c r="G645" s="2" t="s">
        <v>4497</v>
      </c>
      <c r="H645" s="2" t="s">
        <v>6729</v>
      </c>
      <c r="I645" s="2" t="s">
        <v>6730</v>
      </c>
    </row>
    <row r="646">
      <c r="A646" s="2" t="s">
        <v>6731</v>
      </c>
      <c r="B646" s="2"/>
      <c r="C646" s="2"/>
      <c r="D646" s="2"/>
      <c r="E646" s="2" t="s">
        <v>6732</v>
      </c>
      <c r="F646" s="2" t="s">
        <v>6733</v>
      </c>
      <c r="G646" s="2" t="s">
        <v>3997</v>
      </c>
      <c r="H646" s="2" t="s">
        <v>647</v>
      </c>
      <c r="I646" s="2" t="s">
        <v>6734</v>
      </c>
    </row>
    <row r="647">
      <c r="A647" s="2" t="s">
        <v>6735</v>
      </c>
      <c r="B647" s="2"/>
      <c r="C647" s="2"/>
      <c r="D647" s="2"/>
      <c r="E647" s="2" t="s">
        <v>6736</v>
      </c>
      <c r="F647" s="2" t="s">
        <v>6737</v>
      </c>
      <c r="G647" s="2" t="s">
        <v>4531</v>
      </c>
      <c r="H647" s="2" t="s">
        <v>6738</v>
      </c>
      <c r="I647" s="2" t="s">
        <v>6739</v>
      </c>
    </row>
    <row r="648">
      <c r="A648" s="2" t="s">
        <v>6740</v>
      </c>
      <c r="B648" s="2"/>
      <c r="C648" s="2"/>
      <c r="D648" s="2"/>
      <c r="E648" s="2" t="s">
        <v>6741</v>
      </c>
      <c r="F648" s="2" t="s">
        <v>6742</v>
      </c>
      <c r="G648" s="2" t="s">
        <v>4531</v>
      </c>
      <c r="H648" s="2" t="s">
        <v>6743</v>
      </c>
      <c r="I648" s="2" t="s">
        <v>6744</v>
      </c>
    </row>
    <row r="649">
      <c r="A649" s="2" t="s">
        <v>6745</v>
      </c>
      <c r="B649" s="2"/>
      <c r="C649" s="2"/>
      <c r="D649" s="2"/>
      <c r="E649" s="2" t="s">
        <v>6746</v>
      </c>
      <c r="F649" s="2" t="s">
        <v>6747</v>
      </c>
      <c r="G649" s="2" t="s">
        <v>3997</v>
      </c>
      <c r="H649" s="2" t="s">
        <v>647</v>
      </c>
      <c r="I649" s="2" t="s">
        <v>6748</v>
      </c>
    </row>
    <row r="650">
      <c r="A650" s="2" t="s">
        <v>6749</v>
      </c>
      <c r="B650" s="2"/>
      <c r="C650" s="2"/>
      <c r="D650" s="2"/>
      <c r="E650" s="2" t="s">
        <v>6750</v>
      </c>
      <c r="F650" s="2" t="s">
        <v>6751</v>
      </c>
      <c r="G650" s="2" t="s">
        <v>4484</v>
      </c>
      <c r="H650" s="2" t="s">
        <v>6752</v>
      </c>
      <c r="I650" s="2" t="s">
        <v>6753</v>
      </c>
    </row>
    <row r="651">
      <c r="A651" s="2" t="s">
        <v>6754</v>
      </c>
      <c r="B651" s="2"/>
      <c r="C651" s="2"/>
      <c r="D651" s="2"/>
      <c r="E651" s="2" t="s">
        <v>6755</v>
      </c>
      <c r="F651" s="2" t="s">
        <v>6756</v>
      </c>
      <c r="G651" s="2" t="s">
        <v>4484</v>
      </c>
      <c r="H651" s="2" t="s">
        <v>6757</v>
      </c>
      <c r="I651" s="2" t="s">
        <v>6758</v>
      </c>
    </row>
    <row r="652">
      <c r="A652" s="2" t="s">
        <v>6759</v>
      </c>
      <c r="B652" s="2"/>
      <c r="C652" s="2"/>
      <c r="D652" s="2"/>
      <c r="E652" s="2" t="s">
        <v>6760</v>
      </c>
      <c r="F652" s="2" t="s">
        <v>6761</v>
      </c>
      <c r="G652" s="2" t="s">
        <v>4497</v>
      </c>
      <c r="H652" s="2" t="s">
        <v>647</v>
      </c>
      <c r="I652" s="2" t="s">
        <v>6762</v>
      </c>
    </row>
    <row r="653">
      <c r="A653" s="2" t="s">
        <v>6763</v>
      </c>
      <c r="B653" s="2"/>
      <c r="C653" s="2"/>
      <c r="D653" s="2"/>
      <c r="E653" s="2" t="s">
        <v>6764</v>
      </c>
      <c r="F653" s="2" t="s">
        <v>3997</v>
      </c>
      <c r="G653" s="2" t="s">
        <v>4497</v>
      </c>
      <c r="H653" s="2" t="s">
        <v>647</v>
      </c>
      <c r="I653" s="7" t="s">
        <v>6765</v>
      </c>
    </row>
    <row r="654">
      <c r="A654" s="2" t="s">
        <v>6766</v>
      </c>
      <c r="B654" s="2"/>
      <c r="C654" s="2"/>
      <c r="D654" s="2"/>
      <c r="E654" s="2" t="s">
        <v>6767</v>
      </c>
      <c r="F654" s="2" t="s">
        <v>3997</v>
      </c>
      <c r="G654" s="2" t="s">
        <v>3997</v>
      </c>
      <c r="H654" s="2" t="s">
        <v>647</v>
      </c>
      <c r="I654" s="7" t="s">
        <v>6768</v>
      </c>
    </row>
    <row r="655">
      <c r="A655" s="2" t="s">
        <v>6769</v>
      </c>
      <c r="B655" s="2"/>
      <c r="C655" s="2"/>
      <c r="D655" s="2"/>
      <c r="E655" s="2" t="s">
        <v>6770</v>
      </c>
      <c r="F655" s="2" t="s">
        <v>6771</v>
      </c>
      <c r="G655" s="2" t="s">
        <v>4484</v>
      </c>
      <c r="H655" s="2" t="s">
        <v>6772</v>
      </c>
      <c r="I655" s="2" t="s">
        <v>6773</v>
      </c>
    </row>
    <row r="656">
      <c r="A656" s="2" t="s">
        <v>6774</v>
      </c>
      <c r="B656" s="2"/>
      <c r="C656" s="2"/>
      <c r="D656" s="2"/>
      <c r="E656" s="2" t="s">
        <v>6775</v>
      </c>
      <c r="F656" s="2" t="s">
        <v>6776</v>
      </c>
      <c r="G656" s="2" t="s">
        <v>3997</v>
      </c>
      <c r="H656" s="2" t="s">
        <v>6777</v>
      </c>
      <c r="I656" s="2" t="s">
        <v>6778</v>
      </c>
    </row>
    <row r="657">
      <c r="A657" s="2" t="s">
        <v>6779</v>
      </c>
      <c r="B657" s="2"/>
      <c r="C657" s="2"/>
      <c r="D657" s="2"/>
      <c r="E657" s="2" t="s">
        <v>6780</v>
      </c>
      <c r="F657" s="2" t="s">
        <v>6781</v>
      </c>
      <c r="G657" s="2" t="s">
        <v>4497</v>
      </c>
      <c r="H657" s="2" t="s">
        <v>647</v>
      </c>
      <c r="I657" s="2" t="s">
        <v>6782</v>
      </c>
    </row>
    <row r="658">
      <c r="A658" s="2" t="s">
        <v>6783</v>
      </c>
      <c r="B658" s="2"/>
      <c r="C658" s="2"/>
      <c r="D658" s="2"/>
      <c r="E658" s="7" t="s">
        <v>6784</v>
      </c>
      <c r="F658" s="2" t="s">
        <v>6785</v>
      </c>
      <c r="G658" s="2" t="s">
        <v>4531</v>
      </c>
      <c r="H658" s="2" t="s">
        <v>6786</v>
      </c>
      <c r="I658" s="2" t="s">
        <v>6787</v>
      </c>
    </row>
    <row r="659">
      <c r="A659" s="2" t="s">
        <v>6788</v>
      </c>
      <c r="B659" s="2"/>
      <c r="C659" s="2"/>
      <c r="D659" s="2"/>
      <c r="E659" s="2" t="s">
        <v>6789</v>
      </c>
      <c r="F659" s="2" t="s">
        <v>6790</v>
      </c>
      <c r="G659" s="2" t="s">
        <v>4497</v>
      </c>
      <c r="H659" s="2" t="s">
        <v>647</v>
      </c>
      <c r="I659" s="2" t="s">
        <v>6791</v>
      </c>
    </row>
    <row r="660">
      <c r="A660" s="2" t="s">
        <v>6792</v>
      </c>
      <c r="B660" s="2"/>
      <c r="C660" s="2"/>
      <c r="D660" s="2"/>
      <c r="E660" s="2" t="s">
        <v>6793</v>
      </c>
      <c r="F660" s="2" t="s">
        <v>6794</v>
      </c>
      <c r="G660" s="2" t="s">
        <v>4531</v>
      </c>
      <c r="H660" s="2" t="s">
        <v>647</v>
      </c>
      <c r="I660" s="2" t="s">
        <v>6795</v>
      </c>
    </row>
    <row r="661">
      <c r="A661" s="2" t="s">
        <v>6796</v>
      </c>
      <c r="B661" s="2"/>
      <c r="C661" s="2"/>
      <c r="D661" s="2"/>
      <c r="E661" s="2" t="s">
        <v>6797</v>
      </c>
      <c r="F661" s="2" t="s">
        <v>6798</v>
      </c>
      <c r="G661" s="2" t="s">
        <v>4484</v>
      </c>
      <c r="H661" s="2" t="s">
        <v>647</v>
      </c>
      <c r="I661" s="2" t="s">
        <v>6799</v>
      </c>
    </row>
    <row r="662">
      <c r="A662" s="2" t="s">
        <v>6800</v>
      </c>
      <c r="B662" s="2"/>
      <c r="C662" s="2"/>
      <c r="D662" s="2"/>
      <c r="E662" s="2" t="s">
        <v>6801</v>
      </c>
      <c r="F662" s="2" t="s">
        <v>6802</v>
      </c>
      <c r="G662" s="2" t="s">
        <v>3997</v>
      </c>
      <c r="H662" s="2" t="s">
        <v>647</v>
      </c>
      <c r="I662" s="2" t="s">
        <v>6803</v>
      </c>
    </row>
    <row r="663">
      <c r="A663" s="2" t="s">
        <v>6804</v>
      </c>
      <c r="B663" s="2"/>
      <c r="C663" s="2"/>
      <c r="D663" s="2"/>
      <c r="E663" s="2" t="s">
        <v>6805</v>
      </c>
      <c r="F663" s="2" t="s">
        <v>6806</v>
      </c>
      <c r="G663" s="2" t="s">
        <v>3997</v>
      </c>
      <c r="H663" s="2" t="s">
        <v>647</v>
      </c>
      <c r="I663" s="2" t="s">
        <v>6807</v>
      </c>
    </row>
    <row r="664">
      <c r="A664" s="2" t="s">
        <v>6808</v>
      </c>
      <c r="B664" s="2"/>
      <c r="C664" s="2"/>
      <c r="D664" s="2"/>
      <c r="E664" s="2" t="s">
        <v>6809</v>
      </c>
      <c r="F664" s="2" t="s">
        <v>6810</v>
      </c>
      <c r="G664" s="2" t="s">
        <v>3997</v>
      </c>
      <c r="H664" s="2" t="s">
        <v>6811</v>
      </c>
      <c r="I664" s="2" t="s">
        <v>6812</v>
      </c>
    </row>
    <row r="665">
      <c r="A665" s="2" t="s">
        <v>6813</v>
      </c>
      <c r="B665" s="2"/>
      <c r="C665" s="2"/>
      <c r="D665" s="2"/>
      <c r="E665" s="2" t="s">
        <v>6814</v>
      </c>
      <c r="F665" s="2" t="s">
        <v>6815</v>
      </c>
      <c r="G665" s="2" t="s">
        <v>4531</v>
      </c>
      <c r="H665" s="2" t="s">
        <v>6816</v>
      </c>
      <c r="I665" s="2" t="s">
        <v>6817</v>
      </c>
    </row>
    <row r="666">
      <c r="A666" s="2" t="s">
        <v>6818</v>
      </c>
      <c r="B666" s="2"/>
      <c r="C666" s="2"/>
      <c r="D666" s="2"/>
      <c r="E666" s="2" t="s">
        <v>6819</v>
      </c>
      <c r="F666" s="2" t="s">
        <v>6820</v>
      </c>
      <c r="G666" s="2" t="s">
        <v>4497</v>
      </c>
      <c r="H666" s="2" t="s">
        <v>647</v>
      </c>
      <c r="I666" s="2" t="s">
        <v>6821</v>
      </c>
    </row>
    <row r="667">
      <c r="A667" s="2" t="s">
        <v>6822</v>
      </c>
      <c r="B667" s="2"/>
      <c r="C667" s="2"/>
      <c r="D667" s="2"/>
      <c r="E667" s="2" t="s">
        <v>6823</v>
      </c>
      <c r="F667" s="2" t="s">
        <v>6824</v>
      </c>
      <c r="G667" s="2" t="s">
        <v>4531</v>
      </c>
      <c r="H667" s="2" t="s">
        <v>6825</v>
      </c>
      <c r="I667" s="2" t="s">
        <v>6826</v>
      </c>
    </row>
    <row r="668">
      <c r="A668" s="2" t="s">
        <v>6827</v>
      </c>
      <c r="B668" s="2"/>
      <c r="C668" s="2"/>
      <c r="D668" s="2"/>
      <c r="E668" s="2" t="s">
        <v>6828</v>
      </c>
      <c r="F668" s="2" t="s">
        <v>6829</v>
      </c>
      <c r="G668" s="2" t="s">
        <v>3997</v>
      </c>
      <c r="H668" s="2" t="s">
        <v>6830</v>
      </c>
      <c r="I668" s="2" t="s">
        <v>6831</v>
      </c>
    </row>
    <row r="669">
      <c r="A669" s="2" t="s">
        <v>6832</v>
      </c>
      <c r="B669" s="2"/>
      <c r="C669" s="2"/>
      <c r="D669" s="2"/>
      <c r="E669" s="2" t="s">
        <v>6833</v>
      </c>
      <c r="F669" s="2" t="s">
        <v>6834</v>
      </c>
      <c r="G669" s="2" t="s">
        <v>4484</v>
      </c>
      <c r="H669" s="2" t="s">
        <v>6835</v>
      </c>
      <c r="I669" s="2" t="s">
        <v>6836</v>
      </c>
    </row>
    <row r="670">
      <c r="A670" s="2" t="s">
        <v>6837</v>
      </c>
      <c r="B670" s="2"/>
      <c r="C670" s="2"/>
      <c r="D670" s="2"/>
      <c r="E670" s="2" t="s">
        <v>6838</v>
      </c>
      <c r="F670" s="2" t="s">
        <v>3997</v>
      </c>
      <c r="G670" s="2" t="s">
        <v>4497</v>
      </c>
      <c r="H670" s="2" t="s">
        <v>647</v>
      </c>
      <c r="I670" s="2" t="s">
        <v>6839</v>
      </c>
    </row>
    <row r="671">
      <c r="A671" s="2" t="s">
        <v>6840</v>
      </c>
      <c r="B671" s="2"/>
      <c r="C671" s="2"/>
      <c r="D671" s="2"/>
      <c r="E671" s="2" t="s">
        <v>6841</v>
      </c>
      <c r="F671" s="2" t="s">
        <v>6842</v>
      </c>
      <c r="G671" s="2" t="s">
        <v>4484</v>
      </c>
      <c r="H671" s="2" t="s">
        <v>647</v>
      </c>
      <c r="I671" s="2" t="s">
        <v>6843</v>
      </c>
    </row>
    <row r="672">
      <c r="A672" s="2" t="s">
        <v>6844</v>
      </c>
      <c r="B672" s="2"/>
      <c r="C672" s="2"/>
      <c r="D672" s="2"/>
      <c r="E672" s="2" t="s">
        <v>6845</v>
      </c>
      <c r="F672" s="2" t="s">
        <v>6846</v>
      </c>
      <c r="G672" s="2" t="s">
        <v>4497</v>
      </c>
      <c r="H672" s="2" t="s">
        <v>6847</v>
      </c>
      <c r="I672" s="2" t="s">
        <v>6848</v>
      </c>
    </row>
    <row r="673">
      <c r="A673" s="2" t="s">
        <v>6849</v>
      </c>
      <c r="B673" s="2"/>
      <c r="C673" s="2"/>
      <c r="D673" s="2"/>
      <c r="E673" s="2" t="s">
        <v>6850</v>
      </c>
      <c r="F673" s="2" t="s">
        <v>6851</v>
      </c>
      <c r="G673" s="2" t="s">
        <v>4484</v>
      </c>
      <c r="H673" s="2" t="s">
        <v>6852</v>
      </c>
      <c r="I673" s="2" t="s">
        <v>6853</v>
      </c>
    </row>
    <row r="674">
      <c r="A674" s="2" t="s">
        <v>6854</v>
      </c>
      <c r="B674" s="2"/>
      <c r="C674" s="2"/>
      <c r="D674" s="2"/>
      <c r="E674" s="2" t="s">
        <v>6855</v>
      </c>
      <c r="F674" s="2" t="s">
        <v>6856</v>
      </c>
      <c r="G674" s="2" t="s">
        <v>3997</v>
      </c>
      <c r="H674" s="2" t="s">
        <v>647</v>
      </c>
      <c r="I674" s="2" t="s">
        <v>6857</v>
      </c>
    </row>
    <row r="675">
      <c r="A675" s="2" t="s">
        <v>6858</v>
      </c>
      <c r="B675" s="2"/>
      <c r="C675" s="2"/>
      <c r="D675" s="2"/>
      <c r="E675" s="2" t="s">
        <v>6859</v>
      </c>
      <c r="F675" s="2" t="s">
        <v>6860</v>
      </c>
      <c r="G675" s="2" t="s">
        <v>3997</v>
      </c>
      <c r="H675" s="2" t="s">
        <v>647</v>
      </c>
      <c r="I675" s="2" t="s">
        <v>6861</v>
      </c>
    </row>
    <row r="676">
      <c r="A676" s="2" t="s">
        <v>6862</v>
      </c>
      <c r="B676" s="2"/>
      <c r="C676" s="2"/>
      <c r="D676" s="2"/>
      <c r="E676" s="2" t="s">
        <v>6863</v>
      </c>
      <c r="F676" s="2" t="s">
        <v>3997</v>
      </c>
      <c r="G676" s="2" t="s">
        <v>4484</v>
      </c>
      <c r="H676" s="2" t="s">
        <v>647</v>
      </c>
      <c r="I676" s="2" t="s">
        <v>6864</v>
      </c>
    </row>
    <row r="677">
      <c r="A677" s="2" t="s">
        <v>6865</v>
      </c>
      <c r="B677" s="2"/>
      <c r="C677" s="2"/>
      <c r="D677" s="2"/>
      <c r="E677" s="2" t="s">
        <v>6866</v>
      </c>
      <c r="F677" s="2" t="s">
        <v>6867</v>
      </c>
      <c r="G677" s="2" t="s">
        <v>4484</v>
      </c>
      <c r="H677" s="2" t="s">
        <v>647</v>
      </c>
      <c r="I677" s="2" t="s">
        <v>6868</v>
      </c>
    </row>
    <row r="678">
      <c r="A678" s="2" t="s">
        <v>6869</v>
      </c>
      <c r="B678" s="2"/>
      <c r="C678" s="2"/>
      <c r="D678" s="2"/>
      <c r="E678" s="2" t="s">
        <v>6870</v>
      </c>
      <c r="F678" s="2" t="s">
        <v>3997</v>
      </c>
      <c r="G678" s="2" t="s">
        <v>4497</v>
      </c>
      <c r="H678" s="2" t="s">
        <v>647</v>
      </c>
      <c r="I678" s="2" t="s">
        <v>6871</v>
      </c>
    </row>
    <row r="679">
      <c r="A679" s="2" t="s">
        <v>6872</v>
      </c>
      <c r="B679" s="2"/>
      <c r="C679" s="2"/>
      <c r="D679" s="2"/>
      <c r="E679" s="2" t="s">
        <v>6873</v>
      </c>
      <c r="F679" s="2" t="s">
        <v>6874</v>
      </c>
      <c r="G679" s="2" t="s">
        <v>3997</v>
      </c>
      <c r="H679" s="2" t="s">
        <v>647</v>
      </c>
      <c r="I679" s="2" t="s">
        <v>6875</v>
      </c>
    </row>
    <row r="680">
      <c r="A680" s="2" t="s">
        <v>6876</v>
      </c>
      <c r="B680" s="2"/>
      <c r="C680" s="2"/>
      <c r="D680" s="2"/>
      <c r="E680" s="2" t="s">
        <v>6877</v>
      </c>
      <c r="F680" s="2" t="s">
        <v>6878</v>
      </c>
      <c r="G680" s="2" t="s">
        <v>3997</v>
      </c>
      <c r="H680" s="2" t="s">
        <v>647</v>
      </c>
      <c r="I680" s="2" t="s">
        <v>6879</v>
      </c>
    </row>
    <row r="681">
      <c r="A681" s="2" t="s">
        <v>6880</v>
      </c>
      <c r="B681" s="2"/>
      <c r="C681" s="2"/>
      <c r="D681" s="2"/>
      <c r="E681" s="2" t="s">
        <v>6881</v>
      </c>
      <c r="F681" s="2" t="s">
        <v>3997</v>
      </c>
      <c r="G681" s="2" t="s">
        <v>4484</v>
      </c>
      <c r="H681" s="2" t="s">
        <v>6882</v>
      </c>
      <c r="I681" s="2" t="s">
        <v>6883</v>
      </c>
    </row>
    <row r="682">
      <c r="A682" s="2" t="s">
        <v>6884</v>
      </c>
      <c r="B682" s="2"/>
      <c r="C682" s="2"/>
      <c r="D682" s="2"/>
      <c r="E682" s="2" t="s">
        <v>6885</v>
      </c>
      <c r="F682" s="2" t="s">
        <v>6886</v>
      </c>
      <c r="G682" s="2" t="s">
        <v>4531</v>
      </c>
      <c r="H682" s="2" t="s">
        <v>6887</v>
      </c>
      <c r="I682" s="2" t="s">
        <v>6888</v>
      </c>
    </row>
    <row r="683">
      <c r="A683" s="2" t="s">
        <v>6889</v>
      </c>
      <c r="B683" s="2"/>
      <c r="C683" s="2"/>
      <c r="D683" s="2"/>
      <c r="E683" s="2" t="s">
        <v>6890</v>
      </c>
      <c r="F683" s="2" t="s">
        <v>6891</v>
      </c>
      <c r="G683" s="2" t="s">
        <v>4497</v>
      </c>
      <c r="H683" s="2" t="s">
        <v>647</v>
      </c>
      <c r="I683" s="2" t="s">
        <v>6892</v>
      </c>
    </row>
    <row r="684">
      <c r="A684" s="2" t="s">
        <v>6893</v>
      </c>
      <c r="B684" s="2"/>
      <c r="C684" s="2"/>
      <c r="D684" s="2"/>
      <c r="E684" s="2" t="s">
        <v>6894</v>
      </c>
      <c r="F684" s="2" t="s">
        <v>6895</v>
      </c>
      <c r="G684" s="2" t="s">
        <v>4484</v>
      </c>
      <c r="H684" s="2" t="s">
        <v>6896</v>
      </c>
      <c r="I684" s="2" t="s">
        <v>6897</v>
      </c>
    </row>
    <row r="685">
      <c r="A685" s="2" t="s">
        <v>6898</v>
      </c>
      <c r="B685" s="2"/>
      <c r="C685" s="2"/>
      <c r="D685" s="2"/>
      <c r="E685" s="2" t="s">
        <v>6899</v>
      </c>
      <c r="F685" s="2" t="s">
        <v>6900</v>
      </c>
      <c r="G685" s="2" t="s">
        <v>4531</v>
      </c>
      <c r="H685" s="2" t="s">
        <v>647</v>
      </c>
      <c r="I685" s="2" t="s">
        <v>6901</v>
      </c>
    </row>
    <row r="686">
      <c r="A686" s="2" t="s">
        <v>6902</v>
      </c>
      <c r="B686" s="2"/>
      <c r="C686" s="2"/>
      <c r="D686" s="2"/>
      <c r="E686" s="2" t="s">
        <v>6903</v>
      </c>
      <c r="F686" s="2" t="s">
        <v>6904</v>
      </c>
      <c r="G686" s="2" t="s">
        <v>4497</v>
      </c>
      <c r="H686" s="2" t="s">
        <v>647</v>
      </c>
      <c r="I686" s="2" t="s">
        <v>6905</v>
      </c>
    </row>
    <row r="687">
      <c r="A687" s="2" t="s">
        <v>6906</v>
      </c>
      <c r="B687" s="2"/>
      <c r="C687" s="2"/>
      <c r="D687" s="2"/>
      <c r="E687" s="2" t="s">
        <v>6907</v>
      </c>
      <c r="F687" s="2" t="s">
        <v>6908</v>
      </c>
      <c r="G687" s="2" t="s">
        <v>4484</v>
      </c>
      <c r="H687" s="2" t="s">
        <v>647</v>
      </c>
      <c r="I687" s="2" t="s">
        <v>6909</v>
      </c>
    </row>
    <row r="688">
      <c r="A688" s="2" t="s">
        <v>6910</v>
      </c>
      <c r="B688" s="2"/>
      <c r="C688" s="2"/>
      <c r="D688" s="2"/>
      <c r="E688" s="2" t="s">
        <v>6911</v>
      </c>
      <c r="F688" s="2" t="s">
        <v>6912</v>
      </c>
      <c r="G688" s="2" t="s">
        <v>3997</v>
      </c>
      <c r="H688" s="2" t="s">
        <v>647</v>
      </c>
      <c r="I688" s="2" t="s">
        <v>6913</v>
      </c>
    </row>
    <row r="689">
      <c r="A689" s="2" t="s">
        <v>6914</v>
      </c>
      <c r="B689" s="2"/>
      <c r="C689" s="2"/>
      <c r="D689" s="2"/>
      <c r="E689" s="2" t="s">
        <v>6915</v>
      </c>
      <c r="F689" s="2" t="s">
        <v>6916</v>
      </c>
      <c r="G689" s="2" t="s">
        <v>3997</v>
      </c>
      <c r="H689" s="2" t="s">
        <v>647</v>
      </c>
      <c r="I689" s="2" t="s">
        <v>6917</v>
      </c>
    </row>
    <row r="690">
      <c r="A690" s="2" t="s">
        <v>6918</v>
      </c>
      <c r="B690" s="2"/>
      <c r="C690" s="2"/>
      <c r="D690" s="2"/>
      <c r="E690" s="2" t="s">
        <v>6919</v>
      </c>
      <c r="F690" s="2" t="s">
        <v>6920</v>
      </c>
      <c r="G690" s="2" t="s">
        <v>3997</v>
      </c>
      <c r="H690" s="2" t="s">
        <v>647</v>
      </c>
      <c r="I690" s="2" t="s">
        <v>6921</v>
      </c>
    </row>
    <row r="691">
      <c r="A691" s="2" t="s">
        <v>6922</v>
      </c>
      <c r="B691" s="2"/>
      <c r="C691" s="2"/>
      <c r="D691" s="2"/>
      <c r="E691" s="2" t="s">
        <v>6923</v>
      </c>
      <c r="F691" s="2" t="s">
        <v>3997</v>
      </c>
      <c r="G691" s="2" t="s">
        <v>3997</v>
      </c>
      <c r="H691" s="2" t="s">
        <v>6924</v>
      </c>
      <c r="I691" s="2" t="s">
        <v>6925</v>
      </c>
    </row>
    <row r="692">
      <c r="A692" s="2" t="s">
        <v>6926</v>
      </c>
      <c r="B692" s="2"/>
      <c r="C692" s="2"/>
      <c r="D692" s="2"/>
      <c r="E692" s="2" t="s">
        <v>6927</v>
      </c>
      <c r="F692" s="2" t="s">
        <v>6928</v>
      </c>
      <c r="G692" s="2" t="s">
        <v>4484</v>
      </c>
      <c r="H692" s="2" t="s">
        <v>647</v>
      </c>
      <c r="I692" s="2" t="s">
        <v>6929</v>
      </c>
    </row>
    <row r="693">
      <c r="A693" s="2" t="s">
        <v>6930</v>
      </c>
      <c r="B693" s="2"/>
      <c r="C693" s="2"/>
      <c r="D693" s="2"/>
      <c r="E693" s="2" t="s">
        <v>6931</v>
      </c>
      <c r="F693" s="2" t="s">
        <v>6932</v>
      </c>
      <c r="G693" s="2" t="s">
        <v>4484</v>
      </c>
      <c r="H693" s="2" t="s">
        <v>647</v>
      </c>
      <c r="I693" s="2" t="s">
        <v>6933</v>
      </c>
    </row>
    <row r="694">
      <c r="A694" s="2" t="s">
        <v>6934</v>
      </c>
      <c r="B694" s="2"/>
      <c r="C694" s="2"/>
      <c r="D694" s="2"/>
      <c r="E694" s="2" t="s">
        <v>6935</v>
      </c>
      <c r="F694" s="2" t="s">
        <v>6936</v>
      </c>
      <c r="G694" s="2" t="s">
        <v>3997</v>
      </c>
      <c r="H694" s="2" t="s">
        <v>647</v>
      </c>
      <c r="I694" s="2" t="s">
        <v>6937</v>
      </c>
    </row>
    <row r="695">
      <c r="A695" s="2" t="s">
        <v>6938</v>
      </c>
      <c r="B695" s="2"/>
      <c r="C695" s="2"/>
      <c r="D695" s="2"/>
      <c r="E695" s="2" t="s">
        <v>6939</v>
      </c>
      <c r="F695" s="2" t="s">
        <v>6940</v>
      </c>
      <c r="G695" s="2" t="s">
        <v>4484</v>
      </c>
      <c r="H695" s="2" t="s">
        <v>647</v>
      </c>
      <c r="I695" s="2" t="s">
        <v>6941</v>
      </c>
    </row>
    <row r="696">
      <c r="A696" s="2" t="s">
        <v>6942</v>
      </c>
      <c r="B696" s="2"/>
      <c r="C696" s="2"/>
      <c r="D696" s="2"/>
      <c r="E696" s="2" t="s">
        <v>6943</v>
      </c>
      <c r="F696" s="2" t="s">
        <v>3997</v>
      </c>
      <c r="G696" s="2" t="s">
        <v>4484</v>
      </c>
      <c r="H696" s="2" t="s">
        <v>647</v>
      </c>
      <c r="I696" s="2" t="s">
        <v>6944</v>
      </c>
    </row>
    <row r="697">
      <c r="A697" s="2" t="s">
        <v>6945</v>
      </c>
      <c r="B697" s="2"/>
      <c r="C697" s="2"/>
      <c r="D697" s="2"/>
      <c r="E697" s="2" t="s">
        <v>6946</v>
      </c>
      <c r="F697" s="2" t="s">
        <v>6947</v>
      </c>
      <c r="G697" s="2" t="s">
        <v>4531</v>
      </c>
      <c r="H697" s="2" t="s">
        <v>6948</v>
      </c>
      <c r="I697" s="2" t="s">
        <v>6949</v>
      </c>
    </row>
    <row r="698">
      <c r="A698" s="2" t="s">
        <v>6950</v>
      </c>
      <c r="B698" s="2"/>
      <c r="C698" s="2"/>
      <c r="D698" s="2"/>
      <c r="E698" s="2" t="s">
        <v>6951</v>
      </c>
      <c r="F698" s="2" t="s">
        <v>6952</v>
      </c>
      <c r="G698" s="2" t="s">
        <v>3957</v>
      </c>
      <c r="H698" s="2" t="s">
        <v>647</v>
      </c>
      <c r="I698" s="2" t="s">
        <v>6953</v>
      </c>
    </row>
    <row r="699">
      <c r="A699" s="2" t="s">
        <v>6954</v>
      </c>
      <c r="B699" s="2"/>
      <c r="C699" s="2"/>
      <c r="D699" s="2"/>
      <c r="E699" s="2" t="s">
        <v>6955</v>
      </c>
      <c r="F699" s="2" t="s">
        <v>6956</v>
      </c>
      <c r="G699" s="2" t="s">
        <v>4531</v>
      </c>
      <c r="H699" s="2" t="s">
        <v>647</v>
      </c>
      <c r="I699" s="2" t="s">
        <v>6957</v>
      </c>
    </row>
    <row r="700">
      <c r="A700" s="2" t="s">
        <v>6958</v>
      </c>
      <c r="B700" s="2"/>
      <c r="C700" s="2"/>
      <c r="D700" s="2"/>
      <c r="E700" s="2" t="s">
        <v>6959</v>
      </c>
      <c r="F700" s="2" t="s">
        <v>6960</v>
      </c>
      <c r="G700" s="2" t="s">
        <v>4531</v>
      </c>
      <c r="H700" s="2" t="s">
        <v>6961</v>
      </c>
      <c r="I700" s="2" t="s">
        <v>6962</v>
      </c>
    </row>
    <row r="701">
      <c r="A701" s="2" t="s">
        <v>6963</v>
      </c>
      <c r="B701" s="2"/>
      <c r="C701" s="2"/>
      <c r="D701" s="2"/>
      <c r="E701" s="2" t="s">
        <v>6964</v>
      </c>
      <c r="F701" s="2" t="s">
        <v>6965</v>
      </c>
      <c r="G701" s="2" t="s">
        <v>3997</v>
      </c>
      <c r="H701" s="2" t="s">
        <v>647</v>
      </c>
      <c r="I701" s="2" t="s">
        <v>6966</v>
      </c>
    </row>
    <row r="702">
      <c r="A702" s="2" t="s">
        <v>6967</v>
      </c>
      <c r="B702" s="2"/>
      <c r="C702" s="2"/>
      <c r="D702" s="2"/>
      <c r="E702" s="2" t="s">
        <v>6968</v>
      </c>
      <c r="F702" s="2" t="s">
        <v>6969</v>
      </c>
      <c r="G702" s="2" t="s">
        <v>3997</v>
      </c>
      <c r="H702" s="2" t="s">
        <v>647</v>
      </c>
      <c r="I702" s="2" t="s">
        <v>6970</v>
      </c>
    </row>
    <row r="703">
      <c r="A703" s="2" t="s">
        <v>6971</v>
      </c>
      <c r="B703" s="2"/>
      <c r="C703" s="2"/>
      <c r="D703" s="2"/>
      <c r="E703" s="2" t="s">
        <v>6972</v>
      </c>
      <c r="F703" s="2" t="s">
        <v>3997</v>
      </c>
      <c r="G703" s="2" t="s">
        <v>4497</v>
      </c>
      <c r="H703" s="2" t="s">
        <v>647</v>
      </c>
      <c r="I703" s="2" t="s">
        <v>6973</v>
      </c>
    </row>
    <row r="704">
      <c r="A704" s="2" t="s">
        <v>6974</v>
      </c>
      <c r="B704" s="2"/>
      <c r="C704" s="2"/>
      <c r="D704" s="2"/>
      <c r="E704" s="2" t="s">
        <v>6975</v>
      </c>
      <c r="F704" s="2" t="s">
        <v>6976</v>
      </c>
      <c r="G704" s="2" t="s">
        <v>3997</v>
      </c>
      <c r="H704" s="2" t="s">
        <v>647</v>
      </c>
      <c r="I704" s="2" t="s">
        <v>6977</v>
      </c>
    </row>
    <row r="705">
      <c r="A705" s="2" t="s">
        <v>6978</v>
      </c>
      <c r="B705" s="2"/>
      <c r="C705" s="2"/>
      <c r="D705" s="2"/>
      <c r="E705" s="2" t="s">
        <v>6979</v>
      </c>
      <c r="F705" s="2" t="s">
        <v>6980</v>
      </c>
      <c r="G705" s="2" t="s">
        <v>4497</v>
      </c>
      <c r="H705" s="2" t="s">
        <v>647</v>
      </c>
      <c r="I705" s="2" t="s">
        <v>6981</v>
      </c>
    </row>
    <row r="706">
      <c r="A706" s="2" t="s">
        <v>6982</v>
      </c>
      <c r="B706" s="2"/>
      <c r="C706" s="2"/>
      <c r="D706" s="2"/>
      <c r="E706" s="2" t="s">
        <v>6983</v>
      </c>
      <c r="F706" s="2" t="s">
        <v>6984</v>
      </c>
      <c r="G706" s="2" t="s">
        <v>4497</v>
      </c>
      <c r="H706" s="2" t="s">
        <v>647</v>
      </c>
      <c r="I706" s="2" t="s">
        <v>6985</v>
      </c>
    </row>
    <row r="707">
      <c r="A707" s="2" t="s">
        <v>6986</v>
      </c>
      <c r="B707" s="2"/>
      <c r="C707" s="2"/>
      <c r="D707" s="2"/>
      <c r="E707" s="2" t="s">
        <v>6987</v>
      </c>
      <c r="F707" s="2" t="s">
        <v>6988</v>
      </c>
      <c r="G707" s="2" t="s">
        <v>4484</v>
      </c>
      <c r="H707" s="2" t="s">
        <v>6989</v>
      </c>
      <c r="I707" s="2" t="s">
        <v>6990</v>
      </c>
    </row>
    <row r="708">
      <c r="A708" s="2" t="s">
        <v>6991</v>
      </c>
      <c r="B708" s="2"/>
      <c r="C708" s="2"/>
      <c r="D708" s="2"/>
      <c r="E708" s="2" t="s">
        <v>6992</v>
      </c>
      <c r="F708" s="2" t="s">
        <v>6993</v>
      </c>
      <c r="G708" s="2" t="s">
        <v>3997</v>
      </c>
      <c r="H708" s="2" t="s">
        <v>6994</v>
      </c>
      <c r="I708" s="2" t="s">
        <v>6995</v>
      </c>
    </row>
    <row r="709">
      <c r="A709" s="2" t="s">
        <v>6996</v>
      </c>
      <c r="B709" s="2"/>
      <c r="C709" s="2"/>
      <c r="D709" s="2"/>
      <c r="E709" s="2" t="s">
        <v>6997</v>
      </c>
      <c r="F709" s="2" t="s">
        <v>6998</v>
      </c>
      <c r="G709" s="2" t="s">
        <v>4484</v>
      </c>
      <c r="H709" s="2" t="s">
        <v>647</v>
      </c>
      <c r="I709" s="2" t="s">
        <v>6999</v>
      </c>
    </row>
    <row r="710">
      <c r="A710" s="2" t="s">
        <v>7000</v>
      </c>
      <c r="B710" s="2"/>
      <c r="C710" s="2"/>
      <c r="D710" s="2"/>
      <c r="E710" s="2" t="s">
        <v>7001</v>
      </c>
      <c r="F710" s="2" t="s">
        <v>7002</v>
      </c>
      <c r="G710" s="2" t="s">
        <v>3997</v>
      </c>
      <c r="H710" s="2" t="s">
        <v>647</v>
      </c>
      <c r="I710" s="2" t="s">
        <v>7003</v>
      </c>
    </row>
    <row r="711">
      <c r="A711" s="2" t="s">
        <v>7004</v>
      </c>
      <c r="B711" s="2"/>
      <c r="C711" s="2"/>
      <c r="D711" s="2"/>
      <c r="E711" s="2" t="s">
        <v>7005</v>
      </c>
      <c r="F711" s="2" t="s">
        <v>7006</v>
      </c>
      <c r="G711" s="2" t="s">
        <v>4497</v>
      </c>
      <c r="H711" s="2" t="s">
        <v>647</v>
      </c>
      <c r="I711" s="2" t="s">
        <v>7007</v>
      </c>
    </row>
    <row r="712">
      <c r="A712" s="2" t="s">
        <v>7008</v>
      </c>
      <c r="B712" s="2"/>
      <c r="C712" s="2"/>
      <c r="D712" s="2"/>
      <c r="E712" s="2" t="s">
        <v>7009</v>
      </c>
      <c r="F712" s="2" t="s">
        <v>7010</v>
      </c>
      <c r="G712" s="2" t="s">
        <v>4531</v>
      </c>
      <c r="H712" s="2" t="s">
        <v>7011</v>
      </c>
      <c r="I712" s="2" t="s">
        <v>7012</v>
      </c>
    </row>
    <row r="713">
      <c r="A713" s="2" t="s">
        <v>7013</v>
      </c>
      <c r="B713" s="2"/>
      <c r="C713" s="2"/>
      <c r="D713" s="2"/>
      <c r="E713" s="2" t="s">
        <v>7014</v>
      </c>
      <c r="F713" s="2" t="s">
        <v>7015</v>
      </c>
      <c r="G713" s="2" t="s">
        <v>4484</v>
      </c>
      <c r="H713" s="2" t="s">
        <v>7016</v>
      </c>
      <c r="I713" s="2" t="s">
        <v>7017</v>
      </c>
    </row>
    <row r="714">
      <c r="A714" s="2" t="s">
        <v>7018</v>
      </c>
      <c r="B714" s="2"/>
      <c r="C714" s="2"/>
      <c r="D714" s="2"/>
      <c r="E714" s="2" t="s">
        <v>7019</v>
      </c>
      <c r="F714" s="2" t="s">
        <v>7020</v>
      </c>
      <c r="G714" s="2" t="s">
        <v>4484</v>
      </c>
      <c r="H714" s="2" t="s">
        <v>7021</v>
      </c>
      <c r="I714" s="2" t="s">
        <v>7022</v>
      </c>
    </row>
    <row r="715">
      <c r="A715" s="2" t="s">
        <v>7023</v>
      </c>
      <c r="B715" s="2"/>
      <c r="C715" s="2"/>
      <c r="D715" s="2"/>
      <c r="E715" s="2" t="s">
        <v>7024</v>
      </c>
      <c r="F715" s="2" t="s">
        <v>7025</v>
      </c>
      <c r="G715" s="2" t="s">
        <v>4484</v>
      </c>
      <c r="H715" s="2" t="s">
        <v>647</v>
      </c>
      <c r="I715" s="2" t="s">
        <v>7026</v>
      </c>
    </row>
    <row r="716">
      <c r="A716" s="2" t="s">
        <v>7027</v>
      </c>
      <c r="B716" s="2"/>
      <c r="C716" s="2"/>
      <c r="D716" s="2"/>
      <c r="E716" s="7" t="s">
        <v>7027</v>
      </c>
      <c r="F716" s="2" t="s">
        <v>7028</v>
      </c>
      <c r="G716" s="2" t="s">
        <v>3997</v>
      </c>
      <c r="H716" s="2" t="s">
        <v>647</v>
      </c>
      <c r="I716" s="7" t="s">
        <v>7029</v>
      </c>
    </row>
    <row r="717">
      <c r="A717" s="2" t="s">
        <v>7030</v>
      </c>
      <c r="B717" s="2"/>
      <c r="C717" s="2"/>
      <c r="D717" s="2"/>
      <c r="E717" s="2" t="s">
        <v>7031</v>
      </c>
      <c r="F717" s="2" t="s">
        <v>7032</v>
      </c>
      <c r="G717" s="2" t="s">
        <v>4484</v>
      </c>
      <c r="H717" s="2" t="s">
        <v>647</v>
      </c>
      <c r="I717" s="2" t="s">
        <v>7033</v>
      </c>
    </row>
    <row r="718">
      <c r="A718" s="2" t="s">
        <v>7034</v>
      </c>
      <c r="B718" s="2"/>
      <c r="C718" s="2"/>
      <c r="D718" s="2"/>
      <c r="E718" s="2" t="s">
        <v>7035</v>
      </c>
      <c r="F718" s="2" t="s">
        <v>7036</v>
      </c>
      <c r="G718" s="2" t="s">
        <v>3997</v>
      </c>
      <c r="H718" s="2" t="s">
        <v>647</v>
      </c>
      <c r="I718" s="2" t="s">
        <v>7037</v>
      </c>
    </row>
    <row r="719">
      <c r="A719" s="2" t="s">
        <v>7038</v>
      </c>
      <c r="B719" s="2"/>
      <c r="C719" s="2"/>
      <c r="D719" s="2"/>
      <c r="E719" s="2" t="s">
        <v>7039</v>
      </c>
      <c r="F719" s="2" t="s">
        <v>7040</v>
      </c>
      <c r="G719" s="2" t="s">
        <v>4484</v>
      </c>
      <c r="H719" s="2" t="s">
        <v>647</v>
      </c>
      <c r="I719" s="2" t="s">
        <v>7041</v>
      </c>
    </row>
    <row r="720">
      <c r="A720" s="2" t="s">
        <v>7042</v>
      </c>
      <c r="B720" s="2"/>
      <c r="C720" s="2"/>
      <c r="D720" s="2"/>
      <c r="E720" s="2" t="s">
        <v>7043</v>
      </c>
      <c r="F720" s="2" t="s">
        <v>7044</v>
      </c>
      <c r="G720" s="2" t="s">
        <v>3997</v>
      </c>
      <c r="H720" s="2" t="s">
        <v>647</v>
      </c>
      <c r="I720" s="2" t="s">
        <v>7045</v>
      </c>
    </row>
    <row r="721">
      <c r="A721" s="2" t="s">
        <v>7046</v>
      </c>
      <c r="B721" s="2"/>
      <c r="C721" s="2"/>
      <c r="D721" s="2"/>
      <c r="E721" s="2" t="s">
        <v>7047</v>
      </c>
      <c r="F721" s="2" t="s">
        <v>7048</v>
      </c>
      <c r="G721" s="2" t="s">
        <v>4484</v>
      </c>
      <c r="H721" s="2" t="s">
        <v>647</v>
      </c>
      <c r="I721" s="2" t="s">
        <v>7049</v>
      </c>
    </row>
    <row r="722">
      <c r="A722" s="2" t="s">
        <v>7050</v>
      </c>
      <c r="B722" s="2"/>
      <c r="C722" s="2"/>
      <c r="D722" s="2"/>
      <c r="E722" s="2" t="s">
        <v>7051</v>
      </c>
      <c r="F722" s="2" t="s">
        <v>7052</v>
      </c>
      <c r="G722" s="2" t="s">
        <v>3997</v>
      </c>
      <c r="H722" s="2" t="s">
        <v>647</v>
      </c>
      <c r="I722" s="2" t="s">
        <v>7053</v>
      </c>
    </row>
    <row r="723">
      <c r="A723" s="2" t="s">
        <v>7054</v>
      </c>
      <c r="B723" s="2"/>
      <c r="C723" s="2"/>
      <c r="D723" s="2"/>
      <c r="E723" s="2" t="s">
        <v>7055</v>
      </c>
      <c r="F723" s="2" t="s">
        <v>3997</v>
      </c>
      <c r="G723" s="2" t="s">
        <v>3997</v>
      </c>
      <c r="H723" s="2" t="s">
        <v>647</v>
      </c>
      <c r="I723" s="2" t="s">
        <v>7056</v>
      </c>
    </row>
    <row r="724">
      <c r="A724" s="2" t="s">
        <v>7057</v>
      </c>
      <c r="B724" s="2"/>
      <c r="C724" s="2"/>
      <c r="D724" s="2"/>
      <c r="E724" s="2" t="s">
        <v>7058</v>
      </c>
      <c r="F724" s="2" t="s">
        <v>7059</v>
      </c>
      <c r="G724" s="2" t="s">
        <v>4484</v>
      </c>
      <c r="H724" s="2" t="s">
        <v>647</v>
      </c>
      <c r="I724" s="2" t="s">
        <v>7060</v>
      </c>
    </row>
    <row r="725">
      <c r="A725" s="2" t="s">
        <v>7061</v>
      </c>
      <c r="B725" s="2"/>
      <c r="C725" s="2"/>
      <c r="D725" s="2"/>
      <c r="E725" s="2" t="s">
        <v>7062</v>
      </c>
      <c r="F725" s="2" t="s">
        <v>7063</v>
      </c>
      <c r="G725" s="2" t="s">
        <v>4531</v>
      </c>
      <c r="H725" s="2" t="s">
        <v>647</v>
      </c>
      <c r="I725" s="2" t="s">
        <v>7064</v>
      </c>
    </row>
    <row r="726">
      <c r="A726" s="2" t="s">
        <v>7065</v>
      </c>
      <c r="B726" s="2"/>
      <c r="C726" s="2"/>
      <c r="D726" s="2"/>
      <c r="E726" s="2" t="s">
        <v>7066</v>
      </c>
      <c r="F726" s="2" t="s">
        <v>7067</v>
      </c>
      <c r="G726" s="2" t="s">
        <v>3997</v>
      </c>
      <c r="H726" s="2" t="s">
        <v>647</v>
      </c>
      <c r="I726" s="2" t="s">
        <v>7068</v>
      </c>
    </row>
    <row r="727">
      <c r="A727" s="2" t="s">
        <v>7069</v>
      </c>
      <c r="B727" s="2"/>
      <c r="C727" s="2"/>
      <c r="D727" s="2"/>
      <c r="E727" s="2" t="s">
        <v>7070</v>
      </c>
      <c r="F727" s="2" t="s">
        <v>7071</v>
      </c>
      <c r="G727" s="2" t="s">
        <v>4531</v>
      </c>
      <c r="H727" s="2" t="s">
        <v>7072</v>
      </c>
      <c r="I727" s="2" t="s">
        <v>7073</v>
      </c>
    </row>
    <row r="728">
      <c r="A728" s="2" t="s">
        <v>7074</v>
      </c>
      <c r="B728" s="2"/>
      <c r="C728" s="2"/>
      <c r="D728" s="2"/>
      <c r="E728" s="2" t="s">
        <v>7075</v>
      </c>
      <c r="F728" s="2" t="s">
        <v>7076</v>
      </c>
      <c r="G728" s="2" t="s">
        <v>3997</v>
      </c>
      <c r="H728" s="2" t="s">
        <v>647</v>
      </c>
      <c r="I728" s="2" t="s">
        <v>7077</v>
      </c>
    </row>
    <row r="729">
      <c r="A729" s="2" t="s">
        <v>7078</v>
      </c>
      <c r="B729" s="2"/>
      <c r="C729" s="2"/>
      <c r="D729" s="2"/>
      <c r="E729" s="2" t="s">
        <v>7079</v>
      </c>
      <c r="F729" s="2" t="s">
        <v>7080</v>
      </c>
      <c r="G729" s="2" t="s">
        <v>4484</v>
      </c>
      <c r="H729" s="2" t="s">
        <v>647</v>
      </c>
      <c r="I729" s="2" t="s">
        <v>7081</v>
      </c>
    </row>
    <row r="730">
      <c r="A730" s="2" t="s">
        <v>7082</v>
      </c>
      <c r="B730" s="2"/>
      <c r="C730" s="2"/>
      <c r="D730" s="2"/>
      <c r="E730" s="2" t="s">
        <v>7083</v>
      </c>
      <c r="F730" s="2" t="s">
        <v>7084</v>
      </c>
      <c r="G730" s="2" t="s">
        <v>4484</v>
      </c>
      <c r="H730" s="2" t="s">
        <v>7085</v>
      </c>
      <c r="I730" s="2" t="s">
        <v>7086</v>
      </c>
    </row>
    <row r="731">
      <c r="A731" s="2" t="s">
        <v>7087</v>
      </c>
      <c r="B731" s="2"/>
      <c r="C731" s="2"/>
      <c r="D731" s="2"/>
      <c r="E731" s="2" t="s">
        <v>7088</v>
      </c>
      <c r="F731" s="2" t="s">
        <v>7089</v>
      </c>
      <c r="G731" s="2" t="s">
        <v>4531</v>
      </c>
      <c r="H731" s="2" t="s">
        <v>7090</v>
      </c>
      <c r="I731" s="2" t="s">
        <v>7091</v>
      </c>
    </row>
    <row r="732">
      <c r="A732" s="2" t="s">
        <v>7092</v>
      </c>
      <c r="B732" s="2"/>
      <c r="C732" s="2"/>
      <c r="D732" s="2"/>
      <c r="E732" s="2" t="s">
        <v>7093</v>
      </c>
      <c r="F732" s="2" t="s">
        <v>7094</v>
      </c>
      <c r="G732" s="2" t="s">
        <v>4531</v>
      </c>
      <c r="H732" s="2" t="s">
        <v>7095</v>
      </c>
      <c r="I732" s="2" t="s">
        <v>7096</v>
      </c>
    </row>
    <row r="733">
      <c r="A733" s="2" t="s">
        <v>7097</v>
      </c>
      <c r="B733" s="2"/>
      <c r="C733" s="2"/>
      <c r="D733" s="2"/>
      <c r="E733" s="2" t="s">
        <v>7098</v>
      </c>
      <c r="F733" s="2" t="s">
        <v>3997</v>
      </c>
      <c r="G733" s="2" t="s">
        <v>4675</v>
      </c>
      <c r="H733" s="2" t="s">
        <v>647</v>
      </c>
      <c r="I733" s="2" t="s">
        <v>7099</v>
      </c>
    </row>
    <row r="734">
      <c r="A734" s="2" t="s">
        <v>7100</v>
      </c>
      <c r="B734" s="2"/>
      <c r="C734" s="2"/>
      <c r="D734" s="2"/>
      <c r="E734" s="2" t="s">
        <v>7101</v>
      </c>
      <c r="F734" s="2" t="s">
        <v>7102</v>
      </c>
      <c r="G734" s="2" t="s">
        <v>3997</v>
      </c>
      <c r="H734" s="2" t="s">
        <v>7103</v>
      </c>
      <c r="I734" s="2" t="s">
        <v>7104</v>
      </c>
    </row>
    <row r="735">
      <c r="A735" s="2" t="s">
        <v>7105</v>
      </c>
      <c r="B735" s="2"/>
      <c r="C735" s="2"/>
      <c r="D735" s="2"/>
      <c r="E735" s="2" t="s">
        <v>7106</v>
      </c>
      <c r="F735" s="2" t="s">
        <v>7107</v>
      </c>
      <c r="G735" s="2" t="s">
        <v>4484</v>
      </c>
      <c r="H735" s="2" t="s">
        <v>647</v>
      </c>
      <c r="I735" s="2" t="s">
        <v>7108</v>
      </c>
    </row>
    <row r="736">
      <c r="A736" s="2" t="s">
        <v>7109</v>
      </c>
      <c r="B736" s="2"/>
      <c r="C736" s="2"/>
      <c r="D736" s="2"/>
      <c r="E736" s="2" t="s">
        <v>7110</v>
      </c>
      <c r="F736" s="2" t="s">
        <v>3997</v>
      </c>
      <c r="G736" s="2" t="s">
        <v>4531</v>
      </c>
      <c r="H736" s="2" t="s">
        <v>647</v>
      </c>
      <c r="I736" s="7" t="s">
        <v>7111</v>
      </c>
    </row>
    <row r="737">
      <c r="A737" s="2" t="s">
        <v>7112</v>
      </c>
      <c r="B737" s="2"/>
      <c r="C737" s="2"/>
      <c r="D737" s="2"/>
      <c r="E737" s="2" t="s">
        <v>7113</v>
      </c>
      <c r="F737" s="2" t="s">
        <v>7114</v>
      </c>
      <c r="G737" s="2" t="s">
        <v>4497</v>
      </c>
      <c r="H737" s="2" t="s">
        <v>7115</v>
      </c>
      <c r="I737" s="2" t="s">
        <v>7116</v>
      </c>
    </row>
    <row r="738">
      <c r="A738" s="2" t="s">
        <v>7117</v>
      </c>
      <c r="B738" s="2"/>
      <c r="C738" s="2"/>
      <c r="D738" s="2"/>
      <c r="E738" s="2" t="s">
        <v>7118</v>
      </c>
      <c r="F738" s="2" t="s">
        <v>7119</v>
      </c>
      <c r="G738" s="2" t="s">
        <v>3997</v>
      </c>
      <c r="H738" s="2" t="s">
        <v>647</v>
      </c>
      <c r="I738" s="2" t="s">
        <v>7120</v>
      </c>
    </row>
    <row r="739">
      <c r="A739" s="2" t="s">
        <v>7121</v>
      </c>
      <c r="B739" s="2"/>
      <c r="C739" s="2"/>
      <c r="D739" s="2"/>
      <c r="E739" s="2" t="s">
        <v>7122</v>
      </c>
      <c r="F739" s="2" t="s">
        <v>7123</v>
      </c>
      <c r="G739" s="2" t="s">
        <v>4497</v>
      </c>
      <c r="H739" s="2" t="s">
        <v>647</v>
      </c>
      <c r="I739" s="7" t="s">
        <v>7124</v>
      </c>
    </row>
    <row r="740">
      <c r="A740" s="2" t="s">
        <v>7125</v>
      </c>
      <c r="B740" s="2"/>
      <c r="C740" s="2"/>
      <c r="D740" s="2"/>
      <c r="E740" s="2" t="s">
        <v>7126</v>
      </c>
      <c r="F740" s="2" t="s">
        <v>7127</v>
      </c>
      <c r="G740" s="2" t="s">
        <v>3997</v>
      </c>
      <c r="H740" s="2" t="s">
        <v>647</v>
      </c>
      <c r="I740" s="2" t="s">
        <v>7128</v>
      </c>
    </row>
    <row r="741">
      <c r="A741" s="2" t="s">
        <v>7129</v>
      </c>
      <c r="B741" s="2"/>
      <c r="C741" s="2"/>
      <c r="D741" s="2"/>
      <c r="E741" s="2" t="s">
        <v>7130</v>
      </c>
      <c r="F741" s="2" t="s">
        <v>7131</v>
      </c>
      <c r="G741" s="2" t="s">
        <v>4484</v>
      </c>
      <c r="H741" s="2" t="s">
        <v>647</v>
      </c>
      <c r="I741" s="2" t="s">
        <v>7132</v>
      </c>
    </row>
    <row r="742">
      <c r="A742" s="2" t="s">
        <v>7133</v>
      </c>
      <c r="B742" s="2"/>
      <c r="C742" s="2"/>
      <c r="D742" s="2"/>
      <c r="E742" s="2" t="s">
        <v>7134</v>
      </c>
      <c r="F742" s="2" t="s">
        <v>7135</v>
      </c>
      <c r="G742" s="2" t="s">
        <v>4531</v>
      </c>
      <c r="H742" s="2" t="s">
        <v>647</v>
      </c>
      <c r="I742" s="2" t="s">
        <v>7136</v>
      </c>
    </row>
    <row r="743">
      <c r="A743" s="2" t="s">
        <v>7137</v>
      </c>
      <c r="B743" s="2"/>
      <c r="C743" s="2"/>
      <c r="D743" s="2"/>
      <c r="E743" s="2" t="s">
        <v>7138</v>
      </c>
      <c r="F743" s="2" t="s">
        <v>7139</v>
      </c>
      <c r="G743" s="2" t="s">
        <v>4484</v>
      </c>
      <c r="H743" s="2" t="s">
        <v>647</v>
      </c>
      <c r="I743" s="2" t="s">
        <v>7140</v>
      </c>
    </row>
    <row r="744">
      <c r="A744" s="2" t="s">
        <v>7141</v>
      </c>
      <c r="B744" s="2"/>
      <c r="C744" s="2"/>
      <c r="D744" s="2"/>
      <c r="E744" s="2" t="s">
        <v>7142</v>
      </c>
      <c r="F744" s="2" t="s">
        <v>7143</v>
      </c>
      <c r="G744" s="2" t="s">
        <v>4484</v>
      </c>
      <c r="H744" s="2" t="s">
        <v>7144</v>
      </c>
      <c r="I744" s="2" t="s">
        <v>7145</v>
      </c>
    </row>
    <row r="745">
      <c r="A745" s="2" t="s">
        <v>7146</v>
      </c>
      <c r="B745" s="2"/>
      <c r="C745" s="2"/>
      <c r="D745" s="2"/>
      <c r="E745" s="2" t="s">
        <v>7147</v>
      </c>
      <c r="F745" s="2" t="s">
        <v>7148</v>
      </c>
      <c r="G745" s="2" t="s">
        <v>3997</v>
      </c>
      <c r="H745" s="2" t="s">
        <v>7149</v>
      </c>
      <c r="I745" s="2" t="s">
        <v>7150</v>
      </c>
    </row>
    <row r="746">
      <c r="A746" s="2" t="s">
        <v>7151</v>
      </c>
      <c r="B746" s="2"/>
      <c r="C746" s="2"/>
      <c r="D746" s="2"/>
      <c r="E746" s="2" t="s">
        <v>7152</v>
      </c>
      <c r="F746" s="2" t="s">
        <v>7153</v>
      </c>
      <c r="G746" s="2" t="s">
        <v>3997</v>
      </c>
      <c r="H746" s="2" t="s">
        <v>647</v>
      </c>
      <c r="I746" s="2" t="s">
        <v>7154</v>
      </c>
    </row>
    <row r="747">
      <c r="A747" s="2" t="s">
        <v>7155</v>
      </c>
      <c r="B747" s="2"/>
      <c r="C747" s="2"/>
      <c r="D747" s="2"/>
      <c r="E747" s="2" t="s">
        <v>7156</v>
      </c>
      <c r="F747" s="2" t="s">
        <v>7157</v>
      </c>
      <c r="G747" s="2" t="s">
        <v>3997</v>
      </c>
      <c r="H747" s="2" t="s">
        <v>7158</v>
      </c>
      <c r="I747" s="2" t="s">
        <v>7159</v>
      </c>
    </row>
    <row r="748">
      <c r="A748" s="2" t="s">
        <v>7160</v>
      </c>
      <c r="B748" s="2"/>
      <c r="C748" s="2"/>
      <c r="D748" s="2"/>
      <c r="E748" s="2" t="s">
        <v>7161</v>
      </c>
      <c r="F748" s="2" t="s">
        <v>7162</v>
      </c>
      <c r="G748" s="2" t="s">
        <v>4497</v>
      </c>
      <c r="H748" s="2" t="s">
        <v>647</v>
      </c>
      <c r="I748" s="2" t="s">
        <v>7163</v>
      </c>
    </row>
    <row r="749">
      <c r="A749" s="2" t="s">
        <v>7164</v>
      </c>
      <c r="B749" s="2"/>
      <c r="C749" s="2"/>
      <c r="D749" s="2"/>
      <c r="E749" s="2" t="s">
        <v>7165</v>
      </c>
      <c r="F749" s="2" t="s">
        <v>7166</v>
      </c>
      <c r="G749" s="2" t="s">
        <v>3997</v>
      </c>
      <c r="H749" s="2" t="s">
        <v>647</v>
      </c>
      <c r="I749" s="2" t="s">
        <v>7167</v>
      </c>
    </row>
    <row r="750">
      <c r="A750" s="2" t="s">
        <v>7168</v>
      </c>
      <c r="B750" s="2"/>
      <c r="C750" s="2"/>
      <c r="D750" s="2"/>
      <c r="E750" s="2" t="s">
        <v>7169</v>
      </c>
      <c r="F750" s="2" t="s">
        <v>7170</v>
      </c>
      <c r="G750" s="2" t="s">
        <v>4484</v>
      </c>
      <c r="H750" s="2" t="s">
        <v>647</v>
      </c>
      <c r="I750" s="2" t="s">
        <v>7171</v>
      </c>
    </row>
    <row r="751">
      <c r="A751" s="2" t="s">
        <v>7172</v>
      </c>
      <c r="B751" s="2"/>
      <c r="C751" s="2"/>
      <c r="D751" s="2"/>
      <c r="E751" s="2" t="s">
        <v>7173</v>
      </c>
      <c r="F751" s="2" t="s">
        <v>7174</v>
      </c>
      <c r="G751" s="2" t="s">
        <v>3952</v>
      </c>
      <c r="H751" s="2" t="s">
        <v>7175</v>
      </c>
      <c r="I751" s="2" t="s">
        <v>7176</v>
      </c>
    </row>
    <row r="752">
      <c r="A752" s="2" t="s">
        <v>7177</v>
      </c>
      <c r="B752" s="2"/>
      <c r="C752" s="2"/>
      <c r="D752" s="2"/>
      <c r="E752" s="2" t="s">
        <v>7178</v>
      </c>
      <c r="F752" s="2" t="s">
        <v>7179</v>
      </c>
      <c r="G752" s="2" t="s">
        <v>4484</v>
      </c>
      <c r="H752" s="2" t="s">
        <v>7180</v>
      </c>
      <c r="I752" s="2" t="s">
        <v>7181</v>
      </c>
    </row>
    <row r="753">
      <c r="A753" s="2" t="s">
        <v>7182</v>
      </c>
      <c r="B753" s="2"/>
      <c r="C753" s="2"/>
      <c r="D753" s="2"/>
      <c r="E753" s="2" t="s">
        <v>7183</v>
      </c>
      <c r="F753" s="2" t="s">
        <v>7184</v>
      </c>
      <c r="G753" s="2" t="s">
        <v>4484</v>
      </c>
      <c r="H753" s="2" t="s">
        <v>647</v>
      </c>
      <c r="I753" s="2" t="s">
        <v>7185</v>
      </c>
    </row>
    <row r="754">
      <c r="A754" s="6"/>
    </row>
    <row r="755">
      <c r="A755" s="6"/>
    </row>
    <row r="756">
      <c r="A756" s="6"/>
    </row>
    <row r="757">
      <c r="A757" s="6"/>
    </row>
    <row r="758">
      <c r="A758" s="6"/>
    </row>
    <row r="759">
      <c r="A759" s="6"/>
    </row>
    <row r="760">
      <c r="A760" s="6"/>
    </row>
    <row r="761">
      <c r="A761" s="6"/>
    </row>
    <row r="762">
      <c r="A762" s="6"/>
    </row>
    <row r="763">
      <c r="A763" s="6"/>
    </row>
    <row r="764">
      <c r="A764" s="6"/>
    </row>
    <row r="765">
      <c r="A765" s="6"/>
    </row>
    <row r="766">
      <c r="A766" s="6"/>
    </row>
    <row r="767">
      <c r="A767" s="6"/>
    </row>
    <row r="768">
      <c r="A768" s="6"/>
    </row>
    <row r="769">
      <c r="A769" s="6"/>
    </row>
    <row r="770">
      <c r="A770" s="6"/>
    </row>
    <row r="771">
      <c r="A771" s="6"/>
    </row>
    <row r="772">
      <c r="A772" s="6"/>
    </row>
    <row r="773">
      <c r="A773" s="6"/>
    </row>
    <row r="774">
      <c r="A774" s="6"/>
    </row>
    <row r="775">
      <c r="A775" s="6"/>
    </row>
    <row r="776">
      <c r="A776" s="6"/>
    </row>
    <row r="777">
      <c r="A777" s="6"/>
    </row>
    <row r="778">
      <c r="A778" s="6"/>
    </row>
    <row r="779">
      <c r="A779" s="6"/>
    </row>
    <row r="780">
      <c r="A780" s="6"/>
    </row>
    <row r="781">
      <c r="A781" s="6"/>
    </row>
    <row r="782">
      <c r="A782" s="6"/>
    </row>
    <row r="783">
      <c r="A783" s="6"/>
    </row>
    <row r="784">
      <c r="A784" s="6"/>
    </row>
    <row r="785">
      <c r="A785" s="6"/>
    </row>
    <row r="786">
      <c r="A786" s="6"/>
    </row>
    <row r="787">
      <c r="A787" s="6"/>
    </row>
    <row r="788">
      <c r="A788" s="6"/>
    </row>
    <row r="789">
      <c r="A789" s="6"/>
    </row>
    <row r="790">
      <c r="A790" s="6"/>
    </row>
    <row r="791">
      <c r="A791" s="6"/>
    </row>
    <row r="792">
      <c r="A792" s="6"/>
    </row>
    <row r="793">
      <c r="A793" s="6"/>
    </row>
    <row r="794">
      <c r="A794" s="6"/>
    </row>
    <row r="795">
      <c r="A795" s="6"/>
    </row>
    <row r="796">
      <c r="A796" s="6"/>
    </row>
    <row r="797">
      <c r="A797" s="6"/>
    </row>
    <row r="798">
      <c r="A798" s="6"/>
    </row>
    <row r="799">
      <c r="A799" s="6"/>
    </row>
    <row r="800">
      <c r="A800" s="6"/>
    </row>
    <row r="801">
      <c r="A801" s="6"/>
    </row>
    <row r="802">
      <c r="A802" s="6"/>
    </row>
    <row r="803">
      <c r="A803" s="6"/>
    </row>
    <row r="804">
      <c r="A804" s="6"/>
    </row>
    <row r="805">
      <c r="A805" s="6"/>
    </row>
    <row r="806">
      <c r="A806" s="6"/>
    </row>
    <row r="807">
      <c r="A807" s="6"/>
    </row>
    <row r="808">
      <c r="A808" s="6"/>
    </row>
    <row r="809">
      <c r="A809" s="6"/>
    </row>
    <row r="810">
      <c r="A810" s="6"/>
    </row>
    <row r="811">
      <c r="A811" s="6"/>
    </row>
    <row r="812">
      <c r="A812" s="6"/>
    </row>
    <row r="813">
      <c r="A813" s="6"/>
    </row>
    <row r="814">
      <c r="A814" s="6"/>
    </row>
    <row r="815">
      <c r="A815" s="6"/>
    </row>
    <row r="816">
      <c r="A816" s="6"/>
    </row>
    <row r="817">
      <c r="A817" s="6"/>
    </row>
    <row r="818">
      <c r="A818" s="6"/>
    </row>
    <row r="819">
      <c r="A819" s="6"/>
    </row>
    <row r="820">
      <c r="A820" s="6"/>
    </row>
    <row r="821">
      <c r="A821" s="6"/>
    </row>
    <row r="822">
      <c r="A822" s="6"/>
    </row>
    <row r="823">
      <c r="A823" s="6"/>
    </row>
    <row r="824">
      <c r="A824" s="6"/>
    </row>
    <row r="825">
      <c r="A825" s="6"/>
    </row>
    <row r="826">
      <c r="A826" s="6"/>
    </row>
    <row r="827">
      <c r="A827" s="6"/>
    </row>
    <row r="828">
      <c r="A828" s="6"/>
    </row>
    <row r="829">
      <c r="A829" s="6"/>
    </row>
    <row r="830">
      <c r="A830" s="6"/>
    </row>
    <row r="831">
      <c r="A831" s="6"/>
    </row>
    <row r="832">
      <c r="A832" s="6"/>
    </row>
    <row r="833">
      <c r="A833" s="6"/>
    </row>
    <row r="834">
      <c r="A834" s="6"/>
    </row>
    <row r="835">
      <c r="A835" s="6"/>
    </row>
    <row r="836">
      <c r="A836" s="6"/>
    </row>
    <row r="837">
      <c r="A837" s="6"/>
    </row>
    <row r="838">
      <c r="A838" s="6"/>
    </row>
    <row r="839">
      <c r="A839" s="6"/>
    </row>
    <row r="840">
      <c r="A840" s="6"/>
    </row>
    <row r="841">
      <c r="A841" s="6"/>
    </row>
    <row r="842">
      <c r="A842" s="6"/>
    </row>
    <row r="843">
      <c r="A843" s="6"/>
    </row>
    <row r="844">
      <c r="A844" s="6"/>
    </row>
    <row r="845">
      <c r="A845" s="6"/>
    </row>
    <row r="846">
      <c r="A846" s="6"/>
    </row>
    <row r="847">
      <c r="A847" s="6"/>
    </row>
    <row r="848">
      <c r="A848" s="6"/>
    </row>
    <row r="849">
      <c r="A849" s="6"/>
    </row>
    <row r="850">
      <c r="A850" s="6"/>
    </row>
    <row r="851">
      <c r="A851" s="6"/>
    </row>
    <row r="852">
      <c r="A852" s="6"/>
    </row>
    <row r="853">
      <c r="A853" s="6"/>
    </row>
    <row r="854">
      <c r="A854" s="6"/>
    </row>
    <row r="855">
      <c r="A855" s="6"/>
    </row>
    <row r="856">
      <c r="A856" s="6"/>
    </row>
    <row r="857">
      <c r="A857" s="6"/>
    </row>
    <row r="858">
      <c r="A858" s="6"/>
    </row>
    <row r="859">
      <c r="A859" s="6"/>
    </row>
    <row r="860">
      <c r="A860" s="6"/>
    </row>
    <row r="861">
      <c r="A861" s="6"/>
    </row>
    <row r="862">
      <c r="A862" s="6"/>
    </row>
    <row r="863">
      <c r="A863" s="6"/>
    </row>
    <row r="864">
      <c r="A864" s="6"/>
    </row>
    <row r="865">
      <c r="A865" s="6"/>
    </row>
    <row r="866">
      <c r="A866" s="6"/>
    </row>
    <row r="867">
      <c r="A867" s="6"/>
    </row>
    <row r="868">
      <c r="A868" s="6"/>
    </row>
    <row r="869">
      <c r="A869" s="6"/>
    </row>
    <row r="870">
      <c r="A870" s="6"/>
    </row>
    <row r="871">
      <c r="A871" s="6"/>
    </row>
    <row r="872">
      <c r="A872" s="6"/>
    </row>
    <row r="873">
      <c r="A873" s="6"/>
    </row>
    <row r="874">
      <c r="A874" s="6"/>
    </row>
    <row r="875">
      <c r="A875" s="6"/>
    </row>
    <row r="876">
      <c r="A876" s="6"/>
    </row>
    <row r="877">
      <c r="A877" s="6"/>
    </row>
    <row r="878">
      <c r="A878" s="6"/>
    </row>
    <row r="879">
      <c r="A879" s="6"/>
    </row>
    <row r="880">
      <c r="A880" s="6"/>
    </row>
    <row r="881">
      <c r="A881" s="6"/>
    </row>
    <row r="882">
      <c r="A882" s="6"/>
    </row>
    <row r="883">
      <c r="A883" s="6"/>
    </row>
    <row r="884">
      <c r="A884" s="6"/>
    </row>
    <row r="885">
      <c r="A885" s="6"/>
    </row>
    <row r="886">
      <c r="A886" s="6"/>
    </row>
    <row r="887">
      <c r="A887" s="6"/>
    </row>
    <row r="888">
      <c r="A888" s="6"/>
    </row>
    <row r="889">
      <c r="A889" s="6"/>
    </row>
    <row r="890">
      <c r="A890" s="6"/>
    </row>
    <row r="891">
      <c r="A891" s="6"/>
    </row>
    <row r="892">
      <c r="A892" s="6"/>
    </row>
    <row r="893">
      <c r="A893" s="6"/>
    </row>
    <row r="894">
      <c r="A894" s="6"/>
    </row>
    <row r="895">
      <c r="A895" s="6"/>
    </row>
    <row r="896">
      <c r="A896" s="6"/>
    </row>
    <row r="897">
      <c r="A897" s="6"/>
    </row>
    <row r="898">
      <c r="A898" s="6"/>
    </row>
    <row r="899">
      <c r="A899" s="6"/>
    </row>
    <row r="900">
      <c r="A900" s="6"/>
    </row>
    <row r="901">
      <c r="A901" s="6"/>
    </row>
    <row r="902">
      <c r="A902" s="6"/>
    </row>
    <row r="903">
      <c r="A903" s="6"/>
    </row>
    <row r="904">
      <c r="A904" s="6"/>
    </row>
    <row r="905">
      <c r="A905" s="6"/>
    </row>
    <row r="906">
      <c r="A906" s="6"/>
    </row>
    <row r="907">
      <c r="A907" s="6"/>
    </row>
    <row r="908">
      <c r="A908" s="6"/>
    </row>
    <row r="909">
      <c r="A909" s="6"/>
    </row>
    <row r="910">
      <c r="A910" s="6"/>
    </row>
    <row r="911">
      <c r="A911" s="6"/>
    </row>
    <row r="912">
      <c r="A912" s="6"/>
    </row>
    <row r="913">
      <c r="A913" s="6"/>
    </row>
    <row r="914">
      <c r="A914" s="6"/>
    </row>
    <row r="915">
      <c r="A915" s="6"/>
    </row>
    <row r="916">
      <c r="A916" s="6"/>
    </row>
    <row r="917">
      <c r="A917" s="6"/>
    </row>
    <row r="918">
      <c r="A918" s="6"/>
    </row>
    <row r="919">
      <c r="A919" s="6"/>
    </row>
    <row r="920">
      <c r="A920" s="6"/>
    </row>
    <row r="921">
      <c r="A921" s="6"/>
    </row>
  </sheetData>
  <conditionalFormatting sqref="A2:A921">
    <cfRule type="expression" dxfId="1" priority="1">
      <formula>COUNTIF(INDIRECT("MASTER_LIST!A$2:A"), A1)&gt;1</formula>
    </cfRule>
  </conditionalFormatting>
  <hyperlinks>
    <hyperlink r:id="rId1" ref="E21"/>
    <hyperlink r:id="rId2" ref="E24"/>
    <hyperlink r:id="rId3" ref="E29"/>
    <hyperlink r:id="rId4" ref="E33"/>
    <hyperlink r:id="rId5" ref="I38"/>
    <hyperlink r:id="rId6" ref="I45"/>
    <hyperlink r:id="rId7" ref="I54"/>
    <hyperlink r:id="rId8" ref="I55"/>
    <hyperlink r:id="rId9" ref="E57"/>
    <hyperlink r:id="rId10" ref="E60"/>
    <hyperlink r:id="rId11" ref="I65"/>
    <hyperlink r:id="rId12" ref="I66"/>
    <hyperlink r:id="rId13" ref="I77"/>
    <hyperlink r:id="rId14" ref="I90"/>
    <hyperlink r:id="rId15" ref="I109"/>
    <hyperlink r:id="rId16" ref="E115"/>
    <hyperlink r:id="rId17" ref="I131"/>
    <hyperlink r:id="rId18" ref="I135"/>
    <hyperlink r:id="rId19" ref="E164"/>
    <hyperlink r:id="rId20" ref="E170"/>
    <hyperlink r:id="rId21" ref="I174"/>
    <hyperlink r:id="rId22" ref="E187"/>
    <hyperlink r:id="rId23" ref="E193"/>
    <hyperlink r:id="rId24" ref="E195"/>
    <hyperlink r:id="rId25" ref="I204"/>
    <hyperlink r:id="rId26" ref="I227"/>
    <hyperlink r:id="rId27" ref="E234"/>
    <hyperlink r:id="rId28" ref="I241"/>
    <hyperlink r:id="rId29" ref="I288"/>
    <hyperlink r:id="rId30" ref="A311"/>
    <hyperlink r:id="rId31" ref="I314"/>
    <hyperlink r:id="rId32" ref="I323"/>
    <hyperlink r:id="rId33" ref="I328"/>
    <hyperlink r:id="rId34" ref="I335"/>
    <hyperlink r:id="rId35" ref="I342"/>
    <hyperlink r:id="rId36" ref="I347"/>
    <hyperlink r:id="rId37" ref="I369"/>
    <hyperlink r:id="rId38" ref="I380"/>
    <hyperlink r:id="rId39" ref="I383"/>
    <hyperlink r:id="rId40" ref="I386"/>
    <hyperlink r:id="rId41" ref="I406"/>
    <hyperlink r:id="rId42" ref="E426"/>
    <hyperlink r:id="rId43" ref="I443"/>
    <hyperlink r:id="rId44" ref="I467"/>
    <hyperlink r:id="rId45" ref="I470"/>
    <hyperlink r:id="rId46" ref="I518"/>
    <hyperlink r:id="rId47" ref="E532"/>
    <hyperlink r:id="rId48" ref="E534"/>
    <hyperlink r:id="rId49" ref="E559"/>
    <hyperlink r:id="rId50" ref="I564"/>
    <hyperlink r:id="rId51" ref="I566"/>
    <hyperlink r:id="rId52" ref="I574"/>
    <hyperlink r:id="rId53" ref="I591"/>
    <hyperlink r:id="rId54" ref="I603"/>
    <hyperlink r:id="rId55" ref="E613"/>
    <hyperlink r:id="rId56" ref="I623"/>
    <hyperlink r:id="rId57" ref="I624"/>
    <hyperlink r:id="rId58" ref="E631"/>
    <hyperlink r:id="rId59" ref="I653"/>
    <hyperlink r:id="rId60" ref="I654"/>
    <hyperlink r:id="rId61" ref="E658"/>
    <hyperlink r:id="rId62" ref="E716"/>
    <hyperlink r:id="rId63" ref="I716"/>
    <hyperlink r:id="rId64" ref="I736"/>
    <hyperlink r:id="rId65" ref="I739"/>
  </hyperlinks>
  <drawing r:id="rId6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75"/>
    <col customWidth="1" min="2" max="5" width="18.25"/>
    <col customWidth="1" min="6" max="6" width="31.38"/>
    <col customWidth="1" min="7" max="7" width="31.25"/>
  </cols>
  <sheetData>
    <row r="1">
      <c r="A1" s="24" t="s">
        <v>50</v>
      </c>
      <c r="B1" s="25" t="s">
        <v>1258</v>
      </c>
      <c r="C1" s="26" t="s">
        <v>1260</v>
      </c>
      <c r="D1" s="26" t="s">
        <v>1259</v>
      </c>
      <c r="E1" s="25" t="s">
        <v>0</v>
      </c>
      <c r="F1" s="27" t="s">
        <v>1268</v>
      </c>
      <c r="G1" s="27" t="s">
        <v>7186</v>
      </c>
      <c r="H1" s="12"/>
      <c r="I1" s="12"/>
    </row>
    <row r="2">
      <c r="A2" s="11" t="s">
        <v>7187</v>
      </c>
      <c r="B2" s="13" t="s">
        <v>3406</v>
      </c>
      <c r="C2" s="8" t="s">
        <v>7188</v>
      </c>
      <c r="D2" s="8" t="s">
        <v>7189</v>
      </c>
      <c r="E2" s="12"/>
      <c r="F2" s="11" t="s">
        <v>7190</v>
      </c>
      <c r="G2" s="14" t="s">
        <v>7191</v>
      </c>
      <c r="H2" s="12"/>
      <c r="I2" s="12"/>
    </row>
    <row r="3">
      <c r="A3" s="11" t="s">
        <v>7192</v>
      </c>
      <c r="B3" s="13" t="s">
        <v>3406</v>
      </c>
      <c r="C3" s="8" t="s">
        <v>7193</v>
      </c>
      <c r="D3" s="8" t="s">
        <v>7194</v>
      </c>
      <c r="E3" s="11"/>
      <c r="F3" s="11" t="s">
        <v>7195</v>
      </c>
      <c r="G3" s="14" t="s">
        <v>7196</v>
      </c>
      <c r="H3" s="12"/>
      <c r="I3" s="12"/>
    </row>
    <row r="4">
      <c r="A4" s="11" t="s">
        <v>7197</v>
      </c>
      <c r="B4" s="13" t="s">
        <v>3406</v>
      </c>
      <c r="C4" s="8" t="s">
        <v>7198</v>
      </c>
      <c r="D4" s="8" t="s">
        <v>7199</v>
      </c>
      <c r="E4" s="11"/>
      <c r="F4" s="11" t="s">
        <v>7200</v>
      </c>
      <c r="G4" s="14" t="s">
        <v>7201</v>
      </c>
      <c r="H4" s="12"/>
      <c r="I4" s="12"/>
    </row>
    <row r="5">
      <c r="A5" s="11" t="s">
        <v>7202</v>
      </c>
      <c r="B5" s="13" t="s">
        <v>3605</v>
      </c>
      <c r="C5" s="8" t="s">
        <v>7203</v>
      </c>
      <c r="D5" s="8" t="s">
        <v>7204</v>
      </c>
      <c r="E5" s="11"/>
      <c r="F5" s="11" t="s">
        <v>7205</v>
      </c>
      <c r="G5" s="14" t="s">
        <v>7206</v>
      </c>
      <c r="H5" s="12"/>
      <c r="I5" s="12"/>
    </row>
    <row r="6">
      <c r="A6" s="11" t="s">
        <v>7207</v>
      </c>
      <c r="B6" s="13" t="s">
        <v>3605</v>
      </c>
      <c r="C6" s="8" t="s">
        <v>7208</v>
      </c>
      <c r="D6" s="8" t="s">
        <v>7209</v>
      </c>
      <c r="E6" s="11"/>
      <c r="F6" s="11" t="s">
        <v>7210</v>
      </c>
      <c r="G6" s="14" t="s">
        <v>7211</v>
      </c>
      <c r="H6" s="12"/>
      <c r="I6" s="12"/>
    </row>
    <row r="7">
      <c r="A7" s="11" t="s">
        <v>7212</v>
      </c>
      <c r="B7" s="13" t="s">
        <v>3605</v>
      </c>
      <c r="C7" s="8" t="s">
        <v>7213</v>
      </c>
      <c r="D7" s="8" t="s">
        <v>7214</v>
      </c>
      <c r="E7" s="12"/>
      <c r="F7" s="11" t="s">
        <v>7215</v>
      </c>
      <c r="G7" s="14" t="s">
        <v>7216</v>
      </c>
      <c r="H7" s="12"/>
      <c r="I7" s="12"/>
    </row>
    <row r="8">
      <c r="A8" s="11" t="s">
        <v>7217</v>
      </c>
      <c r="B8" s="13" t="s">
        <v>3605</v>
      </c>
      <c r="C8" s="8" t="s">
        <v>7218</v>
      </c>
      <c r="D8" s="8" t="s">
        <v>3885</v>
      </c>
      <c r="E8" s="12"/>
      <c r="F8" s="11" t="s">
        <v>7219</v>
      </c>
      <c r="G8" s="14" t="s">
        <v>7220</v>
      </c>
      <c r="H8" s="12"/>
      <c r="I8" s="12"/>
    </row>
    <row r="9">
      <c r="A9" s="11" t="s">
        <v>7221</v>
      </c>
      <c r="B9" s="13" t="s">
        <v>3605</v>
      </c>
      <c r="C9" s="8" t="s">
        <v>7222</v>
      </c>
      <c r="D9" s="8" t="s">
        <v>7223</v>
      </c>
      <c r="E9" s="12"/>
      <c r="F9" s="11" t="s">
        <v>7224</v>
      </c>
      <c r="G9" s="14" t="s">
        <v>7225</v>
      </c>
      <c r="H9" s="11" t="s">
        <v>7226</v>
      </c>
      <c r="I9" s="12"/>
    </row>
    <row r="10">
      <c r="A10" s="11" t="s">
        <v>7227</v>
      </c>
      <c r="B10" s="13" t="s">
        <v>3605</v>
      </c>
      <c r="C10" s="8" t="s">
        <v>7228</v>
      </c>
      <c r="D10" s="8" t="s">
        <v>7229</v>
      </c>
      <c r="E10" s="12"/>
      <c r="F10" s="11" t="s">
        <v>7230</v>
      </c>
      <c r="G10" s="14" t="s">
        <v>7231</v>
      </c>
      <c r="H10" s="12"/>
      <c r="I10" s="12"/>
    </row>
    <row r="11">
      <c r="A11" s="11" t="s">
        <v>7232</v>
      </c>
      <c r="B11" s="13" t="s">
        <v>3605</v>
      </c>
      <c r="C11" s="8" t="s">
        <v>7233</v>
      </c>
      <c r="D11" s="8" t="s">
        <v>7234</v>
      </c>
      <c r="E11" s="12"/>
      <c r="F11" s="11" t="s">
        <v>7235</v>
      </c>
      <c r="G11" s="14" t="s">
        <v>7236</v>
      </c>
      <c r="H11" s="12"/>
      <c r="I11" s="12"/>
    </row>
    <row r="12">
      <c r="A12" s="11" t="s">
        <v>7237</v>
      </c>
      <c r="B12" s="13" t="s">
        <v>3605</v>
      </c>
      <c r="C12" s="8" t="s">
        <v>3702</v>
      </c>
      <c r="D12" s="8" t="s">
        <v>7238</v>
      </c>
      <c r="E12" s="11"/>
      <c r="F12" s="11" t="s">
        <v>7239</v>
      </c>
      <c r="G12" s="14" t="s">
        <v>7240</v>
      </c>
      <c r="H12" s="12"/>
      <c r="I12" s="12"/>
    </row>
    <row r="13">
      <c r="A13" s="11" t="s">
        <v>7241</v>
      </c>
      <c r="B13" s="13" t="s">
        <v>3605</v>
      </c>
      <c r="C13" s="8" t="s">
        <v>7242</v>
      </c>
      <c r="D13" s="8" t="s">
        <v>7243</v>
      </c>
      <c r="E13" s="11"/>
      <c r="F13" s="11" t="s">
        <v>7244</v>
      </c>
      <c r="G13" s="14" t="s">
        <v>7245</v>
      </c>
      <c r="H13" s="12"/>
      <c r="I13" s="12"/>
    </row>
    <row r="14">
      <c r="A14" s="11" t="s">
        <v>7246</v>
      </c>
      <c r="B14" s="13" t="s">
        <v>3605</v>
      </c>
      <c r="C14" s="8" t="s">
        <v>7247</v>
      </c>
      <c r="D14" s="8" t="s">
        <v>7248</v>
      </c>
      <c r="E14" s="11"/>
      <c r="F14" s="11" t="s">
        <v>7249</v>
      </c>
      <c r="G14" s="14" t="s">
        <v>7250</v>
      </c>
      <c r="H14" s="12"/>
      <c r="I14" s="12"/>
    </row>
    <row r="15">
      <c r="A15" s="11" t="s">
        <v>7251</v>
      </c>
      <c r="B15" s="13" t="s">
        <v>3605</v>
      </c>
      <c r="C15" s="8" t="s">
        <v>7252</v>
      </c>
      <c r="D15" s="8" t="s">
        <v>7253</v>
      </c>
      <c r="E15" s="11"/>
      <c r="F15" s="11" t="s">
        <v>7254</v>
      </c>
      <c r="G15" s="14" t="s">
        <v>7255</v>
      </c>
      <c r="H15" s="12"/>
      <c r="I15" s="12"/>
    </row>
    <row r="16">
      <c r="A16" s="11" t="s">
        <v>7256</v>
      </c>
      <c r="B16" s="13" t="s">
        <v>3605</v>
      </c>
      <c r="C16" s="8" t="s">
        <v>7257</v>
      </c>
      <c r="D16" s="8" t="s">
        <v>7258</v>
      </c>
      <c r="E16" s="11"/>
      <c r="F16" s="11" t="s">
        <v>7259</v>
      </c>
      <c r="G16" s="14" t="s">
        <v>7260</v>
      </c>
      <c r="H16" s="12"/>
      <c r="I16" s="12"/>
    </row>
    <row r="17">
      <c r="A17" s="11" t="s">
        <v>7261</v>
      </c>
      <c r="B17" s="13" t="s">
        <v>3605</v>
      </c>
      <c r="C17" s="8" t="s">
        <v>7262</v>
      </c>
      <c r="D17" s="8" t="s">
        <v>7263</v>
      </c>
      <c r="E17" s="11"/>
      <c r="F17" s="11" t="s">
        <v>7264</v>
      </c>
      <c r="G17" s="14" t="s">
        <v>7265</v>
      </c>
      <c r="H17" s="12"/>
      <c r="I17" s="12"/>
    </row>
    <row r="18">
      <c r="A18" s="11" t="s">
        <v>7266</v>
      </c>
      <c r="B18" s="13" t="s">
        <v>3605</v>
      </c>
      <c r="C18" s="8" t="s">
        <v>7267</v>
      </c>
      <c r="D18" s="8" t="s">
        <v>7268</v>
      </c>
      <c r="E18" s="11"/>
      <c r="F18" s="11" t="s">
        <v>7269</v>
      </c>
      <c r="G18" s="14" t="s">
        <v>7270</v>
      </c>
      <c r="H18" s="12"/>
      <c r="I18" s="12"/>
    </row>
    <row r="19">
      <c r="A19" s="11" t="s">
        <v>7271</v>
      </c>
      <c r="B19" s="13" t="s">
        <v>3605</v>
      </c>
      <c r="C19" s="8" t="s">
        <v>7272</v>
      </c>
      <c r="D19" s="8" t="s">
        <v>7273</v>
      </c>
      <c r="E19" s="11"/>
      <c r="F19" s="11" t="s">
        <v>7274</v>
      </c>
      <c r="G19" s="14" t="s">
        <v>7275</v>
      </c>
      <c r="H19" s="12"/>
      <c r="I19" s="12"/>
    </row>
    <row r="20">
      <c r="A20" s="11" t="s">
        <v>7276</v>
      </c>
      <c r="B20" s="13" t="s">
        <v>3605</v>
      </c>
      <c r="C20" s="8" t="s">
        <v>7277</v>
      </c>
      <c r="D20" s="8" t="s">
        <v>7278</v>
      </c>
      <c r="E20" s="11"/>
      <c r="F20" s="11" t="s">
        <v>7279</v>
      </c>
      <c r="G20" s="14" t="s">
        <v>7280</v>
      </c>
      <c r="H20" s="12"/>
      <c r="I20" s="12"/>
    </row>
    <row r="21">
      <c r="A21" s="11" t="s">
        <v>7281</v>
      </c>
      <c r="B21" s="13" t="s">
        <v>3605</v>
      </c>
      <c r="C21" s="8" t="s">
        <v>7282</v>
      </c>
      <c r="D21" s="8" t="s">
        <v>7283</v>
      </c>
      <c r="E21" s="11"/>
      <c r="F21" s="11" t="s">
        <v>7284</v>
      </c>
      <c r="G21" s="14" t="s">
        <v>7285</v>
      </c>
      <c r="H21" s="12"/>
      <c r="I21" s="12"/>
    </row>
    <row r="22">
      <c r="A22" s="11" t="s">
        <v>7286</v>
      </c>
      <c r="B22" s="13" t="s">
        <v>3605</v>
      </c>
      <c r="C22" s="8" t="s">
        <v>7287</v>
      </c>
      <c r="D22" s="8" t="s">
        <v>7238</v>
      </c>
      <c r="E22" s="11"/>
      <c r="F22" s="11" t="s">
        <v>7288</v>
      </c>
      <c r="G22" s="14" t="s">
        <v>7289</v>
      </c>
      <c r="H22" s="12"/>
      <c r="I22" s="12"/>
    </row>
    <row r="23">
      <c r="A23" s="11" t="s">
        <v>7290</v>
      </c>
      <c r="B23" s="13" t="s">
        <v>3605</v>
      </c>
      <c r="C23" s="8" t="s">
        <v>7291</v>
      </c>
      <c r="D23" s="8" t="s">
        <v>3928</v>
      </c>
      <c r="E23" s="11"/>
      <c r="F23" s="11" t="s">
        <v>7292</v>
      </c>
      <c r="G23" s="14" t="s">
        <v>7293</v>
      </c>
      <c r="H23" s="11" t="s">
        <v>7294</v>
      </c>
      <c r="I23" s="12"/>
    </row>
    <row r="24">
      <c r="A24" s="11" t="s">
        <v>7295</v>
      </c>
      <c r="B24" s="13" t="s">
        <v>3605</v>
      </c>
      <c r="C24" s="8" t="s">
        <v>7296</v>
      </c>
      <c r="D24" s="8" t="s">
        <v>7297</v>
      </c>
      <c r="E24" s="11"/>
      <c r="F24" s="11" t="s">
        <v>7298</v>
      </c>
      <c r="G24" s="14" t="s">
        <v>7299</v>
      </c>
      <c r="H24" s="12"/>
      <c r="I24" s="12"/>
    </row>
    <row r="25">
      <c r="A25" s="11" t="s">
        <v>7300</v>
      </c>
      <c r="B25" s="13" t="s">
        <v>3605</v>
      </c>
      <c r="C25" s="8" t="s">
        <v>7301</v>
      </c>
      <c r="D25" s="8" t="s">
        <v>7302</v>
      </c>
      <c r="E25" s="11"/>
      <c r="F25" s="11" t="s">
        <v>7303</v>
      </c>
      <c r="G25" s="14" t="s">
        <v>7304</v>
      </c>
      <c r="H25" s="12"/>
      <c r="I25" s="12"/>
    </row>
    <row r="26">
      <c r="A26" s="11" t="s">
        <v>7305</v>
      </c>
      <c r="B26" s="13" t="s">
        <v>3750</v>
      </c>
      <c r="C26" s="8" t="s">
        <v>7306</v>
      </c>
      <c r="D26" s="8" t="s">
        <v>7307</v>
      </c>
      <c r="E26" s="11"/>
      <c r="F26" s="11" t="s">
        <v>7308</v>
      </c>
      <c r="G26" s="14" t="s">
        <v>7309</v>
      </c>
      <c r="H26" s="12"/>
      <c r="I26" s="12"/>
    </row>
    <row r="27">
      <c r="A27" s="11" t="s">
        <v>7310</v>
      </c>
      <c r="B27" s="13" t="s">
        <v>3750</v>
      </c>
      <c r="C27" s="8" t="s">
        <v>7311</v>
      </c>
      <c r="D27" s="8" t="s">
        <v>7312</v>
      </c>
      <c r="E27" s="11"/>
      <c r="F27" s="11" t="s">
        <v>7313</v>
      </c>
      <c r="G27" s="14" t="s">
        <v>7314</v>
      </c>
      <c r="H27" s="12"/>
      <c r="I27" s="12"/>
    </row>
    <row r="28">
      <c r="A28" s="11" t="s">
        <v>7315</v>
      </c>
      <c r="B28" s="13" t="s">
        <v>3755</v>
      </c>
      <c r="C28" s="8" t="s">
        <v>7316</v>
      </c>
      <c r="D28" s="8" t="s">
        <v>7317</v>
      </c>
      <c r="E28" s="12"/>
      <c r="F28" s="11" t="s">
        <v>7318</v>
      </c>
      <c r="G28" s="14" t="s">
        <v>7319</v>
      </c>
      <c r="H28" s="12"/>
      <c r="I28" s="12"/>
    </row>
    <row r="29">
      <c r="A29" s="11" t="s">
        <v>7320</v>
      </c>
      <c r="B29" s="13" t="s">
        <v>3755</v>
      </c>
      <c r="C29" s="8" t="s">
        <v>7321</v>
      </c>
      <c r="D29" s="8" t="s">
        <v>7322</v>
      </c>
      <c r="E29" s="12"/>
      <c r="F29" s="11" t="s">
        <v>7323</v>
      </c>
      <c r="G29" s="14" t="s">
        <v>7324</v>
      </c>
      <c r="H29" s="12"/>
      <c r="I29" s="12"/>
    </row>
    <row r="30">
      <c r="A30" s="11" t="s">
        <v>7325</v>
      </c>
      <c r="B30" s="13" t="s">
        <v>3755</v>
      </c>
      <c r="C30" s="8" t="s">
        <v>7326</v>
      </c>
      <c r="D30" s="8" t="s">
        <v>7327</v>
      </c>
      <c r="E30" s="11"/>
      <c r="F30" s="11" t="s">
        <v>7328</v>
      </c>
      <c r="G30" s="14" t="s">
        <v>7329</v>
      </c>
      <c r="H30" s="12"/>
      <c r="I30" s="12"/>
    </row>
    <row r="31">
      <c r="A31" s="11" t="s">
        <v>7330</v>
      </c>
      <c r="B31" s="13" t="s">
        <v>3755</v>
      </c>
      <c r="C31" s="8" t="s">
        <v>7331</v>
      </c>
      <c r="D31" s="8" t="s">
        <v>7332</v>
      </c>
      <c r="E31" s="11"/>
      <c r="F31" s="11" t="s">
        <v>7333</v>
      </c>
      <c r="G31" s="14" t="s">
        <v>7334</v>
      </c>
      <c r="H31" s="12"/>
      <c r="I31" s="12"/>
    </row>
    <row r="32">
      <c r="A32" s="11" t="s">
        <v>7335</v>
      </c>
      <c r="B32" s="13" t="s">
        <v>3764</v>
      </c>
      <c r="C32" s="8" t="s">
        <v>7336</v>
      </c>
      <c r="D32" s="8" t="s">
        <v>7337</v>
      </c>
      <c r="E32" s="11"/>
      <c r="F32" s="11" t="s">
        <v>7338</v>
      </c>
      <c r="G32" s="14" t="s">
        <v>7339</v>
      </c>
      <c r="H32" s="12"/>
      <c r="I32" s="12"/>
    </row>
    <row r="33">
      <c r="A33" s="11" t="s">
        <v>7340</v>
      </c>
      <c r="B33" s="13" t="s">
        <v>3764</v>
      </c>
      <c r="C33" s="8" t="s">
        <v>7341</v>
      </c>
      <c r="D33" s="8" t="s">
        <v>7342</v>
      </c>
      <c r="E33" s="12"/>
      <c r="F33" s="11" t="s">
        <v>7343</v>
      </c>
      <c r="G33" s="14" t="s">
        <v>7344</v>
      </c>
      <c r="H33" s="12"/>
      <c r="I33" s="12"/>
    </row>
    <row r="34">
      <c r="A34" s="11" t="s">
        <v>7345</v>
      </c>
      <c r="B34" s="13" t="s">
        <v>3764</v>
      </c>
      <c r="C34" s="8" t="s">
        <v>7346</v>
      </c>
      <c r="D34" s="8" t="s">
        <v>7347</v>
      </c>
      <c r="E34" s="12"/>
      <c r="F34" s="11" t="s">
        <v>7348</v>
      </c>
      <c r="G34" s="14" t="s">
        <v>7349</v>
      </c>
      <c r="H34" s="12"/>
      <c r="I34" s="12"/>
    </row>
    <row r="35">
      <c r="A35" s="11" t="s">
        <v>7350</v>
      </c>
      <c r="B35" s="13" t="s">
        <v>3764</v>
      </c>
      <c r="C35" s="8" t="s">
        <v>7351</v>
      </c>
      <c r="D35" s="8" t="s">
        <v>2115</v>
      </c>
      <c r="E35" s="12"/>
      <c r="F35" s="11" t="s">
        <v>7352</v>
      </c>
      <c r="G35" s="14" t="s">
        <v>7353</v>
      </c>
      <c r="H35" s="12"/>
      <c r="I35" s="12"/>
    </row>
    <row r="36">
      <c r="A36" s="11" t="s">
        <v>7354</v>
      </c>
      <c r="B36" s="13" t="s">
        <v>3764</v>
      </c>
      <c r="C36" s="8" t="s">
        <v>7355</v>
      </c>
      <c r="D36" s="8" t="s">
        <v>7356</v>
      </c>
      <c r="E36" s="12"/>
      <c r="F36" s="11" t="s">
        <v>7357</v>
      </c>
      <c r="G36" s="14" t="s">
        <v>7358</v>
      </c>
      <c r="H36" s="12"/>
      <c r="I36" s="12"/>
    </row>
    <row r="37">
      <c r="A37" s="11" t="s">
        <v>7359</v>
      </c>
      <c r="B37" s="13" t="s">
        <v>3764</v>
      </c>
      <c r="C37" s="8" t="s">
        <v>5811</v>
      </c>
      <c r="D37" s="8" t="s">
        <v>7360</v>
      </c>
      <c r="E37" s="12"/>
      <c r="F37" s="11" t="s">
        <v>7361</v>
      </c>
      <c r="G37" s="14" t="s">
        <v>7362</v>
      </c>
      <c r="H37" s="12"/>
      <c r="I37" s="12"/>
    </row>
    <row r="38">
      <c r="A38" s="11" t="s">
        <v>7363</v>
      </c>
      <c r="B38" s="13" t="s">
        <v>3764</v>
      </c>
      <c r="C38" s="8" t="s">
        <v>7364</v>
      </c>
      <c r="D38" s="8" t="s">
        <v>7365</v>
      </c>
      <c r="E38" s="11"/>
      <c r="F38" s="11" t="s">
        <v>7366</v>
      </c>
      <c r="G38" s="14" t="s">
        <v>7367</v>
      </c>
      <c r="H38" s="12"/>
      <c r="I38" s="12"/>
    </row>
    <row r="39">
      <c r="A39" s="11" t="s">
        <v>7368</v>
      </c>
      <c r="B39" s="13" t="s">
        <v>3764</v>
      </c>
      <c r="C39" s="8" t="s">
        <v>7369</v>
      </c>
      <c r="D39" s="8" t="s">
        <v>7370</v>
      </c>
      <c r="E39" s="11"/>
      <c r="F39" s="11" t="s">
        <v>7371</v>
      </c>
      <c r="G39" s="14" t="s">
        <v>7372</v>
      </c>
      <c r="H39" s="12"/>
      <c r="I39" s="12"/>
    </row>
    <row r="40">
      <c r="A40" s="11" t="s">
        <v>7373</v>
      </c>
      <c r="B40" s="13" t="s">
        <v>3764</v>
      </c>
      <c r="C40" s="8" t="s">
        <v>7374</v>
      </c>
      <c r="D40" s="8" t="s">
        <v>7375</v>
      </c>
      <c r="E40" s="11"/>
      <c r="F40" s="11" t="s">
        <v>7376</v>
      </c>
      <c r="G40" s="14" t="s">
        <v>7377</v>
      </c>
      <c r="H40" s="12"/>
      <c r="I40" s="12"/>
    </row>
    <row r="41">
      <c r="A41" s="11" t="s">
        <v>7378</v>
      </c>
      <c r="B41" s="13" t="s">
        <v>3764</v>
      </c>
      <c r="C41" s="8" t="s">
        <v>7379</v>
      </c>
      <c r="D41" s="8" t="s">
        <v>7380</v>
      </c>
      <c r="E41" s="11"/>
      <c r="F41" s="11" t="s">
        <v>7381</v>
      </c>
      <c r="G41" s="14" t="s">
        <v>7382</v>
      </c>
      <c r="H41" s="12"/>
      <c r="I41" s="12"/>
    </row>
    <row r="42">
      <c r="A42" s="11" t="s">
        <v>7383</v>
      </c>
      <c r="B42" s="13" t="s">
        <v>3764</v>
      </c>
      <c r="C42" s="8" t="s">
        <v>7384</v>
      </c>
      <c r="D42" s="8" t="s">
        <v>7385</v>
      </c>
      <c r="E42" s="11"/>
      <c r="F42" s="11" t="s">
        <v>7386</v>
      </c>
      <c r="G42" s="14" t="s">
        <v>7387</v>
      </c>
      <c r="H42" s="12"/>
      <c r="I42" s="12"/>
    </row>
    <row r="43">
      <c r="A43" s="11" t="s">
        <v>7388</v>
      </c>
      <c r="B43" s="13" t="s">
        <v>3764</v>
      </c>
      <c r="C43" s="8" t="s">
        <v>7389</v>
      </c>
      <c r="D43" s="8" t="s">
        <v>7390</v>
      </c>
      <c r="E43" s="11"/>
      <c r="F43" s="11" t="s">
        <v>7391</v>
      </c>
      <c r="G43" s="14" t="s">
        <v>7392</v>
      </c>
      <c r="H43" s="12"/>
      <c r="I43" s="12"/>
    </row>
    <row r="44">
      <c r="A44" s="11" t="s">
        <v>7393</v>
      </c>
      <c r="B44" s="13" t="s">
        <v>3764</v>
      </c>
      <c r="C44" s="8" t="s">
        <v>7394</v>
      </c>
      <c r="D44" s="8" t="s">
        <v>7395</v>
      </c>
      <c r="E44" s="11"/>
      <c r="F44" s="11" t="s">
        <v>7396</v>
      </c>
      <c r="G44" s="14" t="s">
        <v>7397</v>
      </c>
      <c r="H44" s="12"/>
      <c r="I44" s="12"/>
    </row>
    <row r="45">
      <c r="A45" s="11" t="s">
        <v>7398</v>
      </c>
      <c r="B45" s="13" t="s">
        <v>3764</v>
      </c>
      <c r="C45" s="8" t="s">
        <v>7399</v>
      </c>
      <c r="D45" s="8" t="s">
        <v>7400</v>
      </c>
      <c r="E45" s="11"/>
      <c r="F45" s="11" t="s">
        <v>7401</v>
      </c>
      <c r="G45" s="14" t="s">
        <v>7402</v>
      </c>
      <c r="H45" s="12"/>
      <c r="I45" s="12"/>
    </row>
    <row r="46">
      <c r="A46" s="11" t="s">
        <v>7403</v>
      </c>
      <c r="B46" s="13" t="s">
        <v>3764</v>
      </c>
      <c r="C46" s="8" t="s">
        <v>7404</v>
      </c>
      <c r="D46" s="8" t="s">
        <v>7405</v>
      </c>
      <c r="E46" s="11"/>
      <c r="F46" s="11" t="s">
        <v>7406</v>
      </c>
      <c r="G46" s="14" t="s">
        <v>7407</v>
      </c>
      <c r="H46" s="12"/>
      <c r="I46" s="12"/>
    </row>
    <row r="47">
      <c r="A47" s="11" t="s">
        <v>7408</v>
      </c>
      <c r="B47" s="13" t="s">
        <v>3764</v>
      </c>
      <c r="C47" s="8" t="s">
        <v>7409</v>
      </c>
      <c r="D47" s="8" t="s">
        <v>7410</v>
      </c>
      <c r="E47" s="11"/>
      <c r="F47" s="11" t="s">
        <v>7411</v>
      </c>
      <c r="G47" s="14" t="s">
        <v>7412</v>
      </c>
      <c r="H47" s="12"/>
      <c r="I47" s="12"/>
    </row>
    <row r="48">
      <c r="A48" s="11" t="s">
        <v>7413</v>
      </c>
      <c r="B48" s="13" t="s">
        <v>3815</v>
      </c>
      <c r="C48" s="8" t="s">
        <v>7414</v>
      </c>
      <c r="D48" s="8" t="s">
        <v>7415</v>
      </c>
      <c r="E48" s="11"/>
      <c r="F48" s="11" t="s">
        <v>7416</v>
      </c>
      <c r="G48" s="14" t="s">
        <v>7417</v>
      </c>
      <c r="H48" s="12"/>
      <c r="I48" s="12"/>
    </row>
    <row r="49">
      <c r="A49" s="11" t="s">
        <v>7418</v>
      </c>
      <c r="B49" s="13" t="s">
        <v>3815</v>
      </c>
      <c r="C49" s="8" t="s">
        <v>7419</v>
      </c>
      <c r="D49" s="8" t="s">
        <v>7420</v>
      </c>
      <c r="E49" s="11"/>
      <c r="F49" s="11" t="s">
        <v>7421</v>
      </c>
      <c r="G49" s="14" t="s">
        <v>7422</v>
      </c>
      <c r="H49" s="12"/>
      <c r="I49" s="12"/>
    </row>
    <row r="50">
      <c r="A50" s="11" t="s">
        <v>7423</v>
      </c>
      <c r="B50" s="13" t="s">
        <v>3815</v>
      </c>
      <c r="C50" s="8" t="s">
        <v>7424</v>
      </c>
      <c r="D50" s="8" t="s">
        <v>7425</v>
      </c>
      <c r="E50" s="12"/>
      <c r="F50" s="11" t="s">
        <v>7426</v>
      </c>
      <c r="G50" s="14" t="s">
        <v>7427</v>
      </c>
      <c r="H50" s="12"/>
      <c r="I50" s="12"/>
    </row>
    <row r="51">
      <c r="A51" s="11" t="s">
        <v>7428</v>
      </c>
      <c r="B51" s="13" t="s">
        <v>3815</v>
      </c>
      <c r="C51" s="8" t="s">
        <v>6384</v>
      </c>
      <c r="D51" s="8" t="s">
        <v>7429</v>
      </c>
      <c r="E51" s="12"/>
      <c r="F51" s="11" t="s">
        <v>7430</v>
      </c>
      <c r="G51" s="14" t="s">
        <v>7431</v>
      </c>
      <c r="H51" s="12"/>
      <c r="I51" s="12"/>
    </row>
    <row r="52">
      <c r="A52" s="11" t="s">
        <v>7432</v>
      </c>
      <c r="B52" s="13" t="s">
        <v>3815</v>
      </c>
      <c r="C52" s="8" t="s">
        <v>7433</v>
      </c>
      <c r="D52" s="8" t="s">
        <v>7434</v>
      </c>
      <c r="E52" s="12"/>
      <c r="F52" s="11" t="s">
        <v>7435</v>
      </c>
      <c r="G52" s="14" t="s">
        <v>7436</v>
      </c>
      <c r="H52" s="12"/>
      <c r="I52" s="12"/>
    </row>
    <row r="53">
      <c r="A53" s="11" t="s">
        <v>7437</v>
      </c>
      <c r="B53" s="13" t="s">
        <v>3815</v>
      </c>
      <c r="C53" s="8" t="s">
        <v>7438</v>
      </c>
      <c r="D53" s="8" t="s">
        <v>7439</v>
      </c>
      <c r="E53" s="12"/>
      <c r="F53" s="11" t="s">
        <v>7440</v>
      </c>
      <c r="G53" s="14" t="s">
        <v>7441</v>
      </c>
      <c r="H53" s="12"/>
      <c r="I53" s="12"/>
    </row>
    <row r="54">
      <c r="A54" s="11" t="s">
        <v>7442</v>
      </c>
      <c r="B54" s="13" t="s">
        <v>3815</v>
      </c>
      <c r="C54" s="8" t="s">
        <v>7443</v>
      </c>
      <c r="D54" s="8" t="s">
        <v>7444</v>
      </c>
      <c r="E54" s="12"/>
      <c r="F54" s="11" t="s">
        <v>7445</v>
      </c>
      <c r="G54" s="14" t="s">
        <v>7446</v>
      </c>
      <c r="H54" s="12"/>
      <c r="I54" s="12"/>
    </row>
    <row r="55">
      <c r="A55" s="11" t="s">
        <v>7447</v>
      </c>
      <c r="B55" s="13" t="s">
        <v>3815</v>
      </c>
      <c r="C55" s="8" t="s">
        <v>7448</v>
      </c>
      <c r="D55" s="8" t="s">
        <v>7449</v>
      </c>
      <c r="E55" s="11"/>
      <c r="F55" s="11" t="s">
        <v>7450</v>
      </c>
      <c r="G55" s="14" t="s">
        <v>7451</v>
      </c>
      <c r="H55" s="12"/>
      <c r="I55" s="12"/>
    </row>
    <row r="56">
      <c r="A56" s="11" t="s">
        <v>7452</v>
      </c>
      <c r="B56" s="13" t="s">
        <v>3815</v>
      </c>
      <c r="C56" s="8" t="s">
        <v>7453</v>
      </c>
      <c r="D56" s="8" t="s">
        <v>7454</v>
      </c>
      <c r="E56" s="11"/>
      <c r="F56" s="11" t="s">
        <v>7455</v>
      </c>
      <c r="G56" s="14" t="s">
        <v>7456</v>
      </c>
      <c r="H56" s="12"/>
      <c r="I56" s="12"/>
    </row>
    <row r="57">
      <c r="A57" s="11" t="s">
        <v>7457</v>
      </c>
      <c r="B57" s="13" t="s">
        <v>3815</v>
      </c>
      <c r="C57" s="8" t="s">
        <v>7458</v>
      </c>
      <c r="D57" s="8" t="s">
        <v>7459</v>
      </c>
      <c r="E57" s="11"/>
      <c r="F57" s="11" t="s">
        <v>7460</v>
      </c>
      <c r="G57" s="14" t="s">
        <v>7461</v>
      </c>
      <c r="H57" s="12"/>
      <c r="I57" s="12"/>
    </row>
    <row r="58">
      <c r="A58" s="11" t="s">
        <v>7462</v>
      </c>
      <c r="B58" s="13" t="s">
        <v>3815</v>
      </c>
      <c r="C58" s="8" t="s">
        <v>7463</v>
      </c>
      <c r="D58" s="8" t="s">
        <v>7464</v>
      </c>
      <c r="E58" s="11"/>
      <c r="F58" s="11" t="s">
        <v>7465</v>
      </c>
      <c r="G58" s="14" t="s">
        <v>7466</v>
      </c>
      <c r="H58" s="12"/>
      <c r="I58" s="12"/>
    </row>
    <row r="59">
      <c r="A59" s="11" t="s">
        <v>7467</v>
      </c>
      <c r="B59" s="13" t="s">
        <v>3815</v>
      </c>
      <c r="C59" s="8" t="s">
        <v>7468</v>
      </c>
      <c r="D59" s="8" t="s">
        <v>7469</v>
      </c>
      <c r="E59" s="11"/>
      <c r="F59" s="11" t="s">
        <v>7470</v>
      </c>
      <c r="G59" s="14" t="s">
        <v>7471</v>
      </c>
      <c r="H59" s="12"/>
      <c r="I59" s="12"/>
    </row>
    <row r="60">
      <c r="A60" s="11" t="s">
        <v>7472</v>
      </c>
      <c r="B60" s="13" t="s">
        <v>3815</v>
      </c>
      <c r="C60" s="8" t="s">
        <v>7473</v>
      </c>
      <c r="D60" s="8" t="s">
        <v>7474</v>
      </c>
      <c r="E60" s="11"/>
      <c r="F60" s="11" t="s">
        <v>7475</v>
      </c>
      <c r="G60" s="14" t="s">
        <v>7476</v>
      </c>
      <c r="H60" s="12"/>
      <c r="I60" s="12"/>
    </row>
    <row r="61">
      <c r="A61" s="11" t="s">
        <v>7477</v>
      </c>
      <c r="B61" s="13" t="s">
        <v>3815</v>
      </c>
      <c r="C61" s="8" t="s">
        <v>7478</v>
      </c>
      <c r="D61" s="8" t="s">
        <v>7479</v>
      </c>
      <c r="E61" s="11"/>
      <c r="F61" s="11" t="s">
        <v>7480</v>
      </c>
      <c r="G61" s="14" t="s">
        <v>7481</v>
      </c>
      <c r="H61" s="12"/>
      <c r="I61" s="12"/>
    </row>
    <row r="62">
      <c r="A62" s="11" t="s">
        <v>7482</v>
      </c>
      <c r="B62" s="13" t="s">
        <v>3815</v>
      </c>
      <c r="C62" s="8" t="s">
        <v>7483</v>
      </c>
      <c r="D62" s="8" t="s">
        <v>7484</v>
      </c>
      <c r="E62" s="11"/>
      <c r="F62" s="11" t="s">
        <v>7485</v>
      </c>
      <c r="G62" s="14" t="s">
        <v>7486</v>
      </c>
      <c r="H62" s="12"/>
      <c r="I62" s="12"/>
    </row>
    <row r="63">
      <c r="A63" s="11" t="s">
        <v>7487</v>
      </c>
      <c r="B63" s="13" t="s">
        <v>3815</v>
      </c>
      <c r="C63" s="8" t="s">
        <v>7488</v>
      </c>
      <c r="D63" s="8" t="s">
        <v>7489</v>
      </c>
      <c r="E63" s="11"/>
      <c r="F63" s="11" t="s">
        <v>7490</v>
      </c>
      <c r="G63" s="14" t="s">
        <v>7491</v>
      </c>
      <c r="H63" s="12"/>
      <c r="I63" s="12"/>
    </row>
    <row r="64">
      <c r="A64" s="11" t="s">
        <v>7492</v>
      </c>
      <c r="B64" s="13" t="s">
        <v>3815</v>
      </c>
      <c r="C64" s="8" t="s">
        <v>7493</v>
      </c>
      <c r="D64" s="8" t="s">
        <v>7494</v>
      </c>
      <c r="E64" s="11"/>
      <c r="F64" s="11" t="s">
        <v>7495</v>
      </c>
      <c r="G64" s="14" t="s">
        <v>7496</v>
      </c>
      <c r="H64" s="12"/>
      <c r="I64" s="12"/>
    </row>
    <row r="65">
      <c r="A65" s="11" t="s">
        <v>7497</v>
      </c>
      <c r="B65" s="13" t="s">
        <v>3815</v>
      </c>
      <c r="C65" s="8" t="s">
        <v>7498</v>
      </c>
      <c r="D65" s="8" t="s">
        <v>7499</v>
      </c>
      <c r="E65" s="11"/>
      <c r="F65" s="11" t="s">
        <v>7500</v>
      </c>
      <c r="G65" s="14" t="s">
        <v>7501</v>
      </c>
      <c r="H65" s="12"/>
      <c r="I65" s="12"/>
    </row>
    <row r="66">
      <c r="A66" s="11" t="s">
        <v>7502</v>
      </c>
      <c r="B66" s="13" t="s">
        <v>3815</v>
      </c>
      <c r="C66" s="8" t="s">
        <v>7503</v>
      </c>
      <c r="D66" s="8" t="s">
        <v>7504</v>
      </c>
      <c r="E66" s="11"/>
      <c r="F66" s="11" t="s">
        <v>7505</v>
      </c>
      <c r="G66" s="14" t="s">
        <v>7506</v>
      </c>
      <c r="H66" s="12"/>
      <c r="I66" s="12"/>
    </row>
    <row r="67">
      <c r="A67" s="11" t="s">
        <v>7507</v>
      </c>
      <c r="B67" s="13" t="s">
        <v>3815</v>
      </c>
      <c r="C67" s="8" t="s">
        <v>7508</v>
      </c>
      <c r="D67" s="8" t="s">
        <v>7509</v>
      </c>
      <c r="E67" s="11"/>
      <c r="F67" s="11" t="s">
        <v>7510</v>
      </c>
      <c r="G67" s="14" t="s">
        <v>7511</v>
      </c>
      <c r="H67" s="12"/>
      <c r="I67" s="12"/>
    </row>
    <row r="68">
      <c r="A68" s="11" t="s">
        <v>7512</v>
      </c>
      <c r="B68" s="13" t="s">
        <v>3815</v>
      </c>
      <c r="C68" s="8" t="s">
        <v>7513</v>
      </c>
      <c r="D68" s="8" t="s">
        <v>7514</v>
      </c>
      <c r="E68" s="11"/>
      <c r="F68" s="11" t="s">
        <v>7515</v>
      </c>
      <c r="G68" s="14" t="s">
        <v>7516</v>
      </c>
      <c r="H68" s="12"/>
      <c r="I68" s="12"/>
    </row>
    <row r="69">
      <c r="A69" s="11" t="s">
        <v>7517</v>
      </c>
      <c r="B69" s="13" t="s">
        <v>3815</v>
      </c>
      <c r="C69" s="8" t="s">
        <v>7518</v>
      </c>
      <c r="D69" s="8" t="s">
        <v>7519</v>
      </c>
      <c r="E69" s="11"/>
      <c r="F69" s="11" t="s">
        <v>7520</v>
      </c>
      <c r="G69" s="14" t="s">
        <v>7521</v>
      </c>
      <c r="H69" s="12"/>
      <c r="I69" s="12"/>
    </row>
    <row r="70">
      <c r="A70" s="11" t="s">
        <v>7522</v>
      </c>
      <c r="B70" s="13" t="s">
        <v>3815</v>
      </c>
      <c r="C70" s="8" t="s">
        <v>7523</v>
      </c>
      <c r="D70" s="8" t="s">
        <v>7524</v>
      </c>
      <c r="E70" s="11"/>
      <c r="F70" s="11" t="s">
        <v>7525</v>
      </c>
      <c r="G70" s="14" t="s">
        <v>7526</v>
      </c>
      <c r="H70" s="12"/>
      <c r="I70" s="12"/>
    </row>
    <row r="71">
      <c r="A71" s="11" t="s">
        <v>7527</v>
      </c>
      <c r="B71" s="13" t="s">
        <v>3815</v>
      </c>
      <c r="C71" s="8" t="s">
        <v>7528</v>
      </c>
      <c r="D71" s="8" t="s">
        <v>7529</v>
      </c>
      <c r="E71" s="11"/>
      <c r="F71" s="11" t="s">
        <v>7530</v>
      </c>
      <c r="G71" s="14" t="s">
        <v>7531</v>
      </c>
      <c r="H71" s="12"/>
      <c r="I71" s="12"/>
    </row>
    <row r="72">
      <c r="A72" s="11" t="s">
        <v>7532</v>
      </c>
      <c r="B72" s="13" t="s">
        <v>3815</v>
      </c>
      <c r="C72" s="8" t="s">
        <v>7533</v>
      </c>
      <c r="D72" s="8" t="s">
        <v>3928</v>
      </c>
      <c r="E72" s="11"/>
      <c r="F72" s="11" t="s">
        <v>7534</v>
      </c>
      <c r="G72" s="14" t="s">
        <v>7535</v>
      </c>
      <c r="H72" s="12"/>
      <c r="I72" s="12"/>
    </row>
    <row r="73">
      <c r="A73" s="11" t="s">
        <v>7536</v>
      </c>
      <c r="B73" s="13" t="s">
        <v>3815</v>
      </c>
      <c r="C73" s="8" t="s">
        <v>7537</v>
      </c>
      <c r="D73" s="8" t="s">
        <v>7538</v>
      </c>
      <c r="E73" s="11"/>
      <c r="F73" s="11" t="s">
        <v>7539</v>
      </c>
      <c r="G73" s="14" t="s">
        <v>7540</v>
      </c>
      <c r="H73" s="12"/>
      <c r="I73" s="12"/>
    </row>
    <row r="74">
      <c r="A74" s="11" t="s">
        <v>7541</v>
      </c>
      <c r="B74" s="13" t="s">
        <v>3815</v>
      </c>
      <c r="C74" s="8" t="s">
        <v>7542</v>
      </c>
      <c r="D74" s="8" t="s">
        <v>7543</v>
      </c>
      <c r="E74" s="11"/>
      <c r="F74" s="11" t="s">
        <v>7544</v>
      </c>
      <c r="G74" s="14" t="s">
        <v>7545</v>
      </c>
      <c r="H74" s="12"/>
      <c r="I74" s="12"/>
    </row>
    <row r="75">
      <c r="A75" s="11" t="s">
        <v>7546</v>
      </c>
      <c r="B75" s="13" t="s">
        <v>3815</v>
      </c>
      <c r="C75" s="8" t="s">
        <v>7547</v>
      </c>
      <c r="D75" s="8" t="s">
        <v>7548</v>
      </c>
      <c r="E75" s="11"/>
      <c r="F75" s="11" t="s">
        <v>7549</v>
      </c>
      <c r="G75" s="14" t="s">
        <v>7550</v>
      </c>
      <c r="H75" s="12"/>
      <c r="I75" s="12"/>
    </row>
    <row r="76">
      <c r="A76" s="11" t="s">
        <v>7551</v>
      </c>
      <c r="B76" s="13" t="s">
        <v>3815</v>
      </c>
      <c r="C76" s="8" t="s">
        <v>7552</v>
      </c>
      <c r="D76" s="8" t="s">
        <v>7553</v>
      </c>
      <c r="E76" s="11"/>
      <c r="F76" s="11" t="s">
        <v>7554</v>
      </c>
      <c r="G76" s="14" t="s">
        <v>7555</v>
      </c>
      <c r="H76" s="12"/>
      <c r="I76" s="12"/>
    </row>
    <row r="77">
      <c r="A77" s="11" t="s">
        <v>7556</v>
      </c>
      <c r="B77" s="13" t="s">
        <v>3815</v>
      </c>
      <c r="C77" s="8" t="s">
        <v>7557</v>
      </c>
      <c r="D77" s="8" t="s">
        <v>7558</v>
      </c>
      <c r="E77" s="11"/>
      <c r="F77" s="11" t="s">
        <v>7559</v>
      </c>
      <c r="G77" s="14" t="s">
        <v>7560</v>
      </c>
      <c r="H77" s="12"/>
      <c r="I77" s="12"/>
    </row>
    <row r="78">
      <c r="A78" s="11" t="s">
        <v>7561</v>
      </c>
      <c r="B78" s="13" t="s">
        <v>3862</v>
      </c>
      <c r="C78" s="8" t="s">
        <v>7562</v>
      </c>
      <c r="D78" s="8" t="s">
        <v>7563</v>
      </c>
      <c r="E78" s="12"/>
      <c r="F78" s="11" t="s">
        <v>7564</v>
      </c>
      <c r="G78" s="14" t="s">
        <v>7565</v>
      </c>
      <c r="H78" s="12"/>
      <c r="I78" s="12"/>
    </row>
    <row r="79">
      <c r="A79" s="11" t="s">
        <v>7566</v>
      </c>
      <c r="B79" s="13" t="s">
        <v>3862</v>
      </c>
      <c r="C79" s="8" t="s">
        <v>7567</v>
      </c>
      <c r="D79" s="8" t="s">
        <v>7568</v>
      </c>
      <c r="E79" s="12"/>
      <c r="F79" s="11" t="s">
        <v>7569</v>
      </c>
      <c r="G79" s="14" t="s">
        <v>7570</v>
      </c>
      <c r="H79" s="11" t="s">
        <v>7571</v>
      </c>
      <c r="I79" s="12"/>
    </row>
    <row r="80">
      <c r="A80" s="11" t="s">
        <v>7572</v>
      </c>
      <c r="B80" s="13" t="s">
        <v>3862</v>
      </c>
      <c r="C80" s="8" t="s">
        <v>7573</v>
      </c>
      <c r="D80" s="8" t="s">
        <v>7574</v>
      </c>
      <c r="E80" s="12"/>
      <c r="F80" s="11" t="s">
        <v>7575</v>
      </c>
      <c r="G80" s="14" t="s">
        <v>7576</v>
      </c>
      <c r="H80" s="12"/>
      <c r="I80" s="12"/>
    </row>
    <row r="81">
      <c r="A81" s="11" t="s">
        <v>7577</v>
      </c>
      <c r="B81" s="13" t="s">
        <v>3862</v>
      </c>
      <c r="C81" s="8" t="s">
        <v>7578</v>
      </c>
      <c r="D81" s="8" t="s">
        <v>7579</v>
      </c>
      <c r="E81" s="12"/>
      <c r="F81" s="11" t="s">
        <v>7580</v>
      </c>
      <c r="G81" s="14" t="s">
        <v>7581</v>
      </c>
      <c r="H81" s="12"/>
      <c r="I81" s="12"/>
    </row>
    <row r="82">
      <c r="A82" s="11" t="s">
        <v>7582</v>
      </c>
      <c r="B82" s="13" t="s">
        <v>3862</v>
      </c>
      <c r="C82" s="8" t="s">
        <v>7583</v>
      </c>
      <c r="D82" s="8" t="s">
        <v>7584</v>
      </c>
      <c r="E82" s="11"/>
      <c r="F82" s="11" t="s">
        <v>7585</v>
      </c>
      <c r="G82" s="14" t="s">
        <v>7586</v>
      </c>
      <c r="H82" s="12"/>
      <c r="I82" s="12"/>
    </row>
    <row r="83">
      <c r="A83" s="11" t="s">
        <v>7587</v>
      </c>
      <c r="B83" s="13" t="s">
        <v>3862</v>
      </c>
      <c r="C83" s="8" t="s">
        <v>7587</v>
      </c>
      <c r="D83" s="8" t="s">
        <v>7588</v>
      </c>
      <c r="E83" s="11"/>
      <c r="F83" s="11" t="s">
        <v>7589</v>
      </c>
      <c r="G83" s="14" t="s">
        <v>7590</v>
      </c>
      <c r="H83" s="12"/>
      <c r="I83" s="12"/>
    </row>
    <row r="84">
      <c r="A84" s="11" t="s">
        <v>7591</v>
      </c>
      <c r="B84" s="13" t="s">
        <v>3862</v>
      </c>
      <c r="C84" s="8" t="s">
        <v>7592</v>
      </c>
      <c r="D84" s="8" t="s">
        <v>7593</v>
      </c>
      <c r="E84" s="11"/>
      <c r="F84" s="11" t="s">
        <v>7594</v>
      </c>
      <c r="G84" s="14" t="s">
        <v>7595</v>
      </c>
      <c r="H84" s="12"/>
      <c r="I84" s="12"/>
    </row>
    <row r="85">
      <c r="A85" s="11" t="s">
        <v>7596</v>
      </c>
      <c r="B85" s="13" t="s">
        <v>3862</v>
      </c>
      <c r="C85" s="8" t="s">
        <v>7597</v>
      </c>
      <c r="D85" s="8" t="s">
        <v>7598</v>
      </c>
      <c r="E85" s="11"/>
      <c r="F85" s="11" t="s">
        <v>7599</v>
      </c>
      <c r="G85" s="14" t="s">
        <v>7600</v>
      </c>
      <c r="H85" s="12"/>
      <c r="I85" s="12"/>
    </row>
    <row r="86">
      <c r="A86" s="11" t="s">
        <v>7601</v>
      </c>
      <c r="B86" s="13" t="s">
        <v>3862</v>
      </c>
      <c r="C86" s="8" t="s">
        <v>7602</v>
      </c>
      <c r="D86" s="8" t="s">
        <v>7603</v>
      </c>
      <c r="E86" s="11"/>
      <c r="F86" s="11" t="s">
        <v>7604</v>
      </c>
      <c r="G86" s="14" t="s">
        <v>7605</v>
      </c>
      <c r="H86" s="12"/>
      <c r="I86" s="12"/>
    </row>
    <row r="87">
      <c r="A87" s="11" t="s">
        <v>7606</v>
      </c>
      <c r="B87" s="13" t="s">
        <v>3862</v>
      </c>
      <c r="C87" s="8" t="s">
        <v>7607</v>
      </c>
      <c r="D87" s="8" t="s">
        <v>7608</v>
      </c>
      <c r="E87" s="11"/>
      <c r="F87" s="11" t="s">
        <v>7609</v>
      </c>
      <c r="G87" s="14" t="s">
        <v>7610</v>
      </c>
      <c r="H87" s="12"/>
      <c r="I87" s="12"/>
    </row>
    <row r="88">
      <c r="A88" s="11" t="s">
        <v>7611</v>
      </c>
      <c r="B88" s="13" t="s">
        <v>3862</v>
      </c>
      <c r="C88" s="8" t="s">
        <v>7612</v>
      </c>
      <c r="D88" s="8" t="s">
        <v>7613</v>
      </c>
      <c r="E88" s="11"/>
      <c r="F88" s="11" t="s">
        <v>7614</v>
      </c>
      <c r="G88" s="14" t="s">
        <v>7615</v>
      </c>
      <c r="H88" s="12"/>
      <c r="I88" s="12"/>
    </row>
    <row r="89">
      <c r="A89" s="11" t="s">
        <v>7616</v>
      </c>
      <c r="B89" s="13" t="s">
        <v>3862</v>
      </c>
      <c r="C89" s="8" t="s">
        <v>7617</v>
      </c>
      <c r="D89" s="8" t="s">
        <v>7618</v>
      </c>
      <c r="E89" s="11"/>
      <c r="F89" s="11" t="s">
        <v>7619</v>
      </c>
      <c r="G89" s="14" t="s">
        <v>7620</v>
      </c>
      <c r="H89" s="12"/>
      <c r="I89" s="12"/>
    </row>
    <row r="90">
      <c r="A90" s="11" t="s">
        <v>7621</v>
      </c>
      <c r="B90" s="13" t="s">
        <v>3862</v>
      </c>
      <c r="C90" s="8" t="s">
        <v>7622</v>
      </c>
      <c r="D90" s="8" t="s">
        <v>7623</v>
      </c>
      <c r="E90" s="11"/>
      <c r="F90" s="11" t="s">
        <v>7624</v>
      </c>
      <c r="G90" s="14" t="s">
        <v>7625</v>
      </c>
      <c r="H90" s="12"/>
      <c r="I90" s="12"/>
    </row>
    <row r="91">
      <c r="A91" s="11" t="s">
        <v>7626</v>
      </c>
      <c r="B91" s="13" t="s">
        <v>3862</v>
      </c>
      <c r="C91" s="8" t="s">
        <v>7627</v>
      </c>
      <c r="D91" s="8" t="s">
        <v>7628</v>
      </c>
      <c r="E91" s="11"/>
      <c r="F91" s="11" t="s">
        <v>7629</v>
      </c>
      <c r="G91" s="14" t="s">
        <v>7630</v>
      </c>
      <c r="H91" s="12"/>
      <c r="I91" s="12"/>
    </row>
    <row r="92">
      <c r="A92" s="11" t="s">
        <v>7631</v>
      </c>
      <c r="B92" s="13" t="s">
        <v>3862</v>
      </c>
      <c r="C92" s="8" t="s">
        <v>7632</v>
      </c>
      <c r="D92" s="8" t="s">
        <v>7633</v>
      </c>
      <c r="E92" s="11"/>
      <c r="F92" s="11" t="s">
        <v>7634</v>
      </c>
      <c r="G92" s="14" t="s">
        <v>7635</v>
      </c>
      <c r="H92" s="12"/>
      <c r="I92" s="12"/>
    </row>
    <row r="93">
      <c r="A93" s="11" t="s">
        <v>7636</v>
      </c>
      <c r="B93" s="13" t="s">
        <v>3862</v>
      </c>
      <c r="C93" s="8" t="s">
        <v>7637</v>
      </c>
      <c r="D93" s="8" t="s">
        <v>7638</v>
      </c>
      <c r="E93" s="11"/>
      <c r="F93" s="11" t="s">
        <v>7639</v>
      </c>
      <c r="G93" s="14" t="s">
        <v>7640</v>
      </c>
      <c r="H93" s="12"/>
      <c r="I93" s="12"/>
    </row>
    <row r="94">
      <c r="A94" s="11" t="s">
        <v>7641</v>
      </c>
      <c r="B94" s="13" t="s">
        <v>3862</v>
      </c>
      <c r="C94" s="8" t="s">
        <v>7642</v>
      </c>
      <c r="D94" s="8" t="s">
        <v>7643</v>
      </c>
      <c r="E94" s="11"/>
      <c r="F94" s="11" t="s">
        <v>7644</v>
      </c>
      <c r="G94" s="14" t="s">
        <v>7645</v>
      </c>
      <c r="H94" s="12"/>
      <c r="I94" s="12"/>
    </row>
    <row r="95">
      <c r="A95" s="11" t="s">
        <v>7646</v>
      </c>
      <c r="B95" s="13" t="s">
        <v>3862</v>
      </c>
      <c r="C95" s="8" t="s">
        <v>7647</v>
      </c>
      <c r="D95" s="8" t="s">
        <v>7648</v>
      </c>
      <c r="E95" s="11"/>
      <c r="F95" s="11" t="s">
        <v>7649</v>
      </c>
      <c r="G95" s="14" t="s">
        <v>7650</v>
      </c>
      <c r="H95" s="12"/>
      <c r="I95" s="12"/>
    </row>
    <row r="96">
      <c r="A96" s="11" t="s">
        <v>7651</v>
      </c>
      <c r="B96" s="13" t="s">
        <v>3862</v>
      </c>
      <c r="C96" s="8" t="s">
        <v>7652</v>
      </c>
      <c r="D96" s="8" t="s">
        <v>7653</v>
      </c>
      <c r="E96" s="11"/>
      <c r="F96" s="11" t="s">
        <v>7654</v>
      </c>
      <c r="G96" s="14" t="s">
        <v>7655</v>
      </c>
      <c r="H96" s="12"/>
      <c r="I96" s="12"/>
    </row>
    <row r="97">
      <c r="A97" s="11" t="s">
        <v>7656</v>
      </c>
      <c r="B97" s="13" t="s">
        <v>3862</v>
      </c>
      <c r="C97" s="8" t="s">
        <v>7657</v>
      </c>
      <c r="D97" s="8" t="s">
        <v>7658</v>
      </c>
      <c r="E97" s="11"/>
      <c r="F97" s="11" t="s">
        <v>7659</v>
      </c>
      <c r="G97" s="14" t="s">
        <v>7660</v>
      </c>
      <c r="H97" s="12"/>
      <c r="I97" s="12"/>
    </row>
    <row r="98">
      <c r="A98" s="11" t="s">
        <v>7661</v>
      </c>
      <c r="B98" s="11"/>
      <c r="C98" s="11"/>
      <c r="D98" s="11"/>
      <c r="E98" s="11"/>
      <c r="F98" s="11" t="s">
        <v>7662</v>
      </c>
      <c r="G98" s="14" t="s">
        <v>7663</v>
      </c>
      <c r="H98" s="12"/>
      <c r="I98" s="12"/>
    </row>
    <row r="99">
      <c r="A99" s="11" t="s">
        <v>7664</v>
      </c>
      <c r="B99" s="11"/>
      <c r="C99" s="8" t="s">
        <v>7665</v>
      </c>
      <c r="D99" s="8" t="s">
        <v>7666</v>
      </c>
      <c r="E99" s="11"/>
      <c r="F99" s="11" t="s">
        <v>7667</v>
      </c>
      <c r="G99" s="14" t="s">
        <v>7668</v>
      </c>
      <c r="H99" s="12"/>
      <c r="I99" s="12"/>
    </row>
    <row r="100">
      <c r="A100" s="11" t="s">
        <v>7669</v>
      </c>
      <c r="B100" s="11"/>
      <c r="C100" s="8" t="s">
        <v>7670</v>
      </c>
      <c r="D100" s="8" t="s">
        <v>7671</v>
      </c>
      <c r="E100" s="11"/>
      <c r="F100" s="11" t="s">
        <v>7672</v>
      </c>
      <c r="G100" s="14" t="s">
        <v>7673</v>
      </c>
      <c r="H100" s="12"/>
      <c r="I100" s="12"/>
    </row>
    <row r="101">
      <c r="A101" s="11" t="s">
        <v>7674</v>
      </c>
      <c r="B101" s="11"/>
      <c r="C101" s="8" t="s">
        <v>7675</v>
      </c>
      <c r="D101" s="8" t="s">
        <v>7676</v>
      </c>
      <c r="E101" s="11"/>
      <c r="F101" s="11" t="s">
        <v>7677</v>
      </c>
      <c r="G101" s="14" t="s">
        <v>7678</v>
      </c>
      <c r="H101" s="12"/>
      <c r="I101" s="12"/>
    </row>
    <row r="102">
      <c r="A102" s="11" t="s">
        <v>7679</v>
      </c>
      <c r="B102" s="11"/>
      <c r="C102" s="8" t="s">
        <v>7680</v>
      </c>
      <c r="D102" s="8" t="s">
        <v>7681</v>
      </c>
      <c r="E102" s="11"/>
      <c r="F102" s="11" t="s">
        <v>7682</v>
      </c>
      <c r="G102" s="14" t="s">
        <v>7683</v>
      </c>
      <c r="H102" s="11" t="s">
        <v>7684</v>
      </c>
      <c r="I102" s="11" t="s">
        <v>7685</v>
      </c>
    </row>
    <row r="103">
      <c r="A103" s="11" t="s">
        <v>7686</v>
      </c>
      <c r="B103" s="11"/>
      <c r="C103" s="11"/>
      <c r="D103" s="11"/>
      <c r="E103" s="11"/>
      <c r="F103" s="11" t="s">
        <v>7687</v>
      </c>
      <c r="G103" s="14" t="s">
        <v>7688</v>
      </c>
      <c r="H103" s="12"/>
      <c r="I103" s="12"/>
    </row>
    <row r="104">
      <c r="A104" s="11" t="s">
        <v>7689</v>
      </c>
      <c r="B104" s="11"/>
      <c r="C104" s="11"/>
      <c r="D104" s="11"/>
      <c r="E104" s="11"/>
      <c r="F104" s="11" t="s">
        <v>7690</v>
      </c>
      <c r="G104" s="14" t="s">
        <v>7691</v>
      </c>
      <c r="H104" s="12"/>
      <c r="I104" s="12"/>
    </row>
    <row r="105">
      <c r="A105" s="11" t="s">
        <v>7692</v>
      </c>
      <c r="B105" s="11"/>
      <c r="C105" s="11"/>
      <c r="D105" s="11"/>
      <c r="E105" s="11"/>
      <c r="F105" s="11" t="s">
        <v>7693</v>
      </c>
      <c r="G105" s="14" t="s">
        <v>7694</v>
      </c>
      <c r="H105" s="12"/>
      <c r="I105" s="12"/>
    </row>
    <row r="106">
      <c r="A106" s="11" t="s">
        <v>7695</v>
      </c>
      <c r="B106" s="11"/>
      <c r="C106" s="8" t="s">
        <v>7696</v>
      </c>
      <c r="D106" s="8" t="s">
        <v>7697</v>
      </c>
      <c r="E106" s="11"/>
      <c r="F106" s="11" t="s">
        <v>7698</v>
      </c>
      <c r="G106" s="14" t="s">
        <v>7699</v>
      </c>
      <c r="H106" s="12"/>
      <c r="I106" s="12"/>
    </row>
    <row r="107">
      <c r="A107" s="11" t="s">
        <v>7700</v>
      </c>
      <c r="B107" s="11"/>
      <c r="C107" s="8" t="s">
        <v>7701</v>
      </c>
      <c r="D107" s="8" t="s">
        <v>7702</v>
      </c>
      <c r="E107" s="11"/>
      <c r="F107" s="11" t="s">
        <v>7703</v>
      </c>
      <c r="G107" s="14" t="s">
        <v>7704</v>
      </c>
      <c r="H107" s="12"/>
      <c r="I107" s="12"/>
    </row>
    <row r="108">
      <c r="A108" s="11" t="s">
        <v>7705</v>
      </c>
      <c r="B108" s="11"/>
      <c r="C108" s="8" t="s">
        <v>7706</v>
      </c>
      <c r="D108" s="8" t="s">
        <v>7707</v>
      </c>
      <c r="E108" s="11"/>
      <c r="F108" s="11" t="s">
        <v>7708</v>
      </c>
      <c r="G108" s="14" t="s">
        <v>7709</v>
      </c>
      <c r="H108" s="12"/>
      <c r="I108" s="12"/>
    </row>
    <row r="109">
      <c r="A109" s="6"/>
    </row>
    <row r="110">
      <c r="A110" s="6"/>
    </row>
    <row r="111">
      <c r="A111" s="6"/>
    </row>
    <row r="112">
      <c r="A112" s="6"/>
    </row>
    <row r="113">
      <c r="A113" s="6"/>
    </row>
    <row r="114">
      <c r="A114" s="6"/>
    </row>
    <row r="115">
      <c r="A115" s="6"/>
    </row>
    <row r="116">
      <c r="A116" s="6"/>
    </row>
    <row r="117">
      <c r="A117" s="6"/>
    </row>
    <row r="118">
      <c r="A118" s="6"/>
    </row>
    <row r="119">
      <c r="A119" s="6"/>
    </row>
    <row r="120">
      <c r="A120" s="6"/>
    </row>
    <row r="121">
      <c r="A121" s="6"/>
    </row>
    <row r="122">
      <c r="A122" s="6"/>
    </row>
    <row r="123">
      <c r="A123" s="6"/>
    </row>
    <row r="124">
      <c r="A124" s="6"/>
    </row>
    <row r="125">
      <c r="A125" s="6"/>
    </row>
    <row r="126">
      <c r="A126" s="6"/>
    </row>
    <row r="127">
      <c r="A127" s="6"/>
    </row>
    <row r="128">
      <c r="A128" s="6"/>
    </row>
    <row r="129">
      <c r="A129" s="6"/>
    </row>
    <row r="130">
      <c r="A130" s="6"/>
    </row>
    <row r="131">
      <c r="A131" s="6"/>
    </row>
    <row r="132">
      <c r="A132" s="6"/>
    </row>
    <row r="133">
      <c r="A133" s="6"/>
    </row>
    <row r="134">
      <c r="A134" s="6"/>
    </row>
    <row r="135">
      <c r="A135" s="6"/>
    </row>
    <row r="136">
      <c r="A136" s="6"/>
    </row>
    <row r="137">
      <c r="A137" s="6"/>
    </row>
    <row r="138">
      <c r="A138" s="6"/>
    </row>
    <row r="139">
      <c r="A139" s="6"/>
    </row>
    <row r="140">
      <c r="A140" s="6"/>
    </row>
    <row r="141">
      <c r="A141" s="6"/>
    </row>
    <row r="142">
      <c r="A142" s="6"/>
    </row>
    <row r="143">
      <c r="A143" s="6"/>
    </row>
    <row r="144">
      <c r="A144" s="6"/>
    </row>
    <row r="145">
      <c r="A145" s="6"/>
    </row>
    <row r="146">
      <c r="A146" s="6"/>
    </row>
    <row r="147">
      <c r="A147" s="6"/>
    </row>
    <row r="148">
      <c r="A148" s="6"/>
    </row>
    <row r="149">
      <c r="A149" s="6"/>
    </row>
    <row r="150">
      <c r="A150" s="6"/>
    </row>
    <row r="151">
      <c r="A151" s="6"/>
    </row>
    <row r="152">
      <c r="A152" s="6"/>
    </row>
    <row r="153">
      <c r="A153" s="6"/>
    </row>
    <row r="154">
      <c r="A154" s="6"/>
    </row>
    <row r="155">
      <c r="A155" s="6"/>
    </row>
    <row r="156">
      <c r="A156" s="6"/>
    </row>
    <row r="157">
      <c r="A157" s="6"/>
    </row>
    <row r="158">
      <c r="A158" s="6"/>
    </row>
    <row r="159">
      <c r="A159" s="6"/>
    </row>
    <row r="160">
      <c r="A160" s="6"/>
    </row>
    <row r="161">
      <c r="A161" s="6"/>
    </row>
    <row r="162">
      <c r="A162" s="6"/>
    </row>
    <row r="163">
      <c r="A163" s="6"/>
    </row>
    <row r="164">
      <c r="A164" s="6"/>
    </row>
    <row r="165">
      <c r="A165" s="6"/>
    </row>
    <row r="166">
      <c r="A166" s="6"/>
    </row>
    <row r="167">
      <c r="A167" s="6"/>
    </row>
    <row r="168">
      <c r="A168" s="6"/>
    </row>
    <row r="169">
      <c r="A169" s="6"/>
    </row>
    <row r="170">
      <c r="A170" s="6"/>
    </row>
    <row r="171">
      <c r="A171" s="6"/>
    </row>
    <row r="172">
      <c r="A172" s="6"/>
    </row>
    <row r="173">
      <c r="A173" s="6"/>
    </row>
    <row r="174">
      <c r="A174" s="6"/>
    </row>
    <row r="175">
      <c r="A175" s="6"/>
    </row>
    <row r="176">
      <c r="A176" s="6"/>
    </row>
    <row r="177">
      <c r="A177" s="6"/>
    </row>
    <row r="178">
      <c r="A178" s="6"/>
    </row>
    <row r="179">
      <c r="A179" s="6"/>
    </row>
    <row r="180">
      <c r="A180" s="6"/>
    </row>
    <row r="181">
      <c r="A181" s="6"/>
    </row>
    <row r="182">
      <c r="A182" s="6"/>
    </row>
    <row r="183">
      <c r="A183" s="6"/>
    </row>
    <row r="184">
      <c r="A184" s="6"/>
    </row>
    <row r="185">
      <c r="A185" s="6"/>
    </row>
    <row r="186">
      <c r="A186" s="6"/>
    </row>
    <row r="187">
      <c r="A187" s="6"/>
    </row>
    <row r="188">
      <c r="A188" s="6"/>
    </row>
    <row r="189">
      <c r="A189" s="6"/>
    </row>
    <row r="190">
      <c r="A190" s="6"/>
    </row>
    <row r="191">
      <c r="A191" s="6"/>
    </row>
    <row r="192">
      <c r="A192" s="6"/>
    </row>
    <row r="193">
      <c r="A193" s="6"/>
    </row>
    <row r="194">
      <c r="A194" s="6"/>
    </row>
    <row r="195">
      <c r="A195" s="6"/>
    </row>
    <row r="196">
      <c r="A196" s="6"/>
    </row>
    <row r="197">
      <c r="A197" s="6"/>
    </row>
    <row r="198">
      <c r="A198" s="6"/>
    </row>
    <row r="199">
      <c r="A199" s="6"/>
    </row>
    <row r="200">
      <c r="A200" s="6"/>
    </row>
    <row r="201">
      <c r="A201" s="6"/>
    </row>
    <row r="202">
      <c r="A202" s="6"/>
    </row>
    <row r="203">
      <c r="A203" s="6"/>
    </row>
    <row r="204">
      <c r="A204" s="6"/>
    </row>
    <row r="205">
      <c r="A205" s="6"/>
    </row>
    <row r="206">
      <c r="A206" s="6"/>
    </row>
    <row r="207">
      <c r="A207" s="6"/>
    </row>
    <row r="208">
      <c r="A208" s="6"/>
    </row>
    <row r="209">
      <c r="A209" s="6"/>
    </row>
    <row r="210">
      <c r="A210" s="6"/>
    </row>
    <row r="211">
      <c r="A211" s="6"/>
    </row>
    <row r="212">
      <c r="A212" s="6"/>
    </row>
    <row r="213">
      <c r="A213" s="6"/>
    </row>
    <row r="214">
      <c r="A214" s="6"/>
    </row>
    <row r="215">
      <c r="A215" s="6"/>
    </row>
    <row r="216">
      <c r="A216" s="6"/>
    </row>
    <row r="217">
      <c r="A217" s="6"/>
    </row>
    <row r="218">
      <c r="A218" s="6"/>
    </row>
    <row r="219">
      <c r="A219" s="6"/>
    </row>
    <row r="220">
      <c r="A220" s="6"/>
    </row>
    <row r="221">
      <c r="A221" s="6"/>
    </row>
    <row r="222">
      <c r="A222" s="6"/>
    </row>
    <row r="223">
      <c r="A223" s="6"/>
    </row>
    <row r="224">
      <c r="A224" s="6"/>
    </row>
    <row r="225">
      <c r="A225" s="6"/>
    </row>
    <row r="226">
      <c r="A226" s="6"/>
    </row>
    <row r="227">
      <c r="A227" s="6"/>
    </row>
    <row r="228">
      <c r="A228" s="6"/>
    </row>
    <row r="229">
      <c r="A229" s="6"/>
    </row>
    <row r="230">
      <c r="A230" s="6"/>
    </row>
    <row r="231">
      <c r="A231" s="6"/>
    </row>
    <row r="232">
      <c r="A232" s="6"/>
    </row>
    <row r="233">
      <c r="A233" s="6"/>
    </row>
    <row r="234">
      <c r="A234" s="6"/>
    </row>
    <row r="235">
      <c r="A235" s="6"/>
    </row>
    <row r="236">
      <c r="A236" s="6"/>
    </row>
    <row r="237">
      <c r="A237" s="6"/>
    </row>
    <row r="238">
      <c r="A238" s="6"/>
    </row>
    <row r="239">
      <c r="A239" s="6"/>
    </row>
    <row r="240">
      <c r="A240" s="6"/>
    </row>
    <row r="241">
      <c r="A241" s="6"/>
    </row>
    <row r="242">
      <c r="A242" s="6"/>
    </row>
    <row r="243">
      <c r="A243" s="6"/>
    </row>
    <row r="244">
      <c r="A244" s="6"/>
    </row>
    <row r="245">
      <c r="A245" s="6"/>
    </row>
    <row r="246">
      <c r="A246" s="6"/>
    </row>
    <row r="247">
      <c r="A247" s="6"/>
    </row>
    <row r="248">
      <c r="A248" s="6"/>
    </row>
    <row r="249">
      <c r="A249" s="6"/>
    </row>
    <row r="250">
      <c r="A250" s="6"/>
    </row>
    <row r="251">
      <c r="A251" s="6"/>
    </row>
    <row r="252">
      <c r="A252" s="6"/>
    </row>
    <row r="253">
      <c r="A253" s="6"/>
    </row>
    <row r="254">
      <c r="A254" s="6"/>
    </row>
    <row r="255">
      <c r="A255" s="6"/>
    </row>
    <row r="256">
      <c r="A256" s="6"/>
    </row>
    <row r="257">
      <c r="A257" s="6"/>
    </row>
    <row r="258">
      <c r="A258" s="6"/>
    </row>
    <row r="259">
      <c r="A259" s="6"/>
    </row>
    <row r="260">
      <c r="A260" s="6"/>
    </row>
    <row r="261">
      <c r="A261" s="6"/>
    </row>
    <row r="262">
      <c r="A262" s="6"/>
    </row>
    <row r="263">
      <c r="A263" s="6"/>
    </row>
    <row r="264">
      <c r="A264" s="6"/>
    </row>
    <row r="265">
      <c r="A265" s="6"/>
    </row>
    <row r="266">
      <c r="A266" s="6"/>
    </row>
    <row r="267">
      <c r="A267" s="6"/>
    </row>
    <row r="268">
      <c r="A268" s="6"/>
    </row>
    <row r="269">
      <c r="A269" s="6"/>
    </row>
    <row r="270">
      <c r="A270" s="6"/>
    </row>
    <row r="271">
      <c r="A271" s="6"/>
    </row>
    <row r="272">
      <c r="A272" s="6"/>
    </row>
    <row r="273">
      <c r="A273" s="6"/>
    </row>
    <row r="274">
      <c r="A274" s="6"/>
    </row>
    <row r="275">
      <c r="A275" s="6"/>
    </row>
    <row r="276">
      <c r="A276" s="6"/>
    </row>
    <row r="277">
      <c r="A277" s="6"/>
    </row>
    <row r="278">
      <c r="A278" s="6"/>
    </row>
    <row r="279">
      <c r="A279" s="6"/>
    </row>
    <row r="280">
      <c r="A280" s="6"/>
    </row>
    <row r="281">
      <c r="A281" s="6"/>
    </row>
    <row r="282">
      <c r="A282" s="6"/>
    </row>
    <row r="283">
      <c r="A283" s="6"/>
    </row>
    <row r="284">
      <c r="A284" s="6"/>
    </row>
    <row r="285">
      <c r="A285" s="6"/>
    </row>
    <row r="286">
      <c r="A286" s="6"/>
    </row>
    <row r="287">
      <c r="A287" s="6"/>
    </row>
    <row r="288">
      <c r="A288" s="6"/>
    </row>
    <row r="289">
      <c r="A289" s="6"/>
    </row>
    <row r="290">
      <c r="A290" s="6"/>
    </row>
    <row r="291">
      <c r="A291" s="6"/>
    </row>
    <row r="292">
      <c r="A292" s="6"/>
    </row>
    <row r="293">
      <c r="A293" s="6"/>
    </row>
    <row r="294">
      <c r="A294" s="6"/>
    </row>
    <row r="295">
      <c r="A295" s="6"/>
    </row>
    <row r="296">
      <c r="A296" s="6"/>
    </row>
    <row r="297">
      <c r="A297" s="6"/>
    </row>
    <row r="298">
      <c r="A298" s="6"/>
    </row>
    <row r="299">
      <c r="A299" s="6"/>
    </row>
    <row r="300">
      <c r="A300" s="6"/>
    </row>
    <row r="301">
      <c r="A301" s="6"/>
    </row>
    <row r="302">
      <c r="A302" s="6"/>
    </row>
    <row r="303">
      <c r="A303" s="6"/>
    </row>
    <row r="304">
      <c r="A304" s="6"/>
    </row>
    <row r="305">
      <c r="A305" s="6"/>
    </row>
    <row r="306">
      <c r="A306" s="6"/>
    </row>
    <row r="307">
      <c r="A307" s="6"/>
    </row>
    <row r="308">
      <c r="A308" s="6"/>
    </row>
    <row r="309">
      <c r="A309" s="6"/>
    </row>
    <row r="310">
      <c r="A310" s="6"/>
    </row>
    <row r="311">
      <c r="A311" s="6"/>
    </row>
    <row r="312">
      <c r="A312" s="6"/>
    </row>
    <row r="313">
      <c r="A313" s="6"/>
    </row>
    <row r="314">
      <c r="A314" s="6"/>
    </row>
    <row r="315">
      <c r="A315" s="6"/>
    </row>
    <row r="316">
      <c r="A316" s="6"/>
    </row>
    <row r="317">
      <c r="A317" s="6"/>
    </row>
    <row r="318">
      <c r="A318" s="6"/>
    </row>
    <row r="319">
      <c r="A319" s="6"/>
    </row>
    <row r="320">
      <c r="A320" s="6"/>
    </row>
    <row r="321">
      <c r="A321" s="6"/>
    </row>
    <row r="322">
      <c r="A322" s="6"/>
    </row>
    <row r="323">
      <c r="A323" s="6"/>
    </row>
    <row r="324">
      <c r="A324" s="6"/>
    </row>
    <row r="325">
      <c r="A325" s="6"/>
    </row>
    <row r="326">
      <c r="A326" s="6"/>
    </row>
    <row r="327">
      <c r="A327" s="6"/>
    </row>
    <row r="328">
      <c r="A328" s="6"/>
    </row>
    <row r="329">
      <c r="A329" s="6"/>
    </row>
    <row r="330">
      <c r="A330" s="6"/>
    </row>
    <row r="331">
      <c r="A331" s="6"/>
    </row>
    <row r="332">
      <c r="A332" s="6"/>
    </row>
    <row r="333">
      <c r="A333" s="6"/>
    </row>
    <row r="334">
      <c r="A334" s="6"/>
    </row>
    <row r="335">
      <c r="A335" s="6"/>
    </row>
    <row r="336">
      <c r="A336" s="6"/>
    </row>
    <row r="337">
      <c r="A337" s="6"/>
    </row>
    <row r="338">
      <c r="A338" s="6"/>
    </row>
    <row r="339">
      <c r="A339" s="6"/>
    </row>
    <row r="340">
      <c r="A340" s="6"/>
    </row>
    <row r="341">
      <c r="A341" s="6"/>
    </row>
    <row r="342">
      <c r="A342" s="6"/>
    </row>
    <row r="343">
      <c r="A343" s="6"/>
    </row>
    <row r="344">
      <c r="A344" s="6"/>
    </row>
    <row r="345">
      <c r="A345" s="6"/>
    </row>
    <row r="346">
      <c r="A346" s="6"/>
    </row>
    <row r="347">
      <c r="A347" s="6"/>
    </row>
    <row r="348">
      <c r="A348" s="6"/>
    </row>
    <row r="349">
      <c r="A349" s="6"/>
    </row>
    <row r="350">
      <c r="A350" s="6"/>
    </row>
    <row r="351">
      <c r="A351" s="6"/>
    </row>
    <row r="352">
      <c r="A352" s="6"/>
    </row>
    <row r="353">
      <c r="A353" s="6"/>
    </row>
    <row r="354">
      <c r="A354" s="6"/>
    </row>
    <row r="355">
      <c r="A355" s="6"/>
    </row>
    <row r="356">
      <c r="A356" s="6"/>
    </row>
    <row r="357">
      <c r="A357" s="6"/>
    </row>
    <row r="358">
      <c r="A358" s="6"/>
    </row>
    <row r="359">
      <c r="A359" s="6"/>
    </row>
    <row r="360">
      <c r="A360" s="6"/>
    </row>
    <row r="361">
      <c r="A361" s="6"/>
    </row>
    <row r="362">
      <c r="A362" s="6"/>
    </row>
    <row r="363">
      <c r="A363" s="6"/>
    </row>
    <row r="364">
      <c r="A364" s="6"/>
    </row>
    <row r="365">
      <c r="A365" s="6"/>
    </row>
    <row r="366">
      <c r="A366" s="6"/>
    </row>
    <row r="367">
      <c r="A367" s="6"/>
    </row>
    <row r="368">
      <c r="A368" s="6"/>
    </row>
    <row r="369">
      <c r="A369" s="6"/>
    </row>
    <row r="370">
      <c r="A370" s="6"/>
    </row>
    <row r="371">
      <c r="A371" s="6"/>
    </row>
    <row r="372">
      <c r="A372" s="6"/>
    </row>
    <row r="373">
      <c r="A373" s="6"/>
    </row>
    <row r="374">
      <c r="A374" s="6"/>
    </row>
    <row r="375">
      <c r="A375" s="6"/>
    </row>
    <row r="376">
      <c r="A376" s="6"/>
    </row>
    <row r="377">
      <c r="A377" s="6"/>
    </row>
    <row r="378">
      <c r="A378" s="6"/>
    </row>
    <row r="379">
      <c r="A379" s="6"/>
    </row>
    <row r="380">
      <c r="A380" s="6"/>
    </row>
    <row r="381">
      <c r="A381" s="6"/>
    </row>
    <row r="382">
      <c r="A382" s="6"/>
    </row>
    <row r="383">
      <c r="A383" s="6"/>
    </row>
    <row r="384">
      <c r="A384" s="6"/>
    </row>
    <row r="385">
      <c r="A385" s="6"/>
    </row>
    <row r="386">
      <c r="A386" s="6"/>
    </row>
    <row r="387">
      <c r="A387" s="6"/>
    </row>
    <row r="388">
      <c r="A388" s="6"/>
    </row>
    <row r="389">
      <c r="A389" s="6"/>
    </row>
    <row r="390">
      <c r="A390" s="6"/>
    </row>
    <row r="391">
      <c r="A391" s="6"/>
    </row>
    <row r="392">
      <c r="A392" s="6"/>
    </row>
    <row r="393">
      <c r="A393" s="6"/>
    </row>
    <row r="394">
      <c r="A394" s="6"/>
    </row>
    <row r="395">
      <c r="A395" s="6"/>
    </row>
    <row r="396">
      <c r="A396" s="6"/>
    </row>
    <row r="397">
      <c r="A397" s="6"/>
    </row>
    <row r="398">
      <c r="A398" s="6"/>
    </row>
    <row r="399">
      <c r="A399" s="6"/>
    </row>
    <row r="400">
      <c r="A400" s="6"/>
    </row>
    <row r="401">
      <c r="A401" s="6"/>
    </row>
    <row r="402">
      <c r="A402" s="6"/>
    </row>
    <row r="403">
      <c r="A403" s="6"/>
    </row>
    <row r="404">
      <c r="A404" s="6"/>
    </row>
    <row r="405">
      <c r="A405" s="6"/>
    </row>
    <row r="406">
      <c r="A406" s="6"/>
    </row>
    <row r="407">
      <c r="A407" s="6"/>
    </row>
    <row r="408">
      <c r="A408" s="6"/>
    </row>
    <row r="409">
      <c r="A409" s="6"/>
    </row>
    <row r="410">
      <c r="A410" s="6"/>
    </row>
    <row r="411">
      <c r="A411" s="6"/>
    </row>
    <row r="412">
      <c r="A412" s="6"/>
    </row>
    <row r="413">
      <c r="A413" s="6"/>
    </row>
    <row r="414">
      <c r="A414" s="6"/>
    </row>
    <row r="415">
      <c r="A415" s="6"/>
    </row>
    <row r="416">
      <c r="A416" s="6"/>
    </row>
    <row r="417">
      <c r="A417" s="6"/>
    </row>
    <row r="418">
      <c r="A418" s="6"/>
    </row>
    <row r="419">
      <c r="A419" s="6"/>
    </row>
    <row r="420">
      <c r="A420" s="6"/>
    </row>
    <row r="421">
      <c r="A421" s="6"/>
    </row>
    <row r="422">
      <c r="A422" s="6"/>
    </row>
    <row r="423">
      <c r="A423" s="6"/>
    </row>
    <row r="424">
      <c r="A424" s="6"/>
    </row>
    <row r="425">
      <c r="A425" s="6"/>
    </row>
    <row r="426">
      <c r="A426" s="6"/>
    </row>
    <row r="427">
      <c r="A427" s="6"/>
    </row>
    <row r="428">
      <c r="A428" s="6"/>
    </row>
    <row r="429">
      <c r="A429" s="6"/>
    </row>
    <row r="430">
      <c r="A430" s="6"/>
    </row>
    <row r="431">
      <c r="A431" s="6"/>
    </row>
    <row r="432">
      <c r="A432" s="6"/>
    </row>
    <row r="433">
      <c r="A433" s="6"/>
    </row>
    <row r="434">
      <c r="A434" s="6"/>
    </row>
    <row r="435">
      <c r="A435" s="6"/>
    </row>
    <row r="436">
      <c r="A436" s="6"/>
    </row>
    <row r="437">
      <c r="A437" s="6"/>
    </row>
    <row r="438">
      <c r="A438" s="6"/>
    </row>
    <row r="439">
      <c r="A439" s="6"/>
    </row>
    <row r="440">
      <c r="A440" s="6"/>
    </row>
    <row r="441">
      <c r="A441" s="6"/>
    </row>
    <row r="442">
      <c r="A442" s="6"/>
    </row>
    <row r="443">
      <c r="A443" s="6"/>
    </row>
    <row r="444">
      <c r="A444" s="6"/>
    </row>
    <row r="445">
      <c r="A445" s="6"/>
    </row>
    <row r="446">
      <c r="A446" s="6"/>
    </row>
    <row r="447">
      <c r="A447" s="6"/>
    </row>
    <row r="448">
      <c r="A448" s="6"/>
    </row>
    <row r="449">
      <c r="A449" s="6"/>
    </row>
    <row r="450">
      <c r="A450" s="6"/>
    </row>
    <row r="451">
      <c r="A451" s="6"/>
    </row>
    <row r="452">
      <c r="A452" s="6"/>
    </row>
    <row r="453">
      <c r="A453" s="6"/>
    </row>
    <row r="454">
      <c r="A454" s="6"/>
    </row>
    <row r="455">
      <c r="A455" s="6"/>
    </row>
    <row r="456">
      <c r="A456" s="6"/>
    </row>
    <row r="457">
      <c r="A457" s="6"/>
    </row>
    <row r="458">
      <c r="A458" s="6"/>
    </row>
    <row r="459">
      <c r="A459" s="6"/>
    </row>
    <row r="460">
      <c r="A460" s="6"/>
    </row>
    <row r="461">
      <c r="A461" s="6"/>
    </row>
    <row r="462">
      <c r="A462" s="6"/>
    </row>
    <row r="463">
      <c r="A463" s="6"/>
    </row>
    <row r="464">
      <c r="A464" s="6"/>
    </row>
    <row r="465">
      <c r="A465" s="6"/>
    </row>
    <row r="466">
      <c r="A466" s="6"/>
    </row>
    <row r="467">
      <c r="A467" s="6"/>
    </row>
    <row r="468">
      <c r="A468" s="6"/>
    </row>
    <row r="469">
      <c r="A469" s="6"/>
    </row>
    <row r="470">
      <c r="A470" s="6"/>
    </row>
    <row r="471">
      <c r="A471" s="6"/>
    </row>
    <row r="472">
      <c r="A472" s="6"/>
    </row>
    <row r="473">
      <c r="A473" s="6"/>
    </row>
    <row r="474">
      <c r="A474" s="6"/>
    </row>
    <row r="475">
      <c r="A475" s="6"/>
    </row>
    <row r="476">
      <c r="A476" s="6"/>
    </row>
    <row r="477">
      <c r="A477" s="6"/>
    </row>
    <row r="478">
      <c r="A478" s="6"/>
    </row>
    <row r="479">
      <c r="A479" s="6"/>
    </row>
    <row r="480">
      <c r="A480" s="6"/>
    </row>
    <row r="481">
      <c r="A481" s="6"/>
    </row>
    <row r="482">
      <c r="A482" s="6"/>
    </row>
    <row r="483">
      <c r="A483" s="6"/>
    </row>
    <row r="484">
      <c r="A484" s="6"/>
    </row>
    <row r="485">
      <c r="A485" s="6"/>
    </row>
    <row r="486">
      <c r="A486" s="6"/>
    </row>
    <row r="487">
      <c r="A487" s="6"/>
    </row>
    <row r="488">
      <c r="A488" s="6"/>
    </row>
    <row r="489">
      <c r="A489" s="6"/>
    </row>
    <row r="490">
      <c r="A490" s="6"/>
    </row>
    <row r="491">
      <c r="A491" s="6"/>
    </row>
    <row r="492">
      <c r="A492" s="6"/>
    </row>
    <row r="493">
      <c r="A493" s="6"/>
    </row>
    <row r="494">
      <c r="A494" s="6"/>
    </row>
    <row r="495">
      <c r="A495" s="6"/>
    </row>
    <row r="496">
      <c r="A496" s="6"/>
    </row>
    <row r="497">
      <c r="A497" s="6"/>
    </row>
    <row r="498">
      <c r="A498" s="6"/>
    </row>
    <row r="499">
      <c r="A499" s="6"/>
    </row>
    <row r="500">
      <c r="A500" s="6"/>
    </row>
    <row r="501">
      <c r="A501" s="6"/>
    </row>
    <row r="502">
      <c r="A502" s="6"/>
    </row>
    <row r="503">
      <c r="A503" s="6"/>
    </row>
    <row r="504">
      <c r="A504" s="6"/>
    </row>
    <row r="505">
      <c r="A505" s="6"/>
    </row>
    <row r="506">
      <c r="A506" s="6"/>
    </row>
    <row r="507">
      <c r="A507" s="6"/>
    </row>
    <row r="508">
      <c r="A508" s="6"/>
    </row>
    <row r="509">
      <c r="A509" s="6"/>
    </row>
    <row r="510">
      <c r="A510" s="6"/>
    </row>
    <row r="511">
      <c r="A511" s="6"/>
    </row>
    <row r="512">
      <c r="A512" s="6"/>
    </row>
    <row r="513">
      <c r="A513" s="6"/>
    </row>
    <row r="514">
      <c r="A514" s="6"/>
    </row>
    <row r="515">
      <c r="A515" s="6"/>
    </row>
    <row r="516">
      <c r="A516" s="6"/>
    </row>
    <row r="517">
      <c r="A517" s="6"/>
    </row>
    <row r="518">
      <c r="A518" s="6"/>
    </row>
    <row r="519">
      <c r="A519" s="6"/>
    </row>
    <row r="520">
      <c r="A520" s="6"/>
    </row>
    <row r="521">
      <c r="A521" s="6"/>
    </row>
    <row r="522">
      <c r="A522" s="6"/>
    </row>
    <row r="523">
      <c r="A523" s="6"/>
    </row>
    <row r="524">
      <c r="A524" s="6"/>
    </row>
    <row r="525">
      <c r="A525" s="6"/>
    </row>
    <row r="526">
      <c r="A526" s="6"/>
    </row>
    <row r="527">
      <c r="A527" s="6"/>
    </row>
    <row r="528">
      <c r="A528" s="6"/>
    </row>
    <row r="529">
      <c r="A529" s="6"/>
    </row>
    <row r="530">
      <c r="A530" s="6"/>
    </row>
    <row r="531">
      <c r="A531" s="6"/>
    </row>
    <row r="532">
      <c r="A532" s="6"/>
    </row>
    <row r="533">
      <c r="A533" s="6"/>
    </row>
    <row r="534">
      <c r="A534" s="6"/>
    </row>
    <row r="535">
      <c r="A535" s="6"/>
    </row>
    <row r="536">
      <c r="A536" s="6"/>
    </row>
    <row r="537">
      <c r="A537" s="6"/>
    </row>
    <row r="538">
      <c r="A538" s="6"/>
    </row>
    <row r="539">
      <c r="A539" s="6"/>
    </row>
    <row r="540">
      <c r="A540" s="6"/>
    </row>
    <row r="541">
      <c r="A541" s="6"/>
    </row>
    <row r="542">
      <c r="A542" s="6"/>
    </row>
    <row r="543">
      <c r="A543" s="6"/>
    </row>
    <row r="544">
      <c r="A544" s="6"/>
    </row>
    <row r="545">
      <c r="A545" s="6"/>
    </row>
    <row r="546">
      <c r="A546" s="6"/>
    </row>
    <row r="547">
      <c r="A547" s="6"/>
    </row>
    <row r="548">
      <c r="A548" s="6"/>
    </row>
    <row r="549">
      <c r="A549" s="6"/>
    </row>
    <row r="550">
      <c r="A550" s="6"/>
    </row>
    <row r="551">
      <c r="A551" s="6"/>
    </row>
    <row r="552">
      <c r="A552" s="6"/>
    </row>
    <row r="553">
      <c r="A553" s="6"/>
    </row>
    <row r="554">
      <c r="A554" s="6"/>
    </row>
    <row r="555">
      <c r="A555" s="6"/>
    </row>
    <row r="556">
      <c r="A556" s="6"/>
    </row>
    <row r="557">
      <c r="A557" s="6"/>
    </row>
    <row r="558">
      <c r="A558" s="6"/>
    </row>
    <row r="559">
      <c r="A559" s="6"/>
    </row>
    <row r="560">
      <c r="A560" s="6"/>
    </row>
    <row r="561">
      <c r="A561" s="6"/>
    </row>
    <row r="562">
      <c r="A562" s="6"/>
    </row>
    <row r="563">
      <c r="A563" s="6"/>
    </row>
    <row r="564">
      <c r="A564" s="6"/>
    </row>
    <row r="565">
      <c r="A565" s="6"/>
    </row>
    <row r="566">
      <c r="A566" s="6"/>
    </row>
    <row r="567">
      <c r="A567" s="6"/>
    </row>
    <row r="568">
      <c r="A568" s="6"/>
    </row>
    <row r="569">
      <c r="A569" s="6"/>
    </row>
    <row r="570">
      <c r="A570" s="6"/>
    </row>
    <row r="571">
      <c r="A571" s="6"/>
    </row>
    <row r="572">
      <c r="A572" s="6"/>
    </row>
    <row r="573">
      <c r="A573" s="6"/>
    </row>
    <row r="574">
      <c r="A574" s="6"/>
    </row>
    <row r="575">
      <c r="A575" s="6"/>
    </row>
    <row r="576">
      <c r="A576" s="6"/>
    </row>
    <row r="577">
      <c r="A577" s="6"/>
    </row>
    <row r="578">
      <c r="A578" s="6"/>
    </row>
    <row r="579">
      <c r="A579" s="6"/>
    </row>
    <row r="580">
      <c r="A580" s="6"/>
    </row>
    <row r="581">
      <c r="A581" s="6"/>
    </row>
    <row r="582">
      <c r="A582" s="6"/>
    </row>
    <row r="583">
      <c r="A583" s="6"/>
    </row>
    <row r="584">
      <c r="A584" s="6"/>
    </row>
    <row r="585">
      <c r="A585" s="6"/>
    </row>
    <row r="586">
      <c r="A586" s="6"/>
    </row>
    <row r="587">
      <c r="A587" s="6"/>
    </row>
    <row r="588">
      <c r="A588" s="6"/>
    </row>
    <row r="589">
      <c r="A589" s="6"/>
    </row>
    <row r="590">
      <c r="A590" s="6"/>
    </row>
    <row r="591">
      <c r="A591" s="6"/>
    </row>
    <row r="592">
      <c r="A592" s="6"/>
    </row>
    <row r="593">
      <c r="A593" s="6"/>
    </row>
    <row r="594">
      <c r="A594" s="6"/>
    </row>
    <row r="595">
      <c r="A595" s="6"/>
    </row>
    <row r="596">
      <c r="A596" s="6"/>
    </row>
    <row r="597">
      <c r="A597" s="6"/>
    </row>
    <row r="598">
      <c r="A598" s="6"/>
    </row>
    <row r="599">
      <c r="A599" s="6"/>
    </row>
    <row r="600">
      <c r="A600" s="6"/>
    </row>
    <row r="601">
      <c r="A601" s="6"/>
    </row>
    <row r="602">
      <c r="A602" s="6"/>
    </row>
    <row r="603">
      <c r="A603" s="6"/>
    </row>
    <row r="604">
      <c r="A604" s="6"/>
    </row>
    <row r="605">
      <c r="A605" s="6"/>
    </row>
    <row r="606">
      <c r="A606" s="6"/>
    </row>
    <row r="607">
      <c r="A607" s="6"/>
    </row>
    <row r="608">
      <c r="A608" s="6"/>
    </row>
    <row r="609">
      <c r="A609" s="6"/>
    </row>
    <row r="610">
      <c r="A610" s="6"/>
    </row>
    <row r="611">
      <c r="A611" s="6"/>
    </row>
    <row r="612">
      <c r="A612" s="6"/>
    </row>
    <row r="613">
      <c r="A613" s="6"/>
    </row>
    <row r="614">
      <c r="A614" s="6"/>
    </row>
    <row r="615">
      <c r="A615" s="6"/>
    </row>
    <row r="616">
      <c r="A616" s="6"/>
    </row>
    <row r="617">
      <c r="A617" s="6"/>
    </row>
    <row r="618">
      <c r="A618" s="6"/>
    </row>
    <row r="619">
      <c r="A619" s="6"/>
    </row>
    <row r="620">
      <c r="A620" s="6"/>
    </row>
    <row r="621">
      <c r="A621" s="6"/>
    </row>
    <row r="622">
      <c r="A622" s="6"/>
    </row>
    <row r="623">
      <c r="A623" s="6"/>
    </row>
    <row r="624">
      <c r="A624" s="6"/>
    </row>
    <row r="625">
      <c r="A625" s="6"/>
    </row>
    <row r="626">
      <c r="A626" s="6"/>
    </row>
    <row r="627">
      <c r="A627" s="6"/>
    </row>
    <row r="628">
      <c r="A628" s="6"/>
    </row>
    <row r="629">
      <c r="A629" s="6"/>
    </row>
    <row r="630">
      <c r="A630" s="6"/>
    </row>
    <row r="631">
      <c r="A631" s="6"/>
    </row>
    <row r="632">
      <c r="A632" s="6"/>
    </row>
    <row r="633">
      <c r="A633" s="6"/>
    </row>
    <row r="634">
      <c r="A634" s="6"/>
    </row>
    <row r="635">
      <c r="A635" s="6"/>
    </row>
    <row r="636">
      <c r="A636" s="6"/>
    </row>
    <row r="637">
      <c r="A637" s="6"/>
    </row>
    <row r="638">
      <c r="A638" s="6"/>
    </row>
    <row r="639">
      <c r="A639" s="6"/>
    </row>
    <row r="640">
      <c r="A640" s="6"/>
    </row>
    <row r="641">
      <c r="A641" s="6"/>
    </row>
    <row r="642">
      <c r="A642" s="6"/>
    </row>
    <row r="643">
      <c r="A643" s="6"/>
    </row>
    <row r="644">
      <c r="A644" s="6"/>
    </row>
    <row r="645">
      <c r="A645" s="6"/>
    </row>
    <row r="646">
      <c r="A646" s="6"/>
    </row>
    <row r="647">
      <c r="A647" s="6"/>
    </row>
    <row r="648">
      <c r="A648" s="6"/>
    </row>
    <row r="649">
      <c r="A649" s="6"/>
    </row>
    <row r="650">
      <c r="A650" s="6"/>
    </row>
    <row r="651">
      <c r="A651" s="6"/>
    </row>
    <row r="652">
      <c r="A652" s="6"/>
    </row>
    <row r="653">
      <c r="A653" s="6"/>
    </row>
    <row r="654">
      <c r="A654" s="6"/>
    </row>
    <row r="655">
      <c r="A655" s="6"/>
    </row>
    <row r="656">
      <c r="A656" s="6"/>
    </row>
    <row r="657">
      <c r="A657" s="6"/>
    </row>
    <row r="658">
      <c r="A658" s="6"/>
    </row>
    <row r="659">
      <c r="A659" s="6"/>
    </row>
    <row r="660">
      <c r="A660" s="6"/>
    </row>
    <row r="661">
      <c r="A661" s="6"/>
    </row>
    <row r="662">
      <c r="A662" s="6"/>
    </row>
    <row r="663">
      <c r="A663" s="6"/>
    </row>
    <row r="664">
      <c r="A664" s="6"/>
    </row>
    <row r="665">
      <c r="A665" s="6"/>
    </row>
    <row r="666">
      <c r="A666" s="6"/>
    </row>
    <row r="667">
      <c r="A667" s="6"/>
    </row>
    <row r="668">
      <c r="A668" s="6"/>
    </row>
    <row r="669">
      <c r="A669" s="6"/>
    </row>
    <row r="670">
      <c r="A670" s="6"/>
    </row>
    <row r="671">
      <c r="A671" s="6"/>
    </row>
    <row r="672">
      <c r="A672" s="6"/>
    </row>
    <row r="673">
      <c r="A673" s="6"/>
    </row>
    <row r="674">
      <c r="A674" s="6"/>
    </row>
    <row r="675">
      <c r="A675" s="6"/>
    </row>
    <row r="676">
      <c r="A676" s="6"/>
    </row>
    <row r="677">
      <c r="A677" s="6"/>
    </row>
    <row r="678">
      <c r="A678" s="6"/>
    </row>
    <row r="679">
      <c r="A679" s="6"/>
    </row>
    <row r="680">
      <c r="A680" s="6"/>
    </row>
    <row r="681">
      <c r="A681" s="6"/>
    </row>
    <row r="682">
      <c r="A682" s="6"/>
    </row>
    <row r="683">
      <c r="A683" s="6"/>
    </row>
    <row r="684">
      <c r="A684" s="6"/>
    </row>
    <row r="685">
      <c r="A685" s="6"/>
    </row>
    <row r="686">
      <c r="A686" s="6"/>
    </row>
    <row r="687">
      <c r="A687" s="6"/>
    </row>
    <row r="688">
      <c r="A688" s="6"/>
    </row>
    <row r="689">
      <c r="A689" s="6"/>
    </row>
    <row r="690">
      <c r="A690" s="6"/>
    </row>
    <row r="691">
      <c r="A691" s="6"/>
    </row>
    <row r="692">
      <c r="A692" s="6"/>
    </row>
    <row r="693">
      <c r="A693" s="6"/>
    </row>
    <row r="694">
      <c r="A694" s="6"/>
    </row>
    <row r="695">
      <c r="A695" s="6"/>
    </row>
    <row r="696">
      <c r="A696" s="6"/>
    </row>
    <row r="697">
      <c r="A697" s="6"/>
    </row>
    <row r="698">
      <c r="A698" s="6"/>
    </row>
    <row r="699">
      <c r="A699" s="6"/>
    </row>
    <row r="700">
      <c r="A700" s="6"/>
    </row>
    <row r="701">
      <c r="A701" s="6"/>
    </row>
    <row r="702">
      <c r="A702" s="6"/>
    </row>
    <row r="703">
      <c r="A703" s="6"/>
    </row>
    <row r="704">
      <c r="A704" s="6"/>
    </row>
    <row r="705">
      <c r="A705" s="6"/>
    </row>
    <row r="706">
      <c r="A706" s="6"/>
    </row>
    <row r="707">
      <c r="A707" s="6"/>
    </row>
    <row r="708">
      <c r="A708" s="6"/>
    </row>
    <row r="709">
      <c r="A709" s="6"/>
    </row>
    <row r="710">
      <c r="A710" s="6"/>
    </row>
    <row r="711">
      <c r="A711" s="6"/>
    </row>
    <row r="712">
      <c r="A712" s="6"/>
    </row>
    <row r="713">
      <c r="A713" s="6"/>
    </row>
    <row r="714">
      <c r="A714" s="6"/>
    </row>
    <row r="715">
      <c r="A715" s="6"/>
    </row>
    <row r="716">
      <c r="A716" s="6"/>
    </row>
    <row r="717">
      <c r="A717" s="6"/>
    </row>
    <row r="718">
      <c r="A718" s="6"/>
    </row>
    <row r="719">
      <c r="A719" s="6"/>
    </row>
    <row r="720">
      <c r="A720" s="6"/>
    </row>
    <row r="721">
      <c r="A721" s="6"/>
    </row>
    <row r="722">
      <c r="A722" s="6"/>
    </row>
    <row r="723">
      <c r="A723" s="6"/>
    </row>
    <row r="724">
      <c r="A724" s="6"/>
    </row>
    <row r="725">
      <c r="A725" s="6"/>
    </row>
    <row r="726">
      <c r="A726" s="6"/>
    </row>
    <row r="727">
      <c r="A727" s="6"/>
    </row>
    <row r="728">
      <c r="A728" s="6"/>
    </row>
    <row r="729">
      <c r="A729" s="6"/>
    </row>
    <row r="730">
      <c r="A730" s="6"/>
    </row>
    <row r="731">
      <c r="A731" s="6"/>
    </row>
    <row r="732">
      <c r="A732" s="6"/>
    </row>
    <row r="733">
      <c r="A733" s="6"/>
    </row>
    <row r="734">
      <c r="A734" s="6"/>
    </row>
    <row r="735">
      <c r="A735" s="6"/>
    </row>
    <row r="736">
      <c r="A736" s="6"/>
    </row>
    <row r="737">
      <c r="A737" s="6"/>
    </row>
    <row r="738">
      <c r="A738" s="6"/>
    </row>
    <row r="739">
      <c r="A739" s="6"/>
    </row>
    <row r="740">
      <c r="A740" s="6"/>
    </row>
    <row r="741">
      <c r="A741" s="6"/>
    </row>
    <row r="742">
      <c r="A742" s="6"/>
    </row>
    <row r="743">
      <c r="A743" s="6"/>
    </row>
    <row r="744">
      <c r="A744" s="6"/>
    </row>
    <row r="745">
      <c r="A745" s="6"/>
    </row>
    <row r="746">
      <c r="A746" s="6"/>
    </row>
    <row r="747">
      <c r="A747" s="6"/>
    </row>
    <row r="748">
      <c r="A748" s="6"/>
    </row>
    <row r="749">
      <c r="A749" s="6"/>
    </row>
    <row r="750">
      <c r="A750" s="6"/>
    </row>
    <row r="751">
      <c r="A751" s="6"/>
    </row>
    <row r="752">
      <c r="A752" s="6"/>
    </row>
    <row r="753">
      <c r="A753" s="6"/>
    </row>
    <row r="754">
      <c r="A754" s="6"/>
    </row>
    <row r="755">
      <c r="A755" s="6"/>
    </row>
    <row r="756">
      <c r="A756" s="6"/>
    </row>
    <row r="757">
      <c r="A757" s="6"/>
    </row>
    <row r="758">
      <c r="A758" s="6"/>
    </row>
    <row r="759">
      <c r="A759" s="6"/>
    </row>
    <row r="760">
      <c r="A760" s="6"/>
    </row>
    <row r="761">
      <c r="A761" s="6"/>
    </row>
    <row r="762">
      <c r="A762" s="6"/>
    </row>
    <row r="763">
      <c r="A763" s="6"/>
    </row>
    <row r="764">
      <c r="A764" s="6"/>
    </row>
    <row r="765">
      <c r="A765" s="6"/>
    </row>
    <row r="766">
      <c r="A766" s="6"/>
    </row>
    <row r="767">
      <c r="A767" s="6"/>
    </row>
    <row r="768">
      <c r="A768" s="6"/>
    </row>
    <row r="769">
      <c r="A769" s="6"/>
    </row>
    <row r="770">
      <c r="A770" s="6"/>
    </row>
    <row r="771">
      <c r="A771" s="6"/>
    </row>
    <row r="772">
      <c r="A772" s="6"/>
    </row>
    <row r="773">
      <c r="A773" s="6"/>
    </row>
    <row r="774">
      <c r="A774" s="6"/>
    </row>
    <row r="775">
      <c r="A775" s="6"/>
    </row>
    <row r="776">
      <c r="A776" s="6"/>
    </row>
    <row r="777">
      <c r="A777" s="6"/>
    </row>
    <row r="778">
      <c r="A778" s="6"/>
    </row>
    <row r="779">
      <c r="A779" s="6"/>
    </row>
    <row r="780">
      <c r="A780" s="6"/>
    </row>
    <row r="781">
      <c r="A781" s="6"/>
    </row>
    <row r="782">
      <c r="A782" s="6"/>
    </row>
    <row r="783">
      <c r="A783" s="6"/>
    </row>
    <row r="784">
      <c r="A784" s="6"/>
    </row>
    <row r="785">
      <c r="A785" s="6"/>
    </row>
    <row r="786">
      <c r="A786" s="6"/>
    </row>
    <row r="787">
      <c r="A787" s="6"/>
    </row>
    <row r="788">
      <c r="A788" s="6"/>
    </row>
    <row r="789">
      <c r="A789" s="6"/>
    </row>
    <row r="790">
      <c r="A790" s="6"/>
    </row>
    <row r="791">
      <c r="A791" s="6"/>
    </row>
    <row r="792">
      <c r="A792" s="6"/>
    </row>
    <row r="793">
      <c r="A793" s="6"/>
    </row>
    <row r="794">
      <c r="A794" s="6"/>
    </row>
    <row r="795">
      <c r="A795" s="6"/>
    </row>
    <row r="796">
      <c r="A796" s="6"/>
    </row>
    <row r="797">
      <c r="A797" s="6"/>
    </row>
    <row r="798">
      <c r="A798" s="6"/>
    </row>
    <row r="799">
      <c r="A799" s="6"/>
    </row>
    <row r="800">
      <c r="A800" s="6"/>
    </row>
    <row r="801">
      <c r="A801" s="6"/>
    </row>
    <row r="802">
      <c r="A802" s="6"/>
    </row>
    <row r="803">
      <c r="A803" s="6"/>
    </row>
    <row r="804">
      <c r="A804" s="6"/>
    </row>
    <row r="805">
      <c r="A805" s="6"/>
    </row>
    <row r="806">
      <c r="A806" s="6"/>
    </row>
    <row r="807">
      <c r="A807" s="6"/>
    </row>
    <row r="808">
      <c r="A808" s="6"/>
    </row>
    <row r="809">
      <c r="A809" s="6"/>
    </row>
    <row r="810">
      <c r="A810" s="6"/>
    </row>
    <row r="811">
      <c r="A811" s="6"/>
    </row>
    <row r="812">
      <c r="A812" s="6"/>
    </row>
    <row r="813">
      <c r="A813" s="6"/>
    </row>
    <row r="814">
      <c r="A814" s="6"/>
    </row>
    <row r="815">
      <c r="A815" s="6"/>
    </row>
    <row r="816">
      <c r="A816" s="6"/>
    </row>
    <row r="817">
      <c r="A817" s="6"/>
    </row>
    <row r="818">
      <c r="A818" s="6"/>
    </row>
    <row r="819">
      <c r="A819" s="6"/>
    </row>
    <row r="820">
      <c r="A820" s="6"/>
    </row>
    <row r="821">
      <c r="A821" s="6"/>
    </row>
    <row r="822">
      <c r="A822" s="6"/>
    </row>
    <row r="823">
      <c r="A823" s="6"/>
    </row>
    <row r="824">
      <c r="A824" s="6"/>
    </row>
    <row r="825">
      <c r="A825" s="6"/>
    </row>
    <row r="826">
      <c r="A826" s="6"/>
    </row>
    <row r="827">
      <c r="A827" s="6"/>
    </row>
    <row r="828">
      <c r="A828" s="6"/>
    </row>
    <row r="829">
      <c r="A829" s="6"/>
    </row>
    <row r="830">
      <c r="A830" s="6"/>
    </row>
    <row r="831">
      <c r="A831" s="6"/>
    </row>
    <row r="832">
      <c r="A832" s="6"/>
    </row>
    <row r="833">
      <c r="A833" s="6"/>
    </row>
    <row r="834">
      <c r="A834" s="6"/>
    </row>
    <row r="835">
      <c r="A835" s="6"/>
    </row>
    <row r="836">
      <c r="A836" s="6"/>
    </row>
    <row r="837">
      <c r="A837" s="6"/>
    </row>
    <row r="838">
      <c r="A838" s="6"/>
    </row>
    <row r="839">
      <c r="A839" s="6"/>
    </row>
    <row r="840">
      <c r="A840" s="6"/>
    </row>
    <row r="841">
      <c r="A841" s="6"/>
    </row>
    <row r="842">
      <c r="A842" s="6"/>
    </row>
    <row r="843">
      <c r="A843" s="6"/>
    </row>
    <row r="844">
      <c r="A844" s="6"/>
    </row>
    <row r="845">
      <c r="A845" s="6"/>
    </row>
    <row r="846">
      <c r="A846" s="6"/>
    </row>
    <row r="847">
      <c r="A847" s="6"/>
    </row>
    <row r="848">
      <c r="A848" s="6"/>
    </row>
    <row r="849">
      <c r="A849" s="6"/>
    </row>
    <row r="850">
      <c r="A850" s="6"/>
    </row>
    <row r="851">
      <c r="A851" s="6"/>
    </row>
    <row r="852">
      <c r="A852" s="6"/>
    </row>
    <row r="853">
      <c r="A853" s="6"/>
    </row>
    <row r="854">
      <c r="A854" s="6"/>
    </row>
    <row r="855">
      <c r="A855" s="6"/>
    </row>
    <row r="856">
      <c r="A856" s="6"/>
    </row>
    <row r="857">
      <c r="A857" s="6"/>
    </row>
    <row r="858">
      <c r="A858" s="6"/>
    </row>
    <row r="859">
      <c r="A859" s="6"/>
    </row>
    <row r="860">
      <c r="A860" s="6"/>
    </row>
    <row r="861">
      <c r="A861" s="6"/>
    </row>
    <row r="862">
      <c r="A862" s="6"/>
    </row>
    <row r="863">
      <c r="A863" s="6"/>
    </row>
    <row r="864">
      <c r="A864" s="6"/>
    </row>
    <row r="865">
      <c r="A865" s="6"/>
    </row>
    <row r="866">
      <c r="A866" s="6"/>
    </row>
    <row r="867">
      <c r="A867" s="6"/>
    </row>
    <row r="868">
      <c r="A868" s="6"/>
    </row>
    <row r="869">
      <c r="A869" s="6"/>
    </row>
    <row r="870">
      <c r="A870" s="6"/>
    </row>
    <row r="871">
      <c r="A871" s="6"/>
    </row>
    <row r="872">
      <c r="A872" s="6"/>
    </row>
    <row r="873">
      <c r="A873" s="6"/>
    </row>
    <row r="874">
      <c r="A874" s="6"/>
    </row>
    <row r="875">
      <c r="A875" s="6"/>
    </row>
    <row r="876">
      <c r="A876" s="6"/>
    </row>
    <row r="877">
      <c r="A877" s="6"/>
    </row>
    <row r="878">
      <c r="A878" s="6"/>
    </row>
    <row r="879">
      <c r="A879" s="6"/>
    </row>
    <row r="880">
      <c r="A880" s="6"/>
    </row>
    <row r="881">
      <c r="A881" s="6"/>
    </row>
    <row r="882">
      <c r="A882" s="6"/>
    </row>
    <row r="883">
      <c r="A883" s="6"/>
    </row>
    <row r="884">
      <c r="A884" s="6"/>
    </row>
    <row r="885">
      <c r="A885" s="6"/>
    </row>
    <row r="886">
      <c r="A886" s="6"/>
    </row>
    <row r="887">
      <c r="A887" s="6"/>
    </row>
    <row r="888">
      <c r="A888" s="6"/>
    </row>
    <row r="889">
      <c r="A889" s="6"/>
    </row>
    <row r="890">
      <c r="A890" s="6"/>
    </row>
    <row r="891">
      <c r="A891" s="6"/>
    </row>
    <row r="892">
      <c r="A892" s="6"/>
    </row>
    <row r="893">
      <c r="A893" s="6"/>
    </row>
    <row r="894">
      <c r="A894" s="6"/>
    </row>
    <row r="895">
      <c r="A895" s="6"/>
    </row>
    <row r="896">
      <c r="A896" s="6"/>
    </row>
    <row r="897">
      <c r="A897" s="6"/>
    </row>
    <row r="898">
      <c r="A898" s="6"/>
    </row>
    <row r="899">
      <c r="A899" s="6"/>
    </row>
    <row r="900">
      <c r="A900" s="6"/>
    </row>
    <row r="901">
      <c r="A901" s="6"/>
    </row>
    <row r="902">
      <c r="A902" s="6"/>
    </row>
    <row r="903">
      <c r="A903" s="6"/>
    </row>
    <row r="904">
      <c r="A904" s="6"/>
    </row>
    <row r="905">
      <c r="A905" s="6"/>
    </row>
    <row r="906">
      <c r="A906" s="6"/>
    </row>
    <row r="907">
      <c r="A907" s="6"/>
    </row>
    <row r="908">
      <c r="A908" s="6"/>
    </row>
    <row r="909">
      <c r="A909" s="6"/>
    </row>
    <row r="910">
      <c r="A910" s="6"/>
    </row>
    <row r="911">
      <c r="A911" s="6"/>
    </row>
    <row r="912">
      <c r="A912" s="6"/>
    </row>
    <row r="913">
      <c r="A913" s="6"/>
    </row>
    <row r="914">
      <c r="A914" s="6"/>
    </row>
    <row r="915">
      <c r="A915" s="6"/>
    </row>
    <row r="916">
      <c r="A916" s="6"/>
    </row>
    <row r="917">
      <c r="A917" s="6"/>
    </row>
    <row r="918">
      <c r="A918" s="6"/>
    </row>
    <row r="919">
      <c r="A919" s="6"/>
    </row>
    <row r="920">
      <c r="A920" s="6"/>
    </row>
    <row r="921">
      <c r="A921" s="6"/>
    </row>
    <row r="922">
      <c r="A922" s="6"/>
    </row>
    <row r="923">
      <c r="A923" s="6"/>
    </row>
    <row r="924">
      <c r="A924" s="6"/>
    </row>
    <row r="925">
      <c r="A925" s="6"/>
    </row>
    <row r="926">
      <c r="A926" s="6"/>
    </row>
    <row r="927">
      <c r="A927" s="6"/>
    </row>
    <row r="928">
      <c r="A928" s="6"/>
    </row>
    <row r="929">
      <c r="A929" s="6"/>
    </row>
    <row r="930">
      <c r="A930" s="6"/>
    </row>
    <row r="931">
      <c r="A931" s="6"/>
    </row>
    <row r="932">
      <c r="A932" s="6"/>
    </row>
    <row r="933">
      <c r="A933" s="6"/>
    </row>
    <row r="934">
      <c r="A934" s="6"/>
    </row>
    <row r="935">
      <c r="A935" s="6"/>
    </row>
    <row r="936">
      <c r="A936" s="6"/>
    </row>
    <row r="937">
      <c r="A937" s="6"/>
    </row>
    <row r="938">
      <c r="A938" s="6"/>
    </row>
    <row r="939">
      <c r="A939" s="6"/>
    </row>
    <row r="940">
      <c r="A940" s="6"/>
    </row>
    <row r="941">
      <c r="A941" s="6"/>
    </row>
    <row r="942">
      <c r="A942" s="6"/>
    </row>
    <row r="943">
      <c r="A943" s="6"/>
    </row>
    <row r="944">
      <c r="A944" s="6"/>
    </row>
    <row r="945">
      <c r="A945" s="6"/>
    </row>
    <row r="946">
      <c r="A946" s="6"/>
    </row>
    <row r="947">
      <c r="A947" s="6"/>
    </row>
    <row r="948">
      <c r="A948" s="6"/>
    </row>
    <row r="949">
      <c r="A949" s="6"/>
    </row>
    <row r="950">
      <c r="A950" s="6"/>
    </row>
    <row r="951">
      <c r="A951" s="6"/>
    </row>
    <row r="952">
      <c r="A952" s="6"/>
    </row>
    <row r="953">
      <c r="A953" s="6"/>
    </row>
    <row r="954">
      <c r="A954" s="6"/>
    </row>
    <row r="955">
      <c r="A955" s="6"/>
    </row>
    <row r="956">
      <c r="A956" s="6"/>
    </row>
    <row r="957">
      <c r="A957" s="6"/>
    </row>
    <row r="958">
      <c r="A958" s="6"/>
    </row>
    <row r="959">
      <c r="A959" s="6"/>
    </row>
    <row r="960">
      <c r="A960" s="6"/>
    </row>
    <row r="961">
      <c r="A961" s="6"/>
    </row>
    <row r="962">
      <c r="A962" s="6"/>
    </row>
    <row r="963">
      <c r="A963" s="6"/>
    </row>
    <row r="964">
      <c r="A964" s="6"/>
    </row>
    <row r="965">
      <c r="A965" s="6"/>
    </row>
    <row r="966">
      <c r="A966" s="6"/>
    </row>
    <row r="967">
      <c r="A967" s="6"/>
    </row>
    <row r="968">
      <c r="A968" s="6"/>
    </row>
    <row r="969">
      <c r="A969" s="6"/>
    </row>
    <row r="970">
      <c r="A970" s="6"/>
    </row>
    <row r="971">
      <c r="A971" s="6"/>
    </row>
    <row r="972">
      <c r="A972" s="6"/>
    </row>
    <row r="973">
      <c r="A973" s="6"/>
    </row>
    <row r="974">
      <c r="A974" s="6"/>
    </row>
    <row r="975">
      <c r="A975" s="6"/>
    </row>
  </sheetData>
  <conditionalFormatting sqref="A2:A975">
    <cfRule type="expression" dxfId="1" priority="1">
      <formula>COUNTIF(INDIRECT("MASTER_LIST!A$2:A"), A1)&gt;1</formula>
    </cfRule>
  </conditionalFormatting>
  <conditionalFormatting sqref="B2:B975">
    <cfRule type="cellIs" dxfId="0" priority="2" operator="greaterThan">
      <formula>0.5</formula>
    </cfRule>
  </conditionalFormatting>
  <hyperlinks>
    <hyperlink r:id="rId1" ref="G2"/>
    <hyperlink r:id="rId2" ref="G3"/>
    <hyperlink r:id="rId3" ref="G4"/>
    <hyperlink r:id="rId4" ref="G5"/>
    <hyperlink r:id="rId5" ref="G6"/>
    <hyperlink r:id="rId6" ref="G7"/>
    <hyperlink r:id="rId7" ref="G8"/>
    <hyperlink r:id="rId8" ref="G9"/>
    <hyperlink r:id="rId9" ref="G10"/>
    <hyperlink r:id="rId10" ref="G11"/>
    <hyperlink r:id="rId11" ref="G12"/>
    <hyperlink r:id="rId12" ref="G13"/>
    <hyperlink r:id="rId13" ref="G14"/>
    <hyperlink r:id="rId14" ref="G15"/>
    <hyperlink r:id="rId15" ref="G16"/>
    <hyperlink r:id="rId16" ref="G17"/>
    <hyperlink r:id="rId17" ref="G18"/>
    <hyperlink r:id="rId18" ref="G19"/>
    <hyperlink r:id="rId19" ref="G20"/>
    <hyperlink r:id="rId20" ref="G21"/>
    <hyperlink r:id="rId21" ref="G22"/>
    <hyperlink r:id="rId22" ref="G23"/>
    <hyperlink r:id="rId23" ref="G24"/>
    <hyperlink r:id="rId24" ref="G25"/>
    <hyperlink r:id="rId25" ref="G26"/>
    <hyperlink r:id="rId26" ref="G27"/>
    <hyperlink r:id="rId27" ref="G28"/>
    <hyperlink r:id="rId28" ref="G29"/>
    <hyperlink r:id="rId29" ref="G30"/>
    <hyperlink r:id="rId30" ref="G31"/>
    <hyperlink r:id="rId31" ref="G32"/>
    <hyperlink r:id="rId32" ref="G33"/>
    <hyperlink r:id="rId33" ref="G34"/>
    <hyperlink r:id="rId34" ref="G35"/>
    <hyperlink r:id="rId35" ref="G36"/>
    <hyperlink r:id="rId36" ref="G37"/>
    <hyperlink r:id="rId37" ref="G38"/>
    <hyperlink r:id="rId38" ref="G39"/>
    <hyperlink r:id="rId39" ref="G40"/>
    <hyperlink r:id="rId40" ref="G41"/>
    <hyperlink r:id="rId41" ref="G42"/>
    <hyperlink r:id="rId42" ref="G43"/>
    <hyperlink r:id="rId43" ref="G44"/>
    <hyperlink r:id="rId44" ref="G45"/>
    <hyperlink r:id="rId45" ref="G46"/>
    <hyperlink r:id="rId46" ref="G47"/>
    <hyperlink r:id="rId47" ref="G48"/>
    <hyperlink r:id="rId48" ref="G49"/>
    <hyperlink r:id="rId49" ref="G50"/>
    <hyperlink r:id="rId50" ref="G51"/>
    <hyperlink r:id="rId51" ref="G52"/>
    <hyperlink r:id="rId52" ref="G53"/>
    <hyperlink r:id="rId53" ref="G54"/>
    <hyperlink r:id="rId54" ref="G55"/>
    <hyperlink r:id="rId55" ref="G56"/>
    <hyperlink r:id="rId56" ref="G57"/>
    <hyperlink r:id="rId57" ref="G58"/>
    <hyperlink r:id="rId58" ref="G59"/>
    <hyperlink r:id="rId59" ref="G60"/>
    <hyperlink r:id="rId60" ref="G61"/>
    <hyperlink r:id="rId61" ref="G62"/>
    <hyperlink r:id="rId62" ref="G63"/>
    <hyperlink r:id="rId63" ref="G64"/>
    <hyperlink r:id="rId64" ref="G65"/>
    <hyperlink r:id="rId65" ref="G66"/>
    <hyperlink r:id="rId66" ref="G67"/>
    <hyperlink r:id="rId67" ref="G68"/>
    <hyperlink r:id="rId68" ref="G69"/>
    <hyperlink r:id="rId69" ref="G70"/>
    <hyperlink r:id="rId70" ref="G71"/>
    <hyperlink r:id="rId71" ref="G72"/>
    <hyperlink r:id="rId72" ref="G73"/>
    <hyperlink r:id="rId73" ref="G74"/>
    <hyperlink r:id="rId74" ref="G75"/>
    <hyperlink r:id="rId75" ref="G76"/>
    <hyperlink r:id="rId76" ref="G77"/>
    <hyperlink r:id="rId77" ref="G78"/>
    <hyperlink r:id="rId78" ref="G79"/>
    <hyperlink r:id="rId79" ref="G80"/>
    <hyperlink r:id="rId80" ref="G81"/>
    <hyperlink r:id="rId81" ref="G82"/>
    <hyperlink r:id="rId82" ref="G83"/>
    <hyperlink r:id="rId83" ref="G84"/>
    <hyperlink r:id="rId84" ref="G85"/>
    <hyperlink r:id="rId85" ref="G86"/>
    <hyperlink r:id="rId86" ref="G87"/>
    <hyperlink r:id="rId87" ref="G88"/>
    <hyperlink r:id="rId88" ref="G89"/>
    <hyperlink r:id="rId89" ref="G90"/>
    <hyperlink r:id="rId90" ref="G91"/>
    <hyperlink r:id="rId91" ref="G92"/>
    <hyperlink r:id="rId92" ref="G93"/>
    <hyperlink r:id="rId93" ref="G94"/>
    <hyperlink r:id="rId94" ref="G95"/>
    <hyperlink r:id="rId95" ref="G96"/>
    <hyperlink r:id="rId96" ref="G97"/>
    <hyperlink r:id="rId97" ref="G98"/>
    <hyperlink r:id="rId98" ref="G99"/>
    <hyperlink r:id="rId99" ref="G100"/>
    <hyperlink r:id="rId100" ref="G101"/>
    <hyperlink r:id="rId101" ref="G102"/>
    <hyperlink r:id="rId102" ref="G103"/>
    <hyperlink r:id="rId103" ref="G104"/>
    <hyperlink r:id="rId104" ref="G105"/>
    <hyperlink r:id="rId105" ref="G106"/>
    <hyperlink r:id="rId106" ref="G107"/>
    <hyperlink r:id="rId107" ref="G108"/>
  </hyperlinks>
  <drawing r:id="rId10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25"/>
    <col customWidth="1" min="2" max="5" width="17.38"/>
    <col customWidth="1" min="6" max="7" width="22.0"/>
    <col customWidth="1" min="9" max="9" width="32.25"/>
  </cols>
  <sheetData>
    <row r="1">
      <c r="A1" s="8" t="s">
        <v>50</v>
      </c>
      <c r="B1" s="8" t="s">
        <v>1271</v>
      </c>
      <c r="C1" s="8" t="s">
        <v>1258</v>
      </c>
      <c r="D1" s="8" t="s">
        <v>1260</v>
      </c>
      <c r="E1" s="8" t="s">
        <v>1259</v>
      </c>
      <c r="F1" s="8" t="s">
        <v>0</v>
      </c>
      <c r="G1" s="1" t="s">
        <v>1261</v>
      </c>
      <c r="H1" s="8" t="s">
        <v>1262</v>
      </c>
      <c r="I1" s="8" t="s">
        <v>7710</v>
      </c>
      <c r="J1" s="8" t="s">
        <v>7711</v>
      </c>
      <c r="K1" s="8" t="s">
        <v>7712</v>
      </c>
      <c r="L1" s="8" t="s">
        <v>7713</v>
      </c>
      <c r="M1" s="8" t="s">
        <v>7714</v>
      </c>
      <c r="N1" s="8" t="s">
        <v>7715</v>
      </c>
      <c r="O1" s="8" t="s">
        <v>7716</v>
      </c>
      <c r="P1" s="8" t="s">
        <v>7717</v>
      </c>
    </row>
    <row r="2">
      <c r="A2" s="8" t="s">
        <v>7718</v>
      </c>
      <c r="B2" s="8"/>
      <c r="C2" s="8"/>
      <c r="D2" s="8"/>
      <c r="E2" s="8"/>
      <c r="F2" s="8" t="s">
        <v>7719</v>
      </c>
      <c r="G2" s="8" t="b">
        <v>0</v>
      </c>
      <c r="H2" s="8" t="s">
        <v>7720</v>
      </c>
      <c r="I2" s="8" t="s">
        <v>7721</v>
      </c>
      <c r="J2" s="12"/>
      <c r="K2" s="8" t="s">
        <v>7722</v>
      </c>
      <c r="L2" s="8">
        <v>15.0</v>
      </c>
      <c r="M2" s="8" t="s">
        <v>7723</v>
      </c>
      <c r="N2" s="8" t="s">
        <v>7724</v>
      </c>
      <c r="O2" s="8" t="s">
        <v>7725</v>
      </c>
      <c r="P2" s="28" t="s">
        <v>7726</v>
      </c>
    </row>
    <row r="3">
      <c r="A3" s="8" t="s">
        <v>7727</v>
      </c>
      <c r="B3" s="8"/>
      <c r="C3" s="8"/>
      <c r="D3" s="8"/>
      <c r="E3" s="8"/>
      <c r="F3" s="8" t="s">
        <v>7728</v>
      </c>
      <c r="G3" s="8" t="b">
        <v>0</v>
      </c>
      <c r="H3" s="8" t="s">
        <v>7729</v>
      </c>
      <c r="I3" s="8" t="s">
        <v>7730</v>
      </c>
      <c r="J3" s="12"/>
      <c r="K3" s="8" t="s">
        <v>7722</v>
      </c>
      <c r="L3" s="8">
        <v>10.0</v>
      </c>
      <c r="M3" s="8" t="s">
        <v>7731</v>
      </c>
      <c r="N3" s="8" t="s">
        <v>7732</v>
      </c>
      <c r="O3" s="8" t="s">
        <v>7733</v>
      </c>
      <c r="P3" s="28" t="s">
        <v>7734</v>
      </c>
    </row>
    <row r="4">
      <c r="A4" s="8" t="s">
        <v>7735</v>
      </c>
      <c r="B4" s="8"/>
      <c r="C4" s="8"/>
      <c r="D4" s="8"/>
      <c r="E4" s="8"/>
      <c r="F4" s="8" t="s">
        <v>7736</v>
      </c>
      <c r="G4" s="8" t="b">
        <v>0</v>
      </c>
      <c r="H4" s="8" t="s">
        <v>7737</v>
      </c>
      <c r="I4" s="8" t="s">
        <v>7738</v>
      </c>
      <c r="J4" s="12"/>
      <c r="K4" s="8" t="s">
        <v>7739</v>
      </c>
      <c r="L4" s="8">
        <v>15.0</v>
      </c>
      <c r="M4" s="8" t="s">
        <v>7740</v>
      </c>
      <c r="N4" s="8" t="s">
        <v>7741</v>
      </c>
      <c r="O4" s="8" t="s">
        <v>7742</v>
      </c>
      <c r="P4" s="28" t="s">
        <v>7743</v>
      </c>
    </row>
    <row r="5">
      <c r="A5" s="8" t="s">
        <v>7744</v>
      </c>
      <c r="B5" s="8"/>
      <c r="C5" s="8"/>
      <c r="D5" s="8"/>
      <c r="E5" s="8"/>
      <c r="F5" s="8" t="s">
        <v>7745</v>
      </c>
      <c r="G5" s="8" t="b">
        <v>0</v>
      </c>
      <c r="H5" s="8" t="s">
        <v>7746</v>
      </c>
      <c r="I5" s="8" t="s">
        <v>7747</v>
      </c>
      <c r="J5" s="12"/>
      <c r="K5" s="8" t="s">
        <v>7722</v>
      </c>
      <c r="L5" s="8">
        <v>24.0</v>
      </c>
      <c r="M5" s="8" t="s">
        <v>7748</v>
      </c>
      <c r="N5" s="8" t="s">
        <v>7749</v>
      </c>
      <c r="O5" s="8" t="s">
        <v>7750</v>
      </c>
      <c r="P5" s="28" t="s">
        <v>7751</v>
      </c>
    </row>
    <row r="6">
      <c r="A6" s="8" t="s">
        <v>7752</v>
      </c>
      <c r="B6" s="8"/>
      <c r="C6" s="8"/>
      <c r="D6" s="8"/>
      <c r="E6" s="8"/>
      <c r="F6" s="8" t="s">
        <v>7753</v>
      </c>
      <c r="G6" s="8" t="b">
        <v>0</v>
      </c>
      <c r="H6" s="8" t="s">
        <v>7754</v>
      </c>
      <c r="I6" s="8" t="s">
        <v>7755</v>
      </c>
      <c r="J6" s="12"/>
      <c r="K6" s="8" t="s">
        <v>7756</v>
      </c>
      <c r="L6" s="8">
        <v>12.0</v>
      </c>
      <c r="M6" s="8" t="s">
        <v>7757</v>
      </c>
      <c r="N6" s="8" t="s">
        <v>7758</v>
      </c>
      <c r="O6" s="8" t="s">
        <v>7759</v>
      </c>
      <c r="P6" s="28" t="s">
        <v>7760</v>
      </c>
    </row>
    <row r="7">
      <c r="A7" s="8" t="s">
        <v>7761</v>
      </c>
      <c r="B7" s="8"/>
      <c r="C7" s="8"/>
      <c r="D7" s="8"/>
      <c r="E7" s="8"/>
      <c r="F7" s="8" t="s">
        <v>7762</v>
      </c>
      <c r="G7" s="8" t="b">
        <v>0</v>
      </c>
      <c r="H7" s="8" t="s">
        <v>7763</v>
      </c>
      <c r="I7" s="8" t="s">
        <v>7764</v>
      </c>
      <c r="J7" s="12"/>
      <c r="K7" s="8" t="s">
        <v>7722</v>
      </c>
      <c r="L7" s="8">
        <v>30.0</v>
      </c>
      <c r="M7" s="8" t="s">
        <v>7765</v>
      </c>
      <c r="N7" s="8" t="s">
        <v>7766</v>
      </c>
      <c r="O7" s="8" t="s">
        <v>7767</v>
      </c>
      <c r="P7" s="28" t="s">
        <v>7768</v>
      </c>
    </row>
    <row r="8">
      <c r="A8" s="8" t="s">
        <v>7769</v>
      </c>
      <c r="B8" s="8"/>
      <c r="C8" s="8"/>
      <c r="D8" s="8"/>
      <c r="E8" s="8"/>
      <c r="F8" s="8" t="s">
        <v>7770</v>
      </c>
      <c r="G8" s="8" t="b">
        <v>0</v>
      </c>
      <c r="H8" s="8" t="s">
        <v>7771</v>
      </c>
      <c r="I8" s="8" t="s">
        <v>7772</v>
      </c>
      <c r="J8" s="12"/>
      <c r="K8" s="8" t="s">
        <v>7773</v>
      </c>
      <c r="L8" s="8">
        <v>12.0</v>
      </c>
      <c r="M8" s="8" t="s">
        <v>7774</v>
      </c>
      <c r="N8" s="8" t="s">
        <v>7775</v>
      </c>
      <c r="O8" s="8" t="s">
        <v>7776</v>
      </c>
      <c r="P8" s="28" t="s">
        <v>7777</v>
      </c>
    </row>
    <row r="9">
      <c r="A9" s="8" t="s">
        <v>7778</v>
      </c>
      <c r="B9" s="8"/>
      <c r="C9" s="8"/>
      <c r="D9" s="8"/>
      <c r="E9" s="8"/>
      <c r="F9" s="8" t="s">
        <v>7779</v>
      </c>
      <c r="G9" s="8" t="b">
        <v>0</v>
      </c>
      <c r="H9" s="8" t="s">
        <v>7780</v>
      </c>
      <c r="I9" s="8" t="s">
        <v>7781</v>
      </c>
      <c r="J9" s="12"/>
      <c r="K9" s="12"/>
      <c r="L9" s="8">
        <v>12.0</v>
      </c>
      <c r="M9" s="8" t="s">
        <v>7782</v>
      </c>
      <c r="N9" s="8" t="s">
        <v>7783</v>
      </c>
      <c r="O9" s="8" t="s">
        <v>7784</v>
      </c>
      <c r="P9" s="28" t="s">
        <v>7785</v>
      </c>
    </row>
    <row r="10">
      <c r="A10" s="8" t="s">
        <v>7786</v>
      </c>
      <c r="B10" s="8"/>
      <c r="C10" s="8"/>
      <c r="D10" s="8"/>
      <c r="E10" s="8"/>
      <c r="F10" s="8" t="s">
        <v>7787</v>
      </c>
      <c r="G10" s="8" t="b">
        <v>0</v>
      </c>
      <c r="H10" s="8" t="s">
        <v>7788</v>
      </c>
      <c r="I10" s="8" t="s">
        <v>7789</v>
      </c>
      <c r="J10" s="12"/>
      <c r="K10" s="8" t="s">
        <v>7722</v>
      </c>
      <c r="L10" s="8">
        <v>19.0</v>
      </c>
      <c r="M10" s="8" t="s">
        <v>7790</v>
      </c>
      <c r="N10" s="8" t="s">
        <v>7791</v>
      </c>
      <c r="O10" s="8" t="s">
        <v>7792</v>
      </c>
      <c r="P10" s="28" t="s">
        <v>7793</v>
      </c>
    </row>
    <row r="11">
      <c r="A11" s="8" t="s">
        <v>7794</v>
      </c>
      <c r="B11" s="8"/>
      <c r="C11" s="8"/>
      <c r="D11" s="8"/>
      <c r="E11" s="8"/>
      <c r="F11" s="8" t="s">
        <v>7795</v>
      </c>
      <c r="G11" s="8" t="b">
        <v>0</v>
      </c>
      <c r="H11" s="8" t="s">
        <v>7796</v>
      </c>
      <c r="I11" s="8" t="s">
        <v>7797</v>
      </c>
      <c r="J11" s="12"/>
      <c r="K11" s="8" t="s">
        <v>7722</v>
      </c>
      <c r="L11" s="8">
        <v>20.0</v>
      </c>
      <c r="M11" s="8" t="s">
        <v>1295</v>
      </c>
      <c r="N11" s="8" t="s">
        <v>7798</v>
      </c>
      <c r="O11" s="12"/>
      <c r="P11" s="28" t="s">
        <v>7799</v>
      </c>
    </row>
    <row r="12">
      <c r="A12" s="8" t="s">
        <v>7800</v>
      </c>
      <c r="B12" s="8"/>
      <c r="C12" s="8"/>
      <c r="D12" s="8"/>
      <c r="E12" s="8"/>
      <c r="F12" s="8" t="s">
        <v>7801</v>
      </c>
      <c r="G12" s="8" t="b">
        <v>0</v>
      </c>
      <c r="H12" s="8" t="s">
        <v>7802</v>
      </c>
      <c r="I12" s="8" t="s">
        <v>7803</v>
      </c>
      <c r="J12" s="12"/>
      <c r="K12" s="8" t="s">
        <v>7804</v>
      </c>
      <c r="L12" s="8">
        <v>15.0</v>
      </c>
      <c r="M12" s="8" t="s">
        <v>7805</v>
      </c>
      <c r="N12" s="8" t="s">
        <v>7806</v>
      </c>
      <c r="O12" s="8" t="s">
        <v>7807</v>
      </c>
      <c r="P12" s="28" t="s">
        <v>7808</v>
      </c>
    </row>
    <row r="13">
      <c r="A13" s="8" t="s">
        <v>7800</v>
      </c>
      <c r="B13" s="8"/>
      <c r="C13" s="8"/>
      <c r="D13" s="8"/>
      <c r="E13" s="8"/>
      <c r="F13" s="8" t="s">
        <v>7801</v>
      </c>
      <c r="G13" s="8" t="b">
        <v>0</v>
      </c>
      <c r="H13" s="8" t="s">
        <v>7802</v>
      </c>
      <c r="I13" s="8" t="s">
        <v>7803</v>
      </c>
      <c r="J13" s="12"/>
      <c r="K13" s="8" t="s">
        <v>7804</v>
      </c>
      <c r="L13" s="8">
        <v>15.0</v>
      </c>
      <c r="M13" s="8" t="s">
        <v>7805</v>
      </c>
      <c r="N13" s="8" t="s">
        <v>7806</v>
      </c>
      <c r="O13" s="8" t="s">
        <v>7807</v>
      </c>
      <c r="P13" s="28" t="s">
        <v>7808</v>
      </c>
    </row>
    <row r="14">
      <c r="A14" s="8" t="s">
        <v>7727</v>
      </c>
      <c r="B14" s="8"/>
      <c r="C14" s="8"/>
      <c r="D14" s="8"/>
      <c r="E14" s="8"/>
      <c r="F14" s="8" t="s">
        <v>7809</v>
      </c>
      <c r="G14" s="8" t="b">
        <v>0</v>
      </c>
      <c r="H14" s="8" t="s">
        <v>7729</v>
      </c>
      <c r="I14" s="8" t="s">
        <v>7730</v>
      </c>
      <c r="J14" s="12"/>
      <c r="K14" s="8" t="s">
        <v>7722</v>
      </c>
      <c r="L14" s="8">
        <v>10.0</v>
      </c>
      <c r="M14" s="8" t="s">
        <v>7731</v>
      </c>
      <c r="N14" s="8" t="s">
        <v>7732</v>
      </c>
      <c r="O14" s="8" t="s">
        <v>7733</v>
      </c>
      <c r="P14" s="28" t="s">
        <v>7734</v>
      </c>
    </row>
    <row r="15">
      <c r="A15" s="8" t="s">
        <v>7810</v>
      </c>
      <c r="B15" s="8"/>
      <c r="C15" s="8"/>
      <c r="D15" s="8"/>
      <c r="E15" s="8"/>
      <c r="F15" s="8" t="s">
        <v>7811</v>
      </c>
      <c r="G15" s="8" t="b">
        <v>0</v>
      </c>
      <c r="H15" s="8" t="s">
        <v>7812</v>
      </c>
      <c r="I15" s="8" t="s">
        <v>7813</v>
      </c>
      <c r="J15" s="12"/>
      <c r="K15" s="8" t="s">
        <v>7722</v>
      </c>
      <c r="L15" s="8">
        <v>11.0</v>
      </c>
      <c r="M15" s="8" t="s">
        <v>7814</v>
      </c>
      <c r="N15" s="8" t="s">
        <v>7815</v>
      </c>
      <c r="O15" s="8" t="s">
        <v>7816</v>
      </c>
      <c r="P15" s="28" t="s">
        <v>7817</v>
      </c>
    </row>
    <row r="16">
      <c r="A16" s="8" t="s">
        <v>7810</v>
      </c>
      <c r="B16" s="8"/>
      <c r="C16" s="8"/>
      <c r="D16" s="8"/>
      <c r="E16" s="8"/>
      <c r="F16" s="8" t="s">
        <v>7811</v>
      </c>
      <c r="G16" s="8" t="b">
        <v>0</v>
      </c>
      <c r="H16" s="8" t="s">
        <v>7812</v>
      </c>
      <c r="I16" s="8" t="s">
        <v>7813</v>
      </c>
      <c r="J16" s="12"/>
      <c r="K16" s="8" t="s">
        <v>7722</v>
      </c>
      <c r="L16" s="8">
        <v>11.0</v>
      </c>
      <c r="M16" s="8" t="s">
        <v>7814</v>
      </c>
      <c r="N16" s="8" t="s">
        <v>7815</v>
      </c>
      <c r="O16" s="8" t="s">
        <v>7816</v>
      </c>
      <c r="P16" s="28" t="s">
        <v>7817</v>
      </c>
    </row>
    <row r="17">
      <c r="A17" s="8" t="s">
        <v>7818</v>
      </c>
      <c r="B17" s="8"/>
      <c r="C17" s="8"/>
      <c r="D17" s="8"/>
      <c r="E17" s="8"/>
      <c r="F17" s="8" t="s">
        <v>7819</v>
      </c>
      <c r="G17" s="8" t="b">
        <v>0</v>
      </c>
      <c r="H17" s="8" t="s">
        <v>7820</v>
      </c>
      <c r="I17" s="8" t="s">
        <v>7821</v>
      </c>
      <c r="J17" s="12"/>
      <c r="K17" s="8" t="s">
        <v>7722</v>
      </c>
      <c r="L17" s="8">
        <v>55.0</v>
      </c>
      <c r="M17" s="8" t="s">
        <v>7822</v>
      </c>
      <c r="N17" s="8" t="s">
        <v>7823</v>
      </c>
      <c r="O17" s="8" t="s">
        <v>7824</v>
      </c>
      <c r="P17" s="28" t="s">
        <v>7825</v>
      </c>
    </row>
    <row r="18">
      <c r="A18" s="8" t="s">
        <v>7826</v>
      </c>
      <c r="B18" s="8"/>
      <c r="C18" s="8"/>
      <c r="D18" s="8"/>
      <c r="E18" s="8"/>
      <c r="F18" s="8" t="s">
        <v>7827</v>
      </c>
      <c r="G18" s="8" t="b">
        <v>0</v>
      </c>
      <c r="H18" s="28" t="s">
        <v>7828</v>
      </c>
      <c r="I18" s="8" t="s">
        <v>7829</v>
      </c>
      <c r="J18" s="12"/>
      <c r="K18" s="8" t="s">
        <v>7722</v>
      </c>
      <c r="L18" s="8">
        <v>10.0</v>
      </c>
      <c r="M18" s="8" t="s">
        <v>7830</v>
      </c>
      <c r="N18" s="8" t="s">
        <v>7831</v>
      </c>
      <c r="O18" s="8" t="s">
        <v>7832</v>
      </c>
      <c r="P18" s="28" t="s">
        <v>7833</v>
      </c>
    </row>
    <row r="19">
      <c r="A19" s="8" t="s">
        <v>7834</v>
      </c>
      <c r="B19" s="8"/>
      <c r="C19" s="8"/>
      <c r="D19" s="8"/>
      <c r="E19" s="8"/>
      <c r="F19" s="8" t="s">
        <v>7835</v>
      </c>
      <c r="G19" s="8" t="b">
        <v>0</v>
      </c>
      <c r="H19" s="8" t="s">
        <v>7836</v>
      </c>
      <c r="I19" s="8" t="s">
        <v>7837</v>
      </c>
      <c r="J19" s="12"/>
      <c r="K19" s="8" t="s">
        <v>7804</v>
      </c>
      <c r="L19" s="8">
        <v>25.0</v>
      </c>
      <c r="M19" s="8" t="s">
        <v>7838</v>
      </c>
      <c r="N19" s="8" t="s">
        <v>7839</v>
      </c>
      <c r="O19" s="8" t="s">
        <v>7840</v>
      </c>
      <c r="P19" s="28" t="s">
        <v>7841</v>
      </c>
    </row>
    <row r="20">
      <c r="A20" s="8" t="s">
        <v>7842</v>
      </c>
      <c r="B20" s="8"/>
      <c r="C20" s="8"/>
      <c r="D20" s="8"/>
      <c r="E20" s="8"/>
      <c r="F20" s="8" t="s">
        <v>7843</v>
      </c>
      <c r="G20" s="8" t="b">
        <v>0</v>
      </c>
      <c r="H20" s="8" t="s">
        <v>7844</v>
      </c>
      <c r="I20" s="8" t="s">
        <v>7845</v>
      </c>
      <c r="J20" s="12"/>
      <c r="K20" s="8" t="s">
        <v>7804</v>
      </c>
      <c r="L20" s="8">
        <v>11.0</v>
      </c>
      <c r="M20" s="8" t="s">
        <v>7846</v>
      </c>
      <c r="N20" s="8" t="s">
        <v>7847</v>
      </c>
      <c r="O20" s="8" t="s">
        <v>7848</v>
      </c>
      <c r="P20" s="28" t="s">
        <v>7849</v>
      </c>
    </row>
    <row r="21">
      <c r="A21" s="8" t="s">
        <v>7850</v>
      </c>
      <c r="B21" s="8"/>
      <c r="C21" s="8"/>
      <c r="D21" s="8"/>
      <c r="E21" s="8"/>
      <c r="F21" s="8" t="s">
        <v>7851</v>
      </c>
      <c r="G21" s="8" t="b">
        <v>0</v>
      </c>
      <c r="H21" s="8" t="s">
        <v>7852</v>
      </c>
      <c r="I21" s="8" t="s">
        <v>7853</v>
      </c>
      <c r="J21" s="12"/>
      <c r="K21" s="8" t="s">
        <v>7854</v>
      </c>
      <c r="L21" s="8">
        <v>70.0</v>
      </c>
      <c r="M21" s="8" t="s">
        <v>7855</v>
      </c>
      <c r="N21" s="12"/>
      <c r="O21" s="8" t="s">
        <v>7856</v>
      </c>
      <c r="P21" s="28" t="s">
        <v>7857</v>
      </c>
    </row>
    <row r="22">
      <c r="A22" s="8" t="s">
        <v>7858</v>
      </c>
      <c r="B22" s="8"/>
      <c r="C22" s="8"/>
      <c r="D22" s="8"/>
      <c r="E22" s="8"/>
      <c r="F22" s="8" t="s">
        <v>7859</v>
      </c>
      <c r="G22" s="8" t="b">
        <v>0</v>
      </c>
      <c r="H22" s="8" t="s">
        <v>7860</v>
      </c>
      <c r="I22" s="8" t="s">
        <v>7861</v>
      </c>
      <c r="J22" s="12"/>
      <c r="K22" s="12"/>
      <c r="L22" s="8">
        <v>10.0</v>
      </c>
      <c r="M22" s="8" t="s">
        <v>7862</v>
      </c>
      <c r="N22" s="8" t="s">
        <v>7863</v>
      </c>
      <c r="O22" s="8" t="s">
        <v>7864</v>
      </c>
      <c r="P22" s="28" t="s">
        <v>7865</v>
      </c>
    </row>
    <row r="23">
      <c r="A23" s="8" t="s">
        <v>7866</v>
      </c>
      <c r="B23" s="8"/>
      <c r="C23" s="8"/>
      <c r="D23" s="8"/>
      <c r="E23" s="8"/>
      <c r="F23" s="8" t="s">
        <v>7867</v>
      </c>
      <c r="G23" s="8" t="b">
        <v>0</v>
      </c>
      <c r="H23" s="8" t="s">
        <v>7868</v>
      </c>
      <c r="I23" s="8" t="s">
        <v>7869</v>
      </c>
      <c r="J23" s="12"/>
      <c r="K23" s="8" t="s">
        <v>7722</v>
      </c>
      <c r="L23" s="8">
        <v>12.0</v>
      </c>
      <c r="M23" s="8" t="s">
        <v>7870</v>
      </c>
      <c r="N23" s="8" t="s">
        <v>7871</v>
      </c>
      <c r="O23" s="8" t="s">
        <v>7872</v>
      </c>
      <c r="P23" s="28" t="s">
        <v>7873</v>
      </c>
    </row>
    <row r="24">
      <c r="A24" s="8" t="s">
        <v>7874</v>
      </c>
      <c r="B24" s="8"/>
      <c r="C24" s="8"/>
      <c r="D24" s="8"/>
      <c r="E24" s="8"/>
      <c r="F24" s="8" t="s">
        <v>7875</v>
      </c>
      <c r="G24" s="8" t="b">
        <v>0</v>
      </c>
      <c r="H24" s="8" t="s">
        <v>7876</v>
      </c>
      <c r="I24" s="8" t="s">
        <v>7877</v>
      </c>
      <c r="J24" s="12"/>
      <c r="K24" s="8" t="s">
        <v>7722</v>
      </c>
      <c r="L24" s="8">
        <v>30.0</v>
      </c>
      <c r="M24" s="8" t="s">
        <v>7878</v>
      </c>
      <c r="N24" s="12"/>
      <c r="O24" s="8" t="s">
        <v>7879</v>
      </c>
      <c r="P24" s="28" t="s">
        <v>7880</v>
      </c>
    </row>
    <row r="25">
      <c r="A25" s="8" t="s">
        <v>7881</v>
      </c>
      <c r="B25" s="8"/>
      <c r="C25" s="8"/>
      <c r="D25" s="8"/>
      <c r="E25" s="8"/>
      <c r="F25" s="8" t="s">
        <v>7882</v>
      </c>
      <c r="G25" s="8" t="b">
        <v>0</v>
      </c>
      <c r="H25" s="8" t="s">
        <v>7883</v>
      </c>
      <c r="I25" s="8" t="s">
        <v>7884</v>
      </c>
      <c r="J25" s="12"/>
      <c r="K25" s="8" t="s">
        <v>7885</v>
      </c>
      <c r="L25" s="8">
        <v>22.0</v>
      </c>
      <c r="M25" s="8" t="s">
        <v>7886</v>
      </c>
      <c r="N25" s="8" t="s">
        <v>7887</v>
      </c>
      <c r="O25" s="8" t="s">
        <v>7888</v>
      </c>
      <c r="P25" s="28" t="s">
        <v>7889</v>
      </c>
    </row>
    <row r="26">
      <c r="A26" s="8" t="s">
        <v>7890</v>
      </c>
      <c r="B26" s="8"/>
      <c r="C26" s="8"/>
      <c r="D26" s="8"/>
      <c r="E26" s="8"/>
      <c r="F26" s="8" t="s">
        <v>7891</v>
      </c>
      <c r="G26" s="8" t="b">
        <v>0</v>
      </c>
      <c r="H26" s="8" t="s">
        <v>7892</v>
      </c>
      <c r="I26" s="8" t="s">
        <v>7893</v>
      </c>
      <c r="J26" s="12"/>
      <c r="K26" s="8" t="s">
        <v>7894</v>
      </c>
      <c r="L26" s="8">
        <v>20.0</v>
      </c>
      <c r="M26" s="8" t="s">
        <v>7895</v>
      </c>
      <c r="N26" s="8" t="s">
        <v>7896</v>
      </c>
      <c r="O26" s="8" t="s">
        <v>7897</v>
      </c>
      <c r="P26" s="28" t="s">
        <v>7898</v>
      </c>
    </row>
    <row r="27">
      <c r="A27" s="8" t="s">
        <v>7899</v>
      </c>
      <c r="B27" s="8"/>
      <c r="C27" s="8"/>
      <c r="D27" s="8"/>
      <c r="E27" s="8"/>
      <c r="F27" s="8" t="s">
        <v>7900</v>
      </c>
      <c r="G27" s="8" t="b">
        <v>0</v>
      </c>
      <c r="H27" s="8" t="s">
        <v>7901</v>
      </c>
      <c r="I27" s="8" t="s">
        <v>7902</v>
      </c>
      <c r="J27" s="12"/>
      <c r="K27" s="8" t="s">
        <v>7903</v>
      </c>
      <c r="L27" s="8">
        <v>15.0</v>
      </c>
      <c r="M27" s="8" t="s">
        <v>7904</v>
      </c>
      <c r="N27" s="8" t="s">
        <v>7905</v>
      </c>
      <c r="O27" s="8" t="s">
        <v>7906</v>
      </c>
      <c r="P27" s="28" t="s">
        <v>7907</v>
      </c>
    </row>
    <row r="28">
      <c r="A28" s="8" t="s">
        <v>7908</v>
      </c>
      <c r="B28" s="8"/>
      <c r="C28" s="8"/>
      <c r="D28" s="8"/>
      <c r="E28" s="8"/>
      <c r="F28" s="8" t="s">
        <v>7909</v>
      </c>
      <c r="G28" s="8" t="b">
        <v>0</v>
      </c>
      <c r="H28" s="8" t="s">
        <v>7910</v>
      </c>
      <c r="I28" s="8" t="s">
        <v>7911</v>
      </c>
      <c r="J28" s="12"/>
      <c r="K28" s="8" t="s">
        <v>7722</v>
      </c>
      <c r="L28" s="8">
        <v>70.0</v>
      </c>
      <c r="M28" s="8" t="s">
        <v>7912</v>
      </c>
      <c r="N28" s="8" t="s">
        <v>7913</v>
      </c>
      <c r="O28" s="8" t="s">
        <v>7914</v>
      </c>
      <c r="P28" s="28" t="s">
        <v>7915</v>
      </c>
    </row>
    <row r="29">
      <c r="A29" s="8" t="s">
        <v>7916</v>
      </c>
      <c r="B29" s="8"/>
      <c r="C29" s="8"/>
      <c r="D29" s="8"/>
      <c r="E29" s="8"/>
      <c r="F29" s="8" t="s">
        <v>7917</v>
      </c>
      <c r="G29" s="8" t="b">
        <v>0</v>
      </c>
      <c r="H29" s="8" t="s">
        <v>7918</v>
      </c>
      <c r="I29" s="8" t="s">
        <v>7919</v>
      </c>
      <c r="J29" s="12"/>
      <c r="K29" s="8" t="s">
        <v>7920</v>
      </c>
      <c r="L29" s="8">
        <v>12.0</v>
      </c>
      <c r="M29" s="8" t="s">
        <v>7921</v>
      </c>
      <c r="N29" s="8" t="s">
        <v>7922</v>
      </c>
      <c r="O29" s="8" t="s">
        <v>7923</v>
      </c>
      <c r="P29" s="28" t="s">
        <v>7924</v>
      </c>
    </row>
    <row r="30">
      <c r="A30" s="8" t="s">
        <v>7925</v>
      </c>
      <c r="B30" s="8"/>
      <c r="C30" s="8"/>
      <c r="D30" s="8"/>
      <c r="E30" s="8"/>
      <c r="F30" s="8" t="s">
        <v>7926</v>
      </c>
      <c r="G30" s="8" t="b">
        <v>0</v>
      </c>
      <c r="H30" s="8" t="s">
        <v>7927</v>
      </c>
      <c r="I30" s="8" t="s">
        <v>7928</v>
      </c>
      <c r="J30" s="12"/>
      <c r="K30" s="8" t="s">
        <v>7722</v>
      </c>
      <c r="L30" s="8">
        <v>25.0</v>
      </c>
      <c r="M30" s="8" t="s">
        <v>7929</v>
      </c>
      <c r="N30" s="8" t="s">
        <v>7930</v>
      </c>
      <c r="O30" s="8" t="s">
        <v>7931</v>
      </c>
      <c r="P30" s="28" t="s">
        <v>7932</v>
      </c>
    </row>
    <row r="31">
      <c r="A31" s="8" t="s">
        <v>7933</v>
      </c>
      <c r="B31" s="8"/>
      <c r="C31" s="8"/>
      <c r="D31" s="8"/>
      <c r="E31" s="8"/>
      <c r="F31" s="8" t="s">
        <v>7934</v>
      </c>
      <c r="G31" s="8" t="b">
        <v>0</v>
      </c>
      <c r="H31" s="8" t="s">
        <v>7935</v>
      </c>
      <c r="I31" s="8" t="s">
        <v>7936</v>
      </c>
      <c r="J31" s="12"/>
      <c r="K31" s="8" t="s">
        <v>7722</v>
      </c>
      <c r="L31" s="8">
        <v>21.0</v>
      </c>
      <c r="M31" s="8" t="s">
        <v>7937</v>
      </c>
      <c r="N31" s="8" t="s">
        <v>7938</v>
      </c>
      <c r="O31" s="8" t="s">
        <v>7939</v>
      </c>
      <c r="P31" s="28" t="s">
        <v>7940</v>
      </c>
    </row>
    <row r="32">
      <c r="A32" s="8" t="s">
        <v>7941</v>
      </c>
      <c r="B32" s="8"/>
      <c r="C32" s="8"/>
      <c r="D32" s="8"/>
      <c r="E32" s="8"/>
      <c r="F32" s="8" t="s">
        <v>7942</v>
      </c>
      <c r="G32" s="8" t="b">
        <v>0</v>
      </c>
      <c r="H32" s="8" t="s">
        <v>7943</v>
      </c>
      <c r="I32" s="8" t="s">
        <v>7944</v>
      </c>
      <c r="J32" s="12"/>
      <c r="K32" s="8" t="s">
        <v>7804</v>
      </c>
      <c r="L32" s="8">
        <v>13.0</v>
      </c>
      <c r="M32" s="8" t="s">
        <v>7945</v>
      </c>
      <c r="N32" s="8" t="s">
        <v>7946</v>
      </c>
      <c r="O32" s="8" t="s">
        <v>7947</v>
      </c>
      <c r="P32" s="28" t="s">
        <v>7948</v>
      </c>
    </row>
    <row r="33">
      <c r="A33" s="8" t="s">
        <v>7949</v>
      </c>
      <c r="B33" s="8"/>
      <c r="C33" s="8"/>
      <c r="D33" s="8"/>
      <c r="E33" s="8"/>
      <c r="F33" s="8" t="s">
        <v>7950</v>
      </c>
      <c r="G33" s="8" t="b">
        <v>0</v>
      </c>
      <c r="H33" s="8" t="s">
        <v>7951</v>
      </c>
      <c r="I33" s="8" t="s">
        <v>7952</v>
      </c>
      <c r="J33" s="12"/>
      <c r="K33" s="8" t="s">
        <v>7854</v>
      </c>
      <c r="L33" s="8">
        <v>50.0</v>
      </c>
      <c r="M33" s="8" t="s">
        <v>7953</v>
      </c>
      <c r="N33" s="8" t="s">
        <v>7954</v>
      </c>
      <c r="O33" s="8" t="s">
        <v>7955</v>
      </c>
      <c r="P33" s="28" t="s">
        <v>7956</v>
      </c>
    </row>
    <row r="34">
      <c r="A34" s="8" t="s">
        <v>7957</v>
      </c>
      <c r="B34" s="8"/>
      <c r="C34" s="8"/>
      <c r="D34" s="8"/>
      <c r="E34" s="8"/>
      <c r="F34" s="8" t="s">
        <v>7958</v>
      </c>
      <c r="G34" s="8" t="b">
        <v>0</v>
      </c>
      <c r="H34" s="8" t="s">
        <v>7959</v>
      </c>
      <c r="I34" s="8" t="s">
        <v>7960</v>
      </c>
      <c r="J34" s="12"/>
      <c r="K34" s="8" t="s">
        <v>7854</v>
      </c>
      <c r="L34" s="8">
        <v>18.0</v>
      </c>
      <c r="M34" s="8" t="s">
        <v>7961</v>
      </c>
      <c r="N34" s="12"/>
      <c r="O34" s="8" t="s">
        <v>7962</v>
      </c>
      <c r="P34" s="28" t="s">
        <v>7963</v>
      </c>
    </row>
    <row r="35">
      <c r="A35" s="8" t="s">
        <v>7957</v>
      </c>
      <c r="B35" s="8"/>
      <c r="C35" s="8"/>
      <c r="D35" s="8"/>
      <c r="E35" s="8"/>
      <c r="F35" s="8" t="s">
        <v>7958</v>
      </c>
      <c r="G35" s="8" t="b">
        <v>0</v>
      </c>
      <c r="H35" s="8" t="s">
        <v>7959</v>
      </c>
      <c r="I35" s="8" t="s">
        <v>7960</v>
      </c>
      <c r="J35" s="12"/>
      <c r="K35" s="8" t="s">
        <v>7854</v>
      </c>
      <c r="L35" s="8">
        <v>18.0</v>
      </c>
      <c r="M35" s="8" t="s">
        <v>7961</v>
      </c>
      <c r="N35" s="12"/>
      <c r="O35" s="8" t="s">
        <v>7962</v>
      </c>
      <c r="P35" s="28" t="s">
        <v>7963</v>
      </c>
    </row>
    <row r="36">
      <c r="A36" s="8" t="s">
        <v>7964</v>
      </c>
      <c r="B36" s="8"/>
      <c r="C36" s="8"/>
      <c r="D36" s="8"/>
      <c r="E36" s="8"/>
      <c r="F36" s="8" t="s">
        <v>7965</v>
      </c>
      <c r="G36" s="8" t="b">
        <v>0</v>
      </c>
      <c r="H36" s="8" t="s">
        <v>7966</v>
      </c>
      <c r="I36" s="8" t="s">
        <v>7967</v>
      </c>
      <c r="J36" s="12"/>
      <c r="K36" s="12"/>
      <c r="L36" s="8">
        <v>15.0</v>
      </c>
      <c r="M36" s="8" t="s">
        <v>7968</v>
      </c>
      <c r="N36" s="8" t="s">
        <v>7969</v>
      </c>
      <c r="O36" s="8" t="s">
        <v>7970</v>
      </c>
      <c r="P36" s="28" t="s">
        <v>7971</v>
      </c>
    </row>
    <row r="37">
      <c r="A37" s="8" t="s">
        <v>7972</v>
      </c>
      <c r="B37" s="8"/>
      <c r="C37" s="8"/>
      <c r="D37" s="8"/>
      <c r="E37" s="8"/>
      <c r="F37" s="8" t="s">
        <v>7973</v>
      </c>
      <c r="G37" s="8" t="b">
        <v>0</v>
      </c>
      <c r="H37" s="8" t="s">
        <v>7974</v>
      </c>
      <c r="I37" s="8" t="s">
        <v>7975</v>
      </c>
      <c r="J37" s="12"/>
      <c r="K37" s="8" t="s">
        <v>7804</v>
      </c>
      <c r="L37" s="8">
        <v>10.0</v>
      </c>
      <c r="M37" s="8" t="s">
        <v>7976</v>
      </c>
      <c r="N37" s="8" t="s">
        <v>7977</v>
      </c>
      <c r="O37" s="8" t="s">
        <v>7978</v>
      </c>
      <c r="P37" s="28" t="s">
        <v>7979</v>
      </c>
    </row>
    <row r="38">
      <c r="A38" s="8" t="s">
        <v>7980</v>
      </c>
      <c r="B38" s="8"/>
      <c r="C38" s="8"/>
      <c r="D38" s="8"/>
      <c r="E38" s="8"/>
      <c r="F38" s="8" t="s">
        <v>7981</v>
      </c>
      <c r="G38" s="8" t="b">
        <v>0</v>
      </c>
      <c r="H38" s="8" t="s">
        <v>7982</v>
      </c>
      <c r="I38" s="8" t="s">
        <v>7983</v>
      </c>
      <c r="J38" s="12"/>
      <c r="K38" s="8" t="s">
        <v>7984</v>
      </c>
      <c r="L38" s="8">
        <v>18.0</v>
      </c>
      <c r="M38" s="8" t="s">
        <v>7985</v>
      </c>
      <c r="N38" s="8" t="s">
        <v>7986</v>
      </c>
      <c r="O38" s="8" t="s">
        <v>7750</v>
      </c>
      <c r="P38" s="28" t="s">
        <v>7987</v>
      </c>
    </row>
    <row r="39">
      <c r="A39" s="8" t="s">
        <v>7988</v>
      </c>
      <c r="B39" s="8"/>
      <c r="C39" s="8"/>
      <c r="D39" s="8"/>
      <c r="E39" s="8"/>
      <c r="F39" s="8" t="s">
        <v>7989</v>
      </c>
      <c r="G39" s="8" t="b">
        <v>0</v>
      </c>
      <c r="H39" s="8" t="s">
        <v>7990</v>
      </c>
      <c r="I39" s="8" t="s">
        <v>7991</v>
      </c>
      <c r="J39" s="12"/>
      <c r="K39" s="8" t="s">
        <v>7804</v>
      </c>
      <c r="L39" s="8">
        <v>10.0</v>
      </c>
      <c r="M39" s="8" t="s">
        <v>7992</v>
      </c>
      <c r="N39" s="8" t="s">
        <v>7993</v>
      </c>
      <c r="O39" s="8" t="s">
        <v>7994</v>
      </c>
      <c r="P39" s="28" t="s">
        <v>7995</v>
      </c>
    </row>
    <row r="40">
      <c r="A40" s="8" t="s">
        <v>7996</v>
      </c>
      <c r="B40" s="8"/>
      <c r="C40" s="8"/>
      <c r="D40" s="8"/>
      <c r="E40" s="8"/>
      <c r="F40" s="8" t="s">
        <v>7997</v>
      </c>
      <c r="G40" s="8" t="b">
        <v>0</v>
      </c>
      <c r="H40" s="8" t="s">
        <v>7998</v>
      </c>
      <c r="I40" s="8" t="s">
        <v>7999</v>
      </c>
      <c r="J40" s="12"/>
      <c r="K40" s="8" t="s">
        <v>8000</v>
      </c>
      <c r="L40" s="8">
        <v>13.0</v>
      </c>
      <c r="M40" s="8" t="s">
        <v>8001</v>
      </c>
      <c r="N40" s="8" t="s">
        <v>8002</v>
      </c>
      <c r="O40" s="8" t="s">
        <v>8003</v>
      </c>
      <c r="P40" s="28" t="s">
        <v>8004</v>
      </c>
    </row>
    <row r="41">
      <c r="A41" s="8" t="s">
        <v>8005</v>
      </c>
      <c r="B41" s="8"/>
      <c r="C41" s="8"/>
      <c r="D41" s="8"/>
      <c r="E41" s="8"/>
      <c r="F41" s="8" t="s">
        <v>8006</v>
      </c>
      <c r="G41" s="8" t="b">
        <v>0</v>
      </c>
      <c r="H41" s="8" t="s">
        <v>8007</v>
      </c>
      <c r="I41" s="8" t="s">
        <v>8008</v>
      </c>
      <c r="J41" s="12"/>
      <c r="K41" s="8" t="s">
        <v>7854</v>
      </c>
      <c r="L41" s="8">
        <v>10.0</v>
      </c>
      <c r="M41" s="8" t="s">
        <v>8009</v>
      </c>
      <c r="N41" s="8" t="s">
        <v>8010</v>
      </c>
      <c r="O41" s="8" t="s">
        <v>8011</v>
      </c>
      <c r="P41" s="28" t="s">
        <v>8012</v>
      </c>
    </row>
    <row r="42">
      <c r="A42" s="8" t="s">
        <v>8013</v>
      </c>
      <c r="B42" s="8"/>
      <c r="C42" s="8"/>
      <c r="D42" s="8"/>
      <c r="E42" s="8"/>
      <c r="F42" s="8" t="s">
        <v>8014</v>
      </c>
      <c r="G42" s="8" t="b">
        <v>0</v>
      </c>
      <c r="H42" s="8" t="s">
        <v>8015</v>
      </c>
      <c r="I42" s="8" t="s">
        <v>8016</v>
      </c>
      <c r="J42" s="12"/>
      <c r="K42" s="12"/>
      <c r="L42" s="8">
        <v>10.0</v>
      </c>
      <c r="M42" s="8" t="s">
        <v>8017</v>
      </c>
      <c r="N42" s="8" t="s">
        <v>8018</v>
      </c>
      <c r="O42" s="8" t="s">
        <v>8019</v>
      </c>
      <c r="P42" s="28" t="s">
        <v>8020</v>
      </c>
    </row>
    <row r="43">
      <c r="A43" s="8" t="s">
        <v>8021</v>
      </c>
      <c r="B43" s="8"/>
      <c r="C43" s="8"/>
      <c r="D43" s="8"/>
      <c r="E43" s="8"/>
      <c r="F43" s="8" t="s">
        <v>8022</v>
      </c>
      <c r="G43" s="8" t="b">
        <v>0</v>
      </c>
      <c r="H43" s="8" t="s">
        <v>8023</v>
      </c>
      <c r="I43" s="8" t="s">
        <v>8024</v>
      </c>
      <c r="J43" s="12"/>
      <c r="K43" s="8" t="s">
        <v>8025</v>
      </c>
      <c r="L43" s="8">
        <v>21.0</v>
      </c>
      <c r="M43" s="8" t="s">
        <v>8026</v>
      </c>
      <c r="N43" s="8" t="s">
        <v>8027</v>
      </c>
      <c r="O43" s="8" t="s">
        <v>8028</v>
      </c>
      <c r="P43" s="28" t="s">
        <v>8029</v>
      </c>
    </row>
    <row r="44">
      <c r="A44" s="8" t="s">
        <v>8021</v>
      </c>
      <c r="B44" s="8"/>
      <c r="C44" s="8"/>
      <c r="D44" s="8"/>
      <c r="E44" s="8"/>
      <c r="F44" s="8" t="s">
        <v>8022</v>
      </c>
      <c r="G44" s="8" t="b">
        <v>0</v>
      </c>
      <c r="H44" s="8" t="s">
        <v>8023</v>
      </c>
      <c r="I44" s="8" t="s">
        <v>8024</v>
      </c>
      <c r="J44" s="12"/>
      <c r="K44" s="8" t="s">
        <v>8025</v>
      </c>
      <c r="L44" s="8">
        <v>21.0</v>
      </c>
      <c r="M44" s="8" t="s">
        <v>8026</v>
      </c>
      <c r="N44" s="8" t="s">
        <v>8027</v>
      </c>
      <c r="O44" s="8" t="s">
        <v>8028</v>
      </c>
      <c r="P44" s="28" t="s">
        <v>8029</v>
      </c>
    </row>
    <row r="45">
      <c r="A45" s="8" t="s">
        <v>8030</v>
      </c>
      <c r="B45" s="8"/>
      <c r="C45" s="8"/>
      <c r="D45" s="8"/>
      <c r="E45" s="8"/>
      <c r="F45" s="8" t="s">
        <v>8031</v>
      </c>
      <c r="G45" s="8" t="b">
        <v>0</v>
      </c>
      <c r="H45" s="8" t="s">
        <v>8032</v>
      </c>
      <c r="I45" s="8" t="s">
        <v>8033</v>
      </c>
      <c r="J45" s="12"/>
      <c r="K45" s="8" t="s">
        <v>7722</v>
      </c>
      <c r="L45" s="8">
        <v>10.0</v>
      </c>
      <c r="M45" s="8" t="s">
        <v>8034</v>
      </c>
      <c r="N45" s="12"/>
      <c r="O45" s="8" t="s">
        <v>8035</v>
      </c>
      <c r="P45" s="28" t="s">
        <v>8036</v>
      </c>
    </row>
    <row r="46">
      <c r="A46" s="8" t="s">
        <v>8037</v>
      </c>
      <c r="B46" s="8"/>
      <c r="C46" s="8"/>
      <c r="D46" s="8"/>
      <c r="E46" s="8"/>
      <c r="F46" s="8" t="s">
        <v>8038</v>
      </c>
      <c r="G46" s="8" t="b">
        <v>0</v>
      </c>
      <c r="H46" s="8" t="s">
        <v>8039</v>
      </c>
      <c r="I46" s="8" t="s">
        <v>8040</v>
      </c>
      <c r="J46" s="12"/>
      <c r="K46" s="8" t="s">
        <v>8041</v>
      </c>
      <c r="L46" s="8">
        <v>30.0</v>
      </c>
      <c r="M46" s="8" t="s">
        <v>8042</v>
      </c>
      <c r="N46" s="8" t="s">
        <v>8043</v>
      </c>
      <c r="O46" s="8" t="s">
        <v>8044</v>
      </c>
      <c r="P46" s="28" t="s">
        <v>8045</v>
      </c>
    </row>
    <row r="47">
      <c r="A47" s="8" t="s">
        <v>8046</v>
      </c>
      <c r="B47" s="8"/>
      <c r="C47" s="8"/>
      <c r="D47" s="8"/>
      <c r="E47" s="8"/>
      <c r="F47" s="8" t="s">
        <v>8047</v>
      </c>
      <c r="G47" s="8" t="b">
        <v>0</v>
      </c>
      <c r="H47" s="8" t="s">
        <v>8048</v>
      </c>
      <c r="I47" s="8" t="s">
        <v>8049</v>
      </c>
      <c r="J47" s="12"/>
      <c r="K47" s="8" t="s">
        <v>7722</v>
      </c>
      <c r="L47" s="8">
        <v>16.0</v>
      </c>
      <c r="M47" s="8" t="s">
        <v>8050</v>
      </c>
      <c r="N47" s="8" t="s">
        <v>8051</v>
      </c>
      <c r="O47" s="8" t="s">
        <v>8052</v>
      </c>
      <c r="P47" s="28" t="s">
        <v>8053</v>
      </c>
    </row>
    <row r="48">
      <c r="A48" s="8" t="s">
        <v>8054</v>
      </c>
      <c r="B48" s="8"/>
      <c r="C48" s="8"/>
      <c r="D48" s="8"/>
      <c r="E48" s="8"/>
      <c r="F48" s="8" t="s">
        <v>8055</v>
      </c>
      <c r="G48" s="8" t="b">
        <v>0</v>
      </c>
      <c r="H48" s="8" t="s">
        <v>8056</v>
      </c>
      <c r="I48" s="8" t="s">
        <v>8057</v>
      </c>
      <c r="J48" s="12"/>
      <c r="K48" s="12"/>
      <c r="L48" s="8">
        <v>50.0</v>
      </c>
      <c r="M48" s="8" t="s">
        <v>8058</v>
      </c>
      <c r="N48" s="8" t="s">
        <v>8059</v>
      </c>
      <c r="O48" s="8" t="s">
        <v>8060</v>
      </c>
      <c r="P48" s="28" t="s">
        <v>8061</v>
      </c>
    </row>
    <row r="49">
      <c r="A49" s="8" t="s">
        <v>8062</v>
      </c>
      <c r="B49" s="8"/>
      <c r="C49" s="8"/>
      <c r="D49" s="8"/>
      <c r="E49" s="8"/>
      <c r="F49" s="8" t="s">
        <v>8063</v>
      </c>
      <c r="G49" s="8" t="b">
        <v>0</v>
      </c>
      <c r="H49" s="8" t="s">
        <v>8064</v>
      </c>
      <c r="I49" s="8" t="s">
        <v>8065</v>
      </c>
      <c r="J49" s="12"/>
      <c r="K49" s="8" t="s">
        <v>8066</v>
      </c>
      <c r="L49" s="8">
        <v>15.0</v>
      </c>
      <c r="M49" s="8" t="s">
        <v>8067</v>
      </c>
      <c r="N49" s="8" t="s">
        <v>8068</v>
      </c>
      <c r="O49" s="8" t="s">
        <v>8069</v>
      </c>
      <c r="P49" s="28" t="s">
        <v>8070</v>
      </c>
    </row>
    <row r="50">
      <c r="A50" s="8" t="s">
        <v>8071</v>
      </c>
      <c r="B50" s="8"/>
      <c r="C50" s="8"/>
      <c r="D50" s="8"/>
      <c r="E50" s="8"/>
      <c r="F50" s="8" t="s">
        <v>8072</v>
      </c>
      <c r="G50" s="8" t="b">
        <v>0</v>
      </c>
      <c r="H50" s="8" t="s">
        <v>8073</v>
      </c>
      <c r="I50" s="8" t="s">
        <v>8074</v>
      </c>
      <c r="J50" s="12"/>
      <c r="K50" s="8" t="s">
        <v>7920</v>
      </c>
      <c r="L50" s="8">
        <v>16.0</v>
      </c>
      <c r="M50" s="8" t="s">
        <v>8075</v>
      </c>
      <c r="N50" s="8" t="s">
        <v>8076</v>
      </c>
      <c r="O50" s="8" t="s">
        <v>8077</v>
      </c>
      <c r="P50" s="28" t="s">
        <v>8078</v>
      </c>
    </row>
    <row r="51">
      <c r="A51" s="8" t="s">
        <v>8079</v>
      </c>
      <c r="B51" s="8"/>
      <c r="C51" s="8"/>
      <c r="D51" s="8"/>
      <c r="E51" s="8"/>
      <c r="F51" s="8" t="s">
        <v>8080</v>
      </c>
      <c r="G51" s="8" t="b">
        <v>0</v>
      </c>
      <c r="H51" s="8" t="s">
        <v>8081</v>
      </c>
      <c r="I51" s="8" t="s">
        <v>8082</v>
      </c>
      <c r="J51" s="12"/>
      <c r="K51" s="8" t="s">
        <v>7722</v>
      </c>
      <c r="L51" s="8">
        <v>15.0</v>
      </c>
      <c r="M51" s="8" t="s">
        <v>8083</v>
      </c>
      <c r="N51" s="8" t="s">
        <v>8084</v>
      </c>
      <c r="O51" s="8" t="s">
        <v>8085</v>
      </c>
      <c r="P51" s="28" t="s">
        <v>8086</v>
      </c>
    </row>
    <row r="52">
      <c r="A52" s="8" t="s">
        <v>8087</v>
      </c>
      <c r="B52" s="8"/>
      <c r="C52" s="8"/>
      <c r="D52" s="8"/>
      <c r="E52" s="8"/>
      <c r="F52" s="8" t="s">
        <v>8088</v>
      </c>
      <c r="G52" s="8" t="b">
        <v>0</v>
      </c>
      <c r="H52" s="8" t="s">
        <v>8089</v>
      </c>
      <c r="I52" s="8" t="s">
        <v>8090</v>
      </c>
      <c r="J52" s="12"/>
      <c r="K52" s="8" t="s">
        <v>8091</v>
      </c>
      <c r="L52" s="8">
        <v>12.0</v>
      </c>
      <c r="M52" s="8" t="s">
        <v>8092</v>
      </c>
      <c r="N52" s="8" t="s">
        <v>8093</v>
      </c>
      <c r="O52" s="8" t="s">
        <v>8094</v>
      </c>
      <c r="P52" s="28" t="s">
        <v>8095</v>
      </c>
    </row>
    <row r="53">
      <c r="A53" s="8" t="s">
        <v>7769</v>
      </c>
      <c r="B53" s="8"/>
      <c r="C53" s="8"/>
      <c r="D53" s="8"/>
      <c r="E53" s="8"/>
      <c r="F53" s="8" t="s">
        <v>8096</v>
      </c>
      <c r="G53" s="8" t="b">
        <v>0</v>
      </c>
      <c r="H53" s="8" t="s">
        <v>7771</v>
      </c>
      <c r="I53" s="8" t="s">
        <v>7772</v>
      </c>
      <c r="J53" s="12"/>
      <c r="K53" s="8" t="s">
        <v>7773</v>
      </c>
      <c r="L53" s="8">
        <v>12.0</v>
      </c>
      <c r="M53" s="8" t="s">
        <v>7774</v>
      </c>
      <c r="N53" s="8" t="s">
        <v>7775</v>
      </c>
      <c r="O53" s="8" t="s">
        <v>7776</v>
      </c>
      <c r="P53" s="28" t="s">
        <v>7777</v>
      </c>
    </row>
    <row r="54">
      <c r="A54" s="8" t="s">
        <v>8097</v>
      </c>
      <c r="B54" s="8"/>
      <c r="C54" s="8"/>
      <c r="D54" s="8"/>
      <c r="E54" s="8"/>
      <c r="F54" s="8" t="s">
        <v>8098</v>
      </c>
      <c r="G54" s="8" t="b">
        <v>0</v>
      </c>
      <c r="H54" s="8" t="s">
        <v>8099</v>
      </c>
      <c r="I54" s="8" t="s">
        <v>8100</v>
      </c>
      <c r="J54" s="12"/>
      <c r="K54" s="8" t="s">
        <v>7722</v>
      </c>
      <c r="L54" s="8">
        <v>10.0</v>
      </c>
      <c r="M54" s="8" t="s">
        <v>8101</v>
      </c>
      <c r="N54" s="8" t="s">
        <v>8102</v>
      </c>
      <c r="O54" s="8" t="s">
        <v>8103</v>
      </c>
      <c r="P54" s="28" t="s">
        <v>8104</v>
      </c>
    </row>
    <row r="55">
      <c r="A55" s="8" t="s">
        <v>8105</v>
      </c>
      <c r="B55" s="8"/>
      <c r="C55" s="8"/>
      <c r="D55" s="8"/>
      <c r="E55" s="8"/>
      <c r="F55" s="8" t="s">
        <v>8106</v>
      </c>
      <c r="G55" s="8" t="b">
        <v>0</v>
      </c>
      <c r="H55" s="8" t="s">
        <v>8107</v>
      </c>
      <c r="I55" s="8" t="s">
        <v>8108</v>
      </c>
      <c r="J55" s="12"/>
      <c r="K55" s="8" t="s">
        <v>8109</v>
      </c>
      <c r="L55" s="8">
        <v>14.0</v>
      </c>
      <c r="M55" s="8" t="s">
        <v>8110</v>
      </c>
      <c r="N55" s="8" t="s">
        <v>8111</v>
      </c>
      <c r="O55" s="8" t="s">
        <v>8112</v>
      </c>
      <c r="P55" s="28" t="s">
        <v>8113</v>
      </c>
    </row>
    <row r="56">
      <c r="A56" s="8" t="s">
        <v>8114</v>
      </c>
      <c r="B56" s="8"/>
      <c r="C56" s="8"/>
      <c r="D56" s="8"/>
      <c r="E56" s="8"/>
      <c r="F56" s="8" t="s">
        <v>8115</v>
      </c>
      <c r="G56" s="8" t="b">
        <v>0</v>
      </c>
      <c r="H56" s="8" t="s">
        <v>8116</v>
      </c>
      <c r="I56" s="8" t="s">
        <v>8117</v>
      </c>
      <c r="J56" s="12"/>
      <c r="K56" s="8" t="s">
        <v>7722</v>
      </c>
      <c r="L56" s="8">
        <v>16.0</v>
      </c>
      <c r="M56" s="8" t="s">
        <v>8118</v>
      </c>
      <c r="N56" s="8" t="s">
        <v>8119</v>
      </c>
      <c r="O56" s="8" t="s">
        <v>8052</v>
      </c>
      <c r="P56" s="28" t="s">
        <v>8120</v>
      </c>
    </row>
    <row r="57">
      <c r="A57" s="8" t="s">
        <v>8121</v>
      </c>
      <c r="B57" s="8"/>
      <c r="C57" s="8"/>
      <c r="D57" s="8"/>
      <c r="E57" s="8"/>
      <c r="F57" s="8" t="s">
        <v>8122</v>
      </c>
      <c r="G57" s="8" t="b">
        <v>0</v>
      </c>
      <c r="H57" s="8" t="s">
        <v>8123</v>
      </c>
      <c r="I57" s="8" t="s">
        <v>8124</v>
      </c>
      <c r="J57" s="12"/>
      <c r="K57" s="8" t="s">
        <v>7804</v>
      </c>
      <c r="L57" s="8">
        <v>10.0</v>
      </c>
      <c r="M57" s="8" t="s">
        <v>8125</v>
      </c>
      <c r="N57" s="8" t="s">
        <v>8126</v>
      </c>
      <c r="O57" s="8" t="s">
        <v>8127</v>
      </c>
      <c r="P57" s="28" t="s">
        <v>8128</v>
      </c>
    </row>
    <row r="58">
      <c r="A58" s="8" t="s">
        <v>8129</v>
      </c>
      <c r="B58" s="8"/>
      <c r="C58" s="8"/>
      <c r="D58" s="8"/>
      <c r="E58" s="8"/>
      <c r="F58" s="8" t="s">
        <v>8130</v>
      </c>
      <c r="G58" s="8" t="b">
        <v>0</v>
      </c>
      <c r="H58" s="8" t="s">
        <v>8131</v>
      </c>
      <c r="I58" s="8" t="s">
        <v>8132</v>
      </c>
      <c r="J58" s="12"/>
      <c r="K58" s="8" t="s">
        <v>8133</v>
      </c>
      <c r="L58" s="8">
        <v>10.0</v>
      </c>
      <c r="M58" s="8" t="s">
        <v>8134</v>
      </c>
      <c r="N58" s="12"/>
      <c r="O58" s="8" t="s">
        <v>8135</v>
      </c>
      <c r="P58" s="28" t="s">
        <v>8136</v>
      </c>
    </row>
    <row r="59">
      <c r="A59" s="8" t="s">
        <v>8137</v>
      </c>
      <c r="B59" s="8"/>
      <c r="C59" s="8"/>
      <c r="D59" s="8"/>
      <c r="E59" s="8"/>
      <c r="F59" s="8" t="s">
        <v>8138</v>
      </c>
      <c r="G59" s="8" t="b">
        <v>0</v>
      </c>
      <c r="H59" s="8" t="s">
        <v>8139</v>
      </c>
      <c r="I59" s="8" t="s">
        <v>8140</v>
      </c>
      <c r="J59" s="12"/>
      <c r="K59" s="8" t="s">
        <v>8141</v>
      </c>
      <c r="L59" s="8">
        <v>20.0</v>
      </c>
      <c r="M59" s="8" t="s">
        <v>8142</v>
      </c>
      <c r="N59" s="8" t="s">
        <v>8143</v>
      </c>
      <c r="O59" s="8" t="s">
        <v>8144</v>
      </c>
      <c r="P59" s="28" t="s">
        <v>8145</v>
      </c>
    </row>
    <row r="60">
      <c r="A60" s="8" t="s">
        <v>8146</v>
      </c>
      <c r="B60" s="8"/>
      <c r="C60" s="8"/>
      <c r="D60" s="8"/>
      <c r="E60" s="8"/>
      <c r="F60" s="8" t="s">
        <v>8147</v>
      </c>
      <c r="G60" s="8" t="b">
        <v>0</v>
      </c>
      <c r="H60" s="8" t="s">
        <v>8148</v>
      </c>
      <c r="I60" s="8" t="s">
        <v>8149</v>
      </c>
      <c r="J60" s="12"/>
      <c r="K60" s="8" t="s">
        <v>8150</v>
      </c>
      <c r="L60" s="8">
        <v>12.0</v>
      </c>
      <c r="M60" s="8" t="s">
        <v>8151</v>
      </c>
      <c r="N60" s="8" t="s">
        <v>8152</v>
      </c>
      <c r="O60" s="8" t="s">
        <v>8153</v>
      </c>
      <c r="P60" s="28" t="s">
        <v>8154</v>
      </c>
    </row>
    <row r="61">
      <c r="A61" s="8" t="s">
        <v>8155</v>
      </c>
      <c r="B61" s="8"/>
      <c r="C61" s="8"/>
      <c r="D61" s="8"/>
      <c r="E61" s="8"/>
      <c r="F61" s="8" t="s">
        <v>8156</v>
      </c>
      <c r="G61" s="8" t="b">
        <v>0</v>
      </c>
      <c r="H61" s="8" t="s">
        <v>8157</v>
      </c>
      <c r="I61" s="8" t="s">
        <v>8158</v>
      </c>
      <c r="J61" s="12"/>
      <c r="K61" s="8" t="s">
        <v>8159</v>
      </c>
      <c r="L61" s="8">
        <v>25.0</v>
      </c>
      <c r="M61" s="8" t="s">
        <v>8160</v>
      </c>
      <c r="N61" s="8" t="s">
        <v>8161</v>
      </c>
      <c r="O61" s="8" t="s">
        <v>7872</v>
      </c>
      <c r="P61" s="28" t="s">
        <v>8162</v>
      </c>
    </row>
    <row r="62">
      <c r="A62" s="8" t="s">
        <v>8163</v>
      </c>
      <c r="B62" s="8"/>
      <c r="C62" s="8"/>
      <c r="D62" s="8"/>
      <c r="E62" s="8"/>
      <c r="F62" s="8" t="s">
        <v>8164</v>
      </c>
      <c r="G62" s="8" t="b">
        <v>0</v>
      </c>
      <c r="H62" s="8" t="s">
        <v>8165</v>
      </c>
      <c r="I62" s="8" t="s">
        <v>8166</v>
      </c>
      <c r="J62" s="12"/>
      <c r="K62" s="8" t="s">
        <v>7722</v>
      </c>
      <c r="L62" s="8">
        <v>22.0</v>
      </c>
      <c r="M62" s="8" t="s">
        <v>8167</v>
      </c>
      <c r="N62" s="8" t="s">
        <v>8168</v>
      </c>
      <c r="O62" s="8" t="s">
        <v>8169</v>
      </c>
      <c r="P62" s="28" t="s">
        <v>8170</v>
      </c>
    </row>
    <row r="63">
      <c r="A63" s="8" t="s">
        <v>8171</v>
      </c>
      <c r="B63" s="8"/>
      <c r="C63" s="8"/>
      <c r="D63" s="8"/>
      <c r="E63" s="8"/>
      <c r="F63" s="8" t="s">
        <v>8172</v>
      </c>
      <c r="G63" s="8" t="b">
        <v>0</v>
      </c>
      <c r="H63" s="8" t="s">
        <v>8173</v>
      </c>
      <c r="I63" s="8" t="s">
        <v>8174</v>
      </c>
      <c r="J63" s="12"/>
      <c r="K63" s="8" t="s">
        <v>8175</v>
      </c>
      <c r="L63" s="8">
        <v>11.0</v>
      </c>
      <c r="M63" s="8" t="s">
        <v>8176</v>
      </c>
      <c r="N63" s="8" t="s">
        <v>8177</v>
      </c>
      <c r="O63" s="8" t="s">
        <v>8178</v>
      </c>
      <c r="P63" s="28" t="s">
        <v>8179</v>
      </c>
    </row>
    <row r="64">
      <c r="A64" s="8" t="s">
        <v>8180</v>
      </c>
      <c r="B64" s="8"/>
      <c r="C64" s="8"/>
      <c r="D64" s="8"/>
      <c r="E64" s="8"/>
      <c r="F64" s="8" t="s">
        <v>8181</v>
      </c>
      <c r="G64" s="8" t="b">
        <v>0</v>
      </c>
      <c r="H64" s="8" t="s">
        <v>8182</v>
      </c>
      <c r="I64" s="8" t="s">
        <v>8183</v>
      </c>
      <c r="J64" s="12"/>
      <c r="K64" s="8" t="s">
        <v>8141</v>
      </c>
      <c r="L64" s="8">
        <v>20.0</v>
      </c>
      <c r="M64" s="8" t="s">
        <v>8184</v>
      </c>
      <c r="N64" s="8" t="s">
        <v>8185</v>
      </c>
      <c r="O64" s="8" t="s">
        <v>8186</v>
      </c>
      <c r="P64" s="28" t="s">
        <v>8187</v>
      </c>
    </row>
    <row r="65">
      <c r="A65" s="8" t="s">
        <v>8188</v>
      </c>
      <c r="B65" s="8"/>
      <c r="C65" s="8"/>
      <c r="D65" s="8"/>
      <c r="E65" s="8"/>
      <c r="F65" s="8" t="s">
        <v>8189</v>
      </c>
      <c r="G65" s="8" t="b">
        <v>0</v>
      </c>
      <c r="H65" s="8" t="s">
        <v>8190</v>
      </c>
      <c r="I65" s="8" t="s">
        <v>8191</v>
      </c>
      <c r="J65" s="12"/>
      <c r="K65" s="8" t="s">
        <v>8192</v>
      </c>
      <c r="L65" s="8">
        <v>16.0</v>
      </c>
      <c r="M65" s="8" t="s">
        <v>8193</v>
      </c>
      <c r="N65" s="12"/>
      <c r="O65" s="8" t="s">
        <v>8194</v>
      </c>
      <c r="P65" s="28" t="s">
        <v>8195</v>
      </c>
    </row>
    <row r="66">
      <c r="A66" s="8" t="s">
        <v>8196</v>
      </c>
      <c r="B66" s="8"/>
      <c r="C66" s="8"/>
      <c r="D66" s="8"/>
      <c r="E66" s="8"/>
      <c r="F66" s="8" t="s">
        <v>8197</v>
      </c>
      <c r="G66" s="8" t="b">
        <v>0</v>
      </c>
      <c r="H66" s="8" t="s">
        <v>8198</v>
      </c>
      <c r="I66" s="8" t="s">
        <v>8199</v>
      </c>
      <c r="J66" s="12"/>
      <c r="K66" s="8" t="s">
        <v>7722</v>
      </c>
      <c r="L66" s="8">
        <v>10.0</v>
      </c>
      <c r="M66" s="8" t="s">
        <v>8200</v>
      </c>
      <c r="N66" s="8" t="s">
        <v>8201</v>
      </c>
      <c r="O66" s="8" t="s">
        <v>8202</v>
      </c>
      <c r="P66" s="28" t="s">
        <v>8203</v>
      </c>
    </row>
    <row r="67">
      <c r="A67" s="8" t="s">
        <v>8204</v>
      </c>
      <c r="B67" s="8"/>
      <c r="C67" s="8"/>
      <c r="D67" s="8"/>
      <c r="E67" s="8"/>
      <c r="F67" s="8" t="s">
        <v>8205</v>
      </c>
      <c r="G67" s="8" t="b">
        <v>0</v>
      </c>
      <c r="H67" s="8" t="s">
        <v>8206</v>
      </c>
      <c r="I67" s="8" t="s">
        <v>8207</v>
      </c>
      <c r="J67" s="12"/>
      <c r="K67" s="8" t="s">
        <v>7722</v>
      </c>
      <c r="L67" s="8">
        <v>10.0</v>
      </c>
      <c r="M67" s="8" t="s">
        <v>8208</v>
      </c>
      <c r="N67" s="8" t="s">
        <v>8209</v>
      </c>
      <c r="O67" s="8" t="s">
        <v>8210</v>
      </c>
      <c r="P67" s="28" t="s">
        <v>8211</v>
      </c>
    </row>
    <row r="68">
      <c r="A68" s="8" t="s">
        <v>8212</v>
      </c>
      <c r="B68" s="8"/>
      <c r="C68" s="8"/>
      <c r="D68" s="8"/>
      <c r="E68" s="8"/>
      <c r="F68" s="8" t="s">
        <v>8213</v>
      </c>
      <c r="G68" s="8" t="b">
        <v>0</v>
      </c>
      <c r="H68" s="8" t="s">
        <v>8214</v>
      </c>
      <c r="I68" s="8" t="s">
        <v>8215</v>
      </c>
      <c r="J68" s="12"/>
      <c r="K68" s="8" t="s">
        <v>7722</v>
      </c>
      <c r="L68" s="8">
        <v>11.0</v>
      </c>
      <c r="M68" s="8" t="s">
        <v>8216</v>
      </c>
      <c r="N68" s="8" t="s">
        <v>8217</v>
      </c>
      <c r="O68" s="8" t="s">
        <v>8218</v>
      </c>
      <c r="P68" s="28" t="s">
        <v>8219</v>
      </c>
    </row>
    <row r="69">
      <c r="A69" s="8" t="s">
        <v>8220</v>
      </c>
      <c r="B69" s="8"/>
      <c r="C69" s="8"/>
      <c r="D69" s="8"/>
      <c r="E69" s="8"/>
      <c r="F69" s="8" t="s">
        <v>8221</v>
      </c>
      <c r="G69" s="8" t="b">
        <v>0</v>
      </c>
      <c r="H69" s="8" t="s">
        <v>8222</v>
      </c>
      <c r="I69" s="8" t="s">
        <v>8223</v>
      </c>
      <c r="J69" s="12"/>
      <c r="K69" s="8" t="s">
        <v>8141</v>
      </c>
      <c r="L69" s="8">
        <v>11.0</v>
      </c>
      <c r="M69" s="8" t="s">
        <v>8224</v>
      </c>
      <c r="N69" s="8" t="s">
        <v>8225</v>
      </c>
      <c r="O69" s="8" t="s">
        <v>8226</v>
      </c>
      <c r="P69" s="28" t="s">
        <v>8227</v>
      </c>
    </row>
    <row r="70">
      <c r="A70" s="8" t="s">
        <v>8228</v>
      </c>
      <c r="B70" s="8"/>
      <c r="C70" s="8"/>
      <c r="D70" s="8"/>
      <c r="E70" s="8"/>
      <c r="F70" s="8" t="s">
        <v>8229</v>
      </c>
      <c r="G70" s="8" t="b">
        <v>0</v>
      </c>
      <c r="H70" s="8" t="s">
        <v>8230</v>
      </c>
      <c r="I70" s="8" t="s">
        <v>8231</v>
      </c>
      <c r="J70" s="12"/>
      <c r="K70" s="8" t="s">
        <v>8232</v>
      </c>
      <c r="L70" s="8">
        <v>12.0</v>
      </c>
      <c r="M70" s="8" t="s">
        <v>8233</v>
      </c>
      <c r="N70" s="8" t="s">
        <v>8234</v>
      </c>
      <c r="O70" s="8" t="s">
        <v>8235</v>
      </c>
      <c r="P70" s="28" t="s">
        <v>8236</v>
      </c>
    </row>
    <row r="71">
      <c r="A71" s="8" t="s">
        <v>8237</v>
      </c>
      <c r="B71" s="8"/>
      <c r="C71" s="8"/>
      <c r="D71" s="8"/>
      <c r="E71" s="8"/>
      <c r="F71" s="8" t="s">
        <v>8238</v>
      </c>
      <c r="G71" s="8" t="b">
        <v>0</v>
      </c>
      <c r="H71" s="8" t="s">
        <v>8239</v>
      </c>
      <c r="I71" s="8" t="s">
        <v>8240</v>
      </c>
      <c r="J71" s="12"/>
      <c r="K71" s="8" t="s">
        <v>7854</v>
      </c>
      <c r="L71" s="8">
        <v>35.0</v>
      </c>
      <c r="M71" s="8" t="s">
        <v>8241</v>
      </c>
      <c r="N71" s="12"/>
      <c r="O71" s="8" t="s">
        <v>8242</v>
      </c>
      <c r="P71" s="28" t="s">
        <v>8243</v>
      </c>
    </row>
    <row r="72">
      <c r="A72" s="8" t="s">
        <v>8237</v>
      </c>
      <c r="B72" s="8"/>
      <c r="C72" s="8"/>
      <c r="D72" s="8"/>
      <c r="E72" s="8"/>
      <c r="F72" s="8" t="s">
        <v>8238</v>
      </c>
      <c r="G72" s="8" t="b">
        <v>0</v>
      </c>
      <c r="H72" s="8" t="s">
        <v>8239</v>
      </c>
      <c r="I72" s="8" t="s">
        <v>8240</v>
      </c>
      <c r="J72" s="12"/>
      <c r="K72" s="8" t="s">
        <v>7854</v>
      </c>
      <c r="L72" s="8">
        <v>35.0</v>
      </c>
      <c r="M72" s="8" t="s">
        <v>8241</v>
      </c>
      <c r="N72" s="12"/>
      <c r="O72" s="8" t="s">
        <v>8242</v>
      </c>
      <c r="P72" s="28" t="s">
        <v>8243</v>
      </c>
    </row>
    <row r="73">
      <c r="A73" s="8" t="s">
        <v>8244</v>
      </c>
      <c r="B73" s="8"/>
      <c r="C73" s="8"/>
      <c r="D73" s="8"/>
      <c r="E73" s="8"/>
      <c r="F73" s="8" t="s">
        <v>8245</v>
      </c>
      <c r="G73" s="8" t="b">
        <v>0</v>
      </c>
      <c r="H73" s="8" t="s">
        <v>8246</v>
      </c>
      <c r="I73" s="8" t="s">
        <v>8247</v>
      </c>
      <c r="J73" s="12"/>
      <c r="K73" s="12"/>
      <c r="L73" s="8">
        <v>10.0</v>
      </c>
      <c r="M73" s="8" t="s">
        <v>8248</v>
      </c>
      <c r="N73" s="8" t="s">
        <v>8249</v>
      </c>
      <c r="O73" s="8" t="s">
        <v>8250</v>
      </c>
      <c r="P73" s="28" t="s">
        <v>8251</v>
      </c>
    </row>
    <row r="74">
      <c r="A74" s="8" t="s">
        <v>8252</v>
      </c>
      <c r="B74" s="8"/>
      <c r="C74" s="8"/>
      <c r="D74" s="8"/>
      <c r="E74" s="8"/>
      <c r="F74" s="8" t="s">
        <v>8253</v>
      </c>
      <c r="G74" s="8" t="b">
        <v>0</v>
      </c>
      <c r="H74" s="8" t="s">
        <v>8254</v>
      </c>
      <c r="I74" s="8" t="s">
        <v>8255</v>
      </c>
      <c r="J74" s="12"/>
      <c r="K74" s="12"/>
      <c r="L74" s="8">
        <v>11.0</v>
      </c>
      <c r="M74" s="8" t="s">
        <v>8256</v>
      </c>
      <c r="N74" s="8" t="s">
        <v>8257</v>
      </c>
      <c r="O74" s="8" t="s">
        <v>8258</v>
      </c>
      <c r="P74" s="28" t="s">
        <v>8259</v>
      </c>
    </row>
    <row r="75">
      <c r="A75" s="8" t="s">
        <v>8260</v>
      </c>
      <c r="B75" s="12"/>
      <c r="C75" s="12"/>
      <c r="D75" s="12"/>
      <c r="E75" s="12"/>
      <c r="F75" s="12"/>
      <c r="G75" s="12" t="b">
        <v>0</v>
      </c>
      <c r="H75" s="8" t="s">
        <v>8261</v>
      </c>
      <c r="I75" s="12"/>
      <c r="J75" s="12"/>
      <c r="K75" s="8" t="s">
        <v>7722</v>
      </c>
      <c r="L75" s="8">
        <v>11.0</v>
      </c>
      <c r="M75" s="8" t="s">
        <v>1295</v>
      </c>
      <c r="N75" s="12"/>
      <c r="O75" s="12"/>
      <c r="P75" s="28" t="s">
        <v>8262</v>
      </c>
    </row>
    <row r="76">
      <c r="A76" s="8" t="s">
        <v>8263</v>
      </c>
      <c r="B76" s="12"/>
      <c r="C76" s="12"/>
      <c r="D76" s="12"/>
      <c r="E76" s="12"/>
      <c r="F76" s="12"/>
      <c r="G76" s="12" t="b">
        <v>0</v>
      </c>
      <c r="H76" s="8" t="s">
        <v>8264</v>
      </c>
      <c r="I76" s="8" t="s">
        <v>8265</v>
      </c>
      <c r="J76" s="12"/>
      <c r="K76" s="8" t="s">
        <v>7722</v>
      </c>
      <c r="L76" s="8">
        <v>51.0</v>
      </c>
      <c r="M76" s="8" t="s">
        <v>8266</v>
      </c>
      <c r="N76" s="12"/>
      <c r="O76" s="8" t="s">
        <v>8267</v>
      </c>
      <c r="P76" s="12"/>
    </row>
    <row r="77">
      <c r="A77" s="8" t="s">
        <v>8268</v>
      </c>
      <c r="B77" s="12"/>
      <c r="C77" s="12"/>
      <c r="D77" s="12"/>
      <c r="E77" s="12"/>
      <c r="F77" s="12"/>
      <c r="G77" s="12" t="b">
        <v>0</v>
      </c>
      <c r="H77" s="8" t="s">
        <v>8269</v>
      </c>
      <c r="I77" s="8" t="s">
        <v>8270</v>
      </c>
      <c r="J77" s="12"/>
      <c r="K77" s="8" t="s">
        <v>8271</v>
      </c>
      <c r="L77" s="8">
        <v>11.0</v>
      </c>
      <c r="M77" s="8" t="s">
        <v>8272</v>
      </c>
      <c r="N77" s="12"/>
      <c r="O77" s="8" t="s">
        <v>8273</v>
      </c>
      <c r="P77" s="28" t="s">
        <v>8274</v>
      </c>
    </row>
    <row r="78">
      <c r="A78" s="8" t="s">
        <v>8275</v>
      </c>
      <c r="B78" s="12"/>
      <c r="C78" s="12"/>
      <c r="D78" s="12"/>
      <c r="E78" s="12"/>
      <c r="F78" s="12"/>
      <c r="G78" s="12" t="b">
        <v>0</v>
      </c>
      <c r="H78" s="8" t="s">
        <v>8276</v>
      </c>
      <c r="I78" s="8" t="s">
        <v>8277</v>
      </c>
      <c r="J78" s="12"/>
      <c r="K78" s="8" t="s">
        <v>8278</v>
      </c>
      <c r="L78" s="8">
        <v>34.0</v>
      </c>
      <c r="M78" s="8" t="s">
        <v>8279</v>
      </c>
      <c r="N78" s="12"/>
      <c r="O78" s="8" t="s">
        <v>8280</v>
      </c>
      <c r="P78" s="28" t="s">
        <v>8281</v>
      </c>
    </row>
    <row r="79">
      <c r="A79" s="8" t="s">
        <v>8282</v>
      </c>
      <c r="B79" s="12"/>
      <c r="C79" s="12"/>
      <c r="D79" s="12"/>
      <c r="E79" s="12"/>
      <c r="F79" s="12"/>
      <c r="G79" s="12" t="b">
        <v>0</v>
      </c>
      <c r="H79" s="8" t="s">
        <v>8283</v>
      </c>
      <c r="I79" s="8" t="s">
        <v>8284</v>
      </c>
      <c r="J79" s="12"/>
      <c r="K79" s="8" t="s">
        <v>8285</v>
      </c>
      <c r="L79" s="8">
        <v>75.0</v>
      </c>
      <c r="M79" s="8" t="s">
        <v>8286</v>
      </c>
      <c r="N79" s="12"/>
      <c r="O79" s="8" t="s">
        <v>8287</v>
      </c>
      <c r="P79" s="28" t="s">
        <v>8288</v>
      </c>
    </row>
    <row r="80">
      <c r="A80" s="8" t="s">
        <v>8289</v>
      </c>
      <c r="B80" s="12"/>
      <c r="C80" s="12"/>
      <c r="D80" s="12"/>
      <c r="E80" s="12"/>
      <c r="F80" s="12"/>
      <c r="G80" s="12" t="b">
        <v>0</v>
      </c>
      <c r="H80" s="8" t="s">
        <v>1959</v>
      </c>
      <c r="I80" s="8" t="s">
        <v>8290</v>
      </c>
      <c r="J80" s="12"/>
      <c r="K80" s="8" t="s">
        <v>7804</v>
      </c>
      <c r="L80" s="8">
        <v>30.0</v>
      </c>
      <c r="M80" s="8" t="s">
        <v>8291</v>
      </c>
      <c r="N80" s="12"/>
      <c r="O80" s="8" t="s">
        <v>8292</v>
      </c>
      <c r="P80" s="28" t="s">
        <v>8293</v>
      </c>
    </row>
    <row r="81">
      <c r="A81" s="8" t="s">
        <v>8294</v>
      </c>
      <c r="B81" s="12"/>
      <c r="C81" s="12"/>
      <c r="D81" s="12"/>
      <c r="E81" s="12"/>
      <c r="F81" s="12"/>
      <c r="G81" s="12" t="b">
        <v>0</v>
      </c>
      <c r="H81" s="8" t="s">
        <v>8295</v>
      </c>
      <c r="I81" s="8" t="s">
        <v>8296</v>
      </c>
      <c r="J81" s="12"/>
      <c r="K81" s="8" t="s">
        <v>8297</v>
      </c>
      <c r="L81" s="8">
        <v>10.0</v>
      </c>
      <c r="M81" s="8" t="s">
        <v>8298</v>
      </c>
      <c r="N81" s="12"/>
      <c r="O81" s="8" t="s">
        <v>8299</v>
      </c>
      <c r="P81" s="28" t="s">
        <v>8300</v>
      </c>
    </row>
    <row r="82">
      <c r="A82" s="8" t="s">
        <v>8301</v>
      </c>
      <c r="B82" s="12"/>
      <c r="C82" s="12"/>
      <c r="D82" s="12"/>
      <c r="E82" s="12"/>
      <c r="F82" s="12"/>
      <c r="G82" s="12" t="b">
        <v>0</v>
      </c>
      <c r="H82" s="8" t="s">
        <v>8302</v>
      </c>
      <c r="I82" s="8" t="s">
        <v>8303</v>
      </c>
      <c r="J82" s="12"/>
      <c r="K82" s="8" t="s">
        <v>8304</v>
      </c>
      <c r="L82" s="8">
        <v>15.0</v>
      </c>
      <c r="M82" s="8" t="s">
        <v>8305</v>
      </c>
      <c r="N82" s="12"/>
      <c r="O82" s="8" t="s">
        <v>8306</v>
      </c>
      <c r="P82" s="28" t="s">
        <v>8307</v>
      </c>
    </row>
    <row r="83">
      <c r="A83" s="8" t="s">
        <v>8308</v>
      </c>
      <c r="B83" s="12"/>
      <c r="C83" s="12"/>
      <c r="D83" s="12"/>
      <c r="E83" s="12"/>
      <c r="F83" s="12"/>
      <c r="G83" s="12" t="b">
        <v>0</v>
      </c>
      <c r="H83" s="8" t="s">
        <v>8309</v>
      </c>
      <c r="I83" s="8" t="s">
        <v>8310</v>
      </c>
      <c r="J83" s="12"/>
      <c r="K83" s="8" t="s">
        <v>7722</v>
      </c>
      <c r="L83" s="8">
        <v>15.0</v>
      </c>
      <c r="M83" s="8" t="s">
        <v>8311</v>
      </c>
      <c r="N83" s="12"/>
      <c r="O83" s="8" t="s">
        <v>8312</v>
      </c>
      <c r="P83" s="28" t="s">
        <v>8313</v>
      </c>
    </row>
    <row r="84">
      <c r="A84" s="8" t="s">
        <v>8314</v>
      </c>
      <c r="B84" s="12"/>
      <c r="C84" s="12"/>
      <c r="D84" s="12"/>
      <c r="E84" s="12"/>
      <c r="F84" s="12"/>
      <c r="G84" s="12" t="b">
        <v>0</v>
      </c>
      <c r="H84" s="8" t="s">
        <v>8315</v>
      </c>
      <c r="I84" s="8" t="s">
        <v>8316</v>
      </c>
      <c r="J84" s="12"/>
      <c r="K84" s="8" t="s">
        <v>8317</v>
      </c>
      <c r="L84" s="8">
        <v>40.0</v>
      </c>
      <c r="M84" s="8" t="s">
        <v>8318</v>
      </c>
      <c r="N84" s="12"/>
      <c r="O84" s="8" t="s">
        <v>8319</v>
      </c>
      <c r="P84" s="28" t="s">
        <v>8320</v>
      </c>
    </row>
    <row r="85">
      <c r="A85" s="8" t="s">
        <v>8321</v>
      </c>
      <c r="B85" s="12"/>
      <c r="C85" s="12"/>
      <c r="D85" s="12"/>
      <c r="E85" s="12"/>
      <c r="F85" s="12"/>
      <c r="G85" s="12" t="b">
        <v>0</v>
      </c>
      <c r="H85" s="8" t="s">
        <v>8322</v>
      </c>
      <c r="I85" s="8" t="s">
        <v>8323</v>
      </c>
      <c r="J85" s="12"/>
      <c r="K85" s="8" t="s">
        <v>7722</v>
      </c>
      <c r="L85" s="8">
        <v>20.0</v>
      </c>
      <c r="M85" s="8" t="s">
        <v>8324</v>
      </c>
      <c r="N85" s="12"/>
      <c r="O85" s="8" t="s">
        <v>8325</v>
      </c>
      <c r="P85" s="28" t="s">
        <v>8326</v>
      </c>
    </row>
    <row r="86">
      <c r="A86" s="8" t="s">
        <v>8327</v>
      </c>
      <c r="B86" s="12"/>
      <c r="C86" s="12"/>
      <c r="D86" s="12"/>
      <c r="E86" s="12"/>
      <c r="F86" s="12"/>
      <c r="G86" s="12" t="b">
        <v>0</v>
      </c>
      <c r="H86" s="8" t="s">
        <v>8328</v>
      </c>
      <c r="I86" s="8" t="s">
        <v>8329</v>
      </c>
      <c r="J86" s="12"/>
      <c r="K86" s="8" t="s">
        <v>8330</v>
      </c>
      <c r="L86" s="8">
        <v>50.0</v>
      </c>
      <c r="M86" s="8" t="s">
        <v>8331</v>
      </c>
      <c r="N86" s="12"/>
      <c r="O86" s="8" t="s">
        <v>8332</v>
      </c>
      <c r="P86" s="28" t="s">
        <v>8333</v>
      </c>
    </row>
    <row r="87">
      <c r="A87" s="8" t="s">
        <v>8334</v>
      </c>
      <c r="B87" s="12"/>
      <c r="C87" s="12"/>
      <c r="D87" s="12"/>
      <c r="E87" s="12"/>
      <c r="F87" s="12"/>
      <c r="G87" s="12" t="b">
        <v>0</v>
      </c>
      <c r="H87" s="8" t="s">
        <v>8335</v>
      </c>
      <c r="I87" s="8" t="s">
        <v>8336</v>
      </c>
      <c r="J87" s="12"/>
      <c r="K87" s="8" t="s">
        <v>8337</v>
      </c>
      <c r="L87" s="8">
        <v>27.0</v>
      </c>
      <c r="M87" s="8" t="s">
        <v>8338</v>
      </c>
      <c r="N87" s="12"/>
      <c r="O87" s="8" t="s">
        <v>8339</v>
      </c>
      <c r="P87" s="28" t="s">
        <v>8340</v>
      </c>
    </row>
    <row r="88">
      <c r="A88" s="8" t="s">
        <v>8341</v>
      </c>
      <c r="B88" s="12"/>
      <c r="C88" s="12"/>
      <c r="D88" s="12"/>
      <c r="E88" s="12"/>
      <c r="F88" s="12"/>
      <c r="G88" s="12" t="b">
        <v>0</v>
      </c>
      <c r="H88" s="8" t="s">
        <v>8342</v>
      </c>
      <c r="I88" s="8" t="s">
        <v>8343</v>
      </c>
      <c r="J88" s="12"/>
      <c r="K88" s="8" t="s">
        <v>7722</v>
      </c>
      <c r="L88" s="8">
        <v>90.0</v>
      </c>
      <c r="M88" s="8" t="s">
        <v>8344</v>
      </c>
      <c r="N88" s="12"/>
      <c r="O88" s="8" t="s">
        <v>8345</v>
      </c>
      <c r="P88" s="28" t="s">
        <v>8346</v>
      </c>
    </row>
    <row r="89">
      <c r="A89" s="8" t="s">
        <v>8347</v>
      </c>
      <c r="B89" s="12"/>
      <c r="C89" s="12"/>
      <c r="D89" s="12"/>
      <c r="E89" s="12"/>
      <c r="F89" s="12"/>
      <c r="G89" s="12" t="b">
        <v>0</v>
      </c>
      <c r="H89" s="8" t="s">
        <v>8348</v>
      </c>
      <c r="I89" s="8" t="s">
        <v>8349</v>
      </c>
      <c r="J89" s="12"/>
      <c r="K89" s="8" t="s">
        <v>8350</v>
      </c>
      <c r="L89" s="8">
        <v>11.0</v>
      </c>
      <c r="M89" s="8" t="s">
        <v>8351</v>
      </c>
      <c r="N89" s="8" t="s">
        <v>8352</v>
      </c>
      <c r="O89" s="8" t="s">
        <v>8353</v>
      </c>
      <c r="P89" s="28" t="s">
        <v>8354</v>
      </c>
    </row>
    <row r="90">
      <c r="A90" s="8" t="s">
        <v>8355</v>
      </c>
      <c r="B90" s="12"/>
      <c r="C90" s="12"/>
      <c r="D90" s="12"/>
      <c r="E90" s="12"/>
      <c r="F90" s="12"/>
      <c r="G90" s="12" t="b">
        <v>0</v>
      </c>
      <c r="H90" s="8" t="s">
        <v>8356</v>
      </c>
      <c r="I90" s="8" t="s">
        <v>8357</v>
      </c>
      <c r="J90" s="12"/>
      <c r="K90" s="8" t="s">
        <v>8358</v>
      </c>
      <c r="L90" s="8">
        <v>14.0</v>
      </c>
      <c r="M90" s="8" t="s">
        <v>1295</v>
      </c>
      <c r="N90" s="12"/>
      <c r="O90" s="12"/>
      <c r="P90" s="28" t="s">
        <v>8359</v>
      </c>
    </row>
    <row r="91">
      <c r="A91" s="8" t="s">
        <v>8360</v>
      </c>
      <c r="B91" s="12"/>
      <c r="C91" s="12"/>
      <c r="D91" s="12"/>
      <c r="E91" s="12"/>
      <c r="F91" s="12"/>
      <c r="G91" s="12" t="b">
        <v>0</v>
      </c>
      <c r="H91" s="8" t="s">
        <v>8361</v>
      </c>
      <c r="I91" s="8" t="s">
        <v>8362</v>
      </c>
      <c r="J91" s="12"/>
      <c r="K91" s="8" t="s">
        <v>7804</v>
      </c>
      <c r="L91" s="8">
        <v>30.0</v>
      </c>
      <c r="M91" s="8" t="s">
        <v>8363</v>
      </c>
      <c r="N91" s="12"/>
      <c r="O91" s="8" t="s">
        <v>1337</v>
      </c>
      <c r="P91" s="28" t="s">
        <v>8364</v>
      </c>
    </row>
    <row r="92">
      <c r="A92" s="8" t="s">
        <v>8365</v>
      </c>
      <c r="B92" s="12"/>
      <c r="C92" s="12"/>
      <c r="D92" s="12"/>
      <c r="E92" s="12"/>
      <c r="F92" s="12"/>
      <c r="G92" s="12" t="b">
        <v>0</v>
      </c>
      <c r="H92" s="8" t="s">
        <v>8366</v>
      </c>
      <c r="I92" s="8" t="s">
        <v>8367</v>
      </c>
      <c r="J92" s="12"/>
      <c r="K92" s="8" t="s">
        <v>8368</v>
      </c>
      <c r="L92" s="8">
        <v>35.0</v>
      </c>
      <c r="M92" s="8" t="s">
        <v>8369</v>
      </c>
      <c r="N92" s="12"/>
      <c r="O92" s="8" t="s">
        <v>8370</v>
      </c>
      <c r="P92" s="28" t="s">
        <v>8371</v>
      </c>
    </row>
    <row r="93">
      <c r="A93" s="8" t="s">
        <v>8372</v>
      </c>
      <c r="B93" s="12"/>
      <c r="C93" s="12"/>
      <c r="D93" s="12"/>
      <c r="E93" s="12"/>
      <c r="F93" s="12"/>
      <c r="G93" s="12" t="b">
        <v>0</v>
      </c>
      <c r="H93" s="8" t="s">
        <v>8373</v>
      </c>
      <c r="I93" s="8" t="s">
        <v>8374</v>
      </c>
      <c r="J93" s="12"/>
      <c r="K93" s="8" t="s">
        <v>8358</v>
      </c>
      <c r="L93" s="8">
        <v>10.0</v>
      </c>
      <c r="M93" s="8" t="s">
        <v>8375</v>
      </c>
      <c r="N93" s="12"/>
      <c r="O93" s="8" t="s">
        <v>8376</v>
      </c>
      <c r="P93" s="28" t="s">
        <v>8377</v>
      </c>
    </row>
    <row r="94">
      <c r="A94" s="8" t="s">
        <v>8378</v>
      </c>
      <c r="B94" s="12"/>
      <c r="C94" s="12"/>
      <c r="D94" s="12"/>
      <c r="E94" s="12"/>
      <c r="F94" s="12"/>
      <c r="G94" s="12" t="b">
        <v>0</v>
      </c>
      <c r="H94" s="8" t="s">
        <v>8379</v>
      </c>
      <c r="I94" s="8" t="s">
        <v>8380</v>
      </c>
      <c r="J94" s="12"/>
      <c r="K94" s="8" t="s">
        <v>8381</v>
      </c>
      <c r="L94" s="8">
        <v>18.0</v>
      </c>
      <c r="M94" s="8" t="s">
        <v>8382</v>
      </c>
      <c r="N94" s="12"/>
      <c r="O94" s="8" t="s">
        <v>8383</v>
      </c>
      <c r="P94" s="28" t="s">
        <v>8384</v>
      </c>
    </row>
    <row r="95">
      <c r="A95" s="8" t="s">
        <v>8385</v>
      </c>
      <c r="B95" s="12"/>
      <c r="C95" s="12"/>
      <c r="D95" s="12"/>
      <c r="E95" s="12"/>
      <c r="F95" s="12"/>
      <c r="G95" s="12" t="b">
        <v>0</v>
      </c>
      <c r="H95" s="8" t="s">
        <v>8386</v>
      </c>
      <c r="I95" s="8" t="s">
        <v>8387</v>
      </c>
      <c r="J95" s="12"/>
      <c r="K95" s="8" t="s">
        <v>8388</v>
      </c>
      <c r="L95" s="8">
        <v>11.0</v>
      </c>
      <c r="M95" s="8" t="s">
        <v>1295</v>
      </c>
      <c r="N95" s="12"/>
      <c r="O95" s="12"/>
      <c r="P95" s="12"/>
    </row>
    <row r="96">
      <c r="A96" s="8" t="s">
        <v>8389</v>
      </c>
      <c r="B96" s="12"/>
      <c r="C96" s="12"/>
      <c r="D96" s="12"/>
      <c r="E96" s="12"/>
      <c r="F96" s="12"/>
      <c r="G96" s="12" t="b">
        <v>0</v>
      </c>
      <c r="H96" s="8" t="s">
        <v>8390</v>
      </c>
      <c r="I96" s="8" t="s">
        <v>8391</v>
      </c>
      <c r="J96" s="12"/>
      <c r="K96" s="8" t="s">
        <v>7804</v>
      </c>
      <c r="L96" s="8">
        <v>40.0</v>
      </c>
      <c r="M96" s="8" t="s">
        <v>8392</v>
      </c>
      <c r="N96" s="12"/>
      <c r="O96" s="8" t="s">
        <v>8393</v>
      </c>
      <c r="P96" s="28" t="s">
        <v>8394</v>
      </c>
    </row>
    <row r="97">
      <c r="A97" s="8" t="s">
        <v>8395</v>
      </c>
      <c r="B97" s="12"/>
      <c r="C97" s="12"/>
      <c r="D97" s="12"/>
      <c r="E97" s="12"/>
      <c r="F97" s="12"/>
      <c r="G97" s="12" t="b">
        <v>0</v>
      </c>
      <c r="H97" s="8" t="s">
        <v>8396</v>
      </c>
      <c r="I97" s="8" t="s">
        <v>8397</v>
      </c>
      <c r="J97" s="12"/>
      <c r="K97" s="8" t="s">
        <v>7804</v>
      </c>
      <c r="L97" s="8">
        <v>18.0</v>
      </c>
      <c r="M97" s="8" t="s">
        <v>8398</v>
      </c>
      <c r="N97" s="8" t="s">
        <v>8399</v>
      </c>
      <c r="O97" s="8" t="s">
        <v>8400</v>
      </c>
      <c r="P97" s="28" t="s">
        <v>8401</v>
      </c>
    </row>
    <row r="98">
      <c r="A98" s="8" t="s">
        <v>8402</v>
      </c>
      <c r="B98" s="12"/>
      <c r="C98" s="12"/>
      <c r="D98" s="12"/>
      <c r="E98" s="12"/>
      <c r="F98" s="12"/>
      <c r="G98" s="12" t="b">
        <v>0</v>
      </c>
      <c r="H98" s="8" t="s">
        <v>8403</v>
      </c>
      <c r="I98" s="8" t="s">
        <v>8404</v>
      </c>
      <c r="J98" s="12"/>
      <c r="K98" s="8" t="s">
        <v>8405</v>
      </c>
      <c r="L98" s="8">
        <v>100.0</v>
      </c>
      <c r="M98" s="8" t="s">
        <v>8406</v>
      </c>
      <c r="N98" s="12"/>
      <c r="O98" s="8" t="s">
        <v>8407</v>
      </c>
      <c r="P98" s="28" t="s">
        <v>8408</v>
      </c>
    </row>
    <row r="99">
      <c r="A99" s="8" t="s">
        <v>8409</v>
      </c>
      <c r="B99" s="12"/>
      <c r="C99" s="12"/>
      <c r="D99" s="12"/>
      <c r="E99" s="12"/>
      <c r="F99" s="12"/>
      <c r="G99" s="12" t="b">
        <v>0</v>
      </c>
      <c r="H99" s="28" t="s">
        <v>8410</v>
      </c>
      <c r="I99" s="8" t="s">
        <v>8411</v>
      </c>
      <c r="J99" s="12"/>
      <c r="K99" s="8" t="s">
        <v>8412</v>
      </c>
      <c r="L99" s="8">
        <v>95.0</v>
      </c>
      <c r="M99" s="8" t="s">
        <v>8413</v>
      </c>
      <c r="N99" s="12"/>
      <c r="O99" s="8" t="s">
        <v>8414</v>
      </c>
      <c r="P99" s="28" t="s">
        <v>8415</v>
      </c>
    </row>
    <row r="100">
      <c r="A100" s="8" t="s">
        <v>8416</v>
      </c>
      <c r="B100" s="12"/>
      <c r="C100" s="12"/>
      <c r="D100" s="12"/>
      <c r="E100" s="12"/>
      <c r="F100" s="12"/>
      <c r="G100" s="12" t="b">
        <v>0</v>
      </c>
      <c r="H100" s="8" t="s">
        <v>8417</v>
      </c>
      <c r="I100" s="8" t="s">
        <v>8418</v>
      </c>
      <c r="J100" s="12"/>
      <c r="K100" s="8" t="s">
        <v>8419</v>
      </c>
      <c r="L100" s="8">
        <v>55.0</v>
      </c>
      <c r="M100" s="8" t="s">
        <v>1295</v>
      </c>
      <c r="N100" s="12"/>
      <c r="O100" s="12"/>
      <c r="P100" s="28" t="s">
        <v>8420</v>
      </c>
    </row>
    <row r="101">
      <c r="A101" s="8" t="s">
        <v>8421</v>
      </c>
      <c r="B101" s="12"/>
      <c r="C101" s="12"/>
      <c r="D101" s="12"/>
      <c r="E101" s="12"/>
      <c r="F101" s="12"/>
      <c r="G101" s="12" t="b">
        <v>0</v>
      </c>
      <c r="H101" s="8" t="s">
        <v>8422</v>
      </c>
      <c r="I101" s="8" t="s">
        <v>8423</v>
      </c>
      <c r="J101" s="12"/>
      <c r="K101" s="8" t="s">
        <v>8109</v>
      </c>
      <c r="L101" s="8">
        <v>15.0</v>
      </c>
      <c r="M101" s="8" t="s">
        <v>1295</v>
      </c>
      <c r="N101" s="12"/>
      <c r="O101" s="12"/>
      <c r="P101" s="28" t="s">
        <v>8424</v>
      </c>
    </row>
    <row r="102">
      <c r="A102" s="8" t="s">
        <v>8425</v>
      </c>
      <c r="B102" s="12"/>
      <c r="C102" s="12"/>
      <c r="D102" s="12"/>
      <c r="E102" s="12"/>
      <c r="F102" s="12"/>
      <c r="G102" s="12" t="b">
        <v>0</v>
      </c>
      <c r="H102" s="8" t="s">
        <v>8426</v>
      </c>
      <c r="I102" s="8" t="s">
        <v>8427</v>
      </c>
      <c r="J102" s="12"/>
      <c r="K102" s="8" t="s">
        <v>7804</v>
      </c>
      <c r="L102" s="8">
        <v>20.0</v>
      </c>
      <c r="M102" s="8" t="s">
        <v>1295</v>
      </c>
      <c r="N102" s="12"/>
      <c r="O102" s="12"/>
      <c r="P102" s="28" t="s">
        <v>8428</v>
      </c>
    </row>
    <row r="103">
      <c r="A103" s="8" t="s">
        <v>8429</v>
      </c>
      <c r="B103" s="12"/>
      <c r="C103" s="12"/>
      <c r="D103" s="12"/>
      <c r="E103" s="12"/>
      <c r="F103" s="12"/>
      <c r="G103" s="12" t="b">
        <v>0</v>
      </c>
      <c r="H103" s="8" t="s">
        <v>8430</v>
      </c>
      <c r="I103" s="8" t="s">
        <v>8431</v>
      </c>
      <c r="J103" s="12"/>
      <c r="K103" s="8" t="s">
        <v>8317</v>
      </c>
      <c r="L103" s="8">
        <v>55.0</v>
      </c>
      <c r="M103" s="8" t="s">
        <v>1295</v>
      </c>
      <c r="N103" s="12"/>
      <c r="O103" s="12"/>
      <c r="P103" s="28" t="s">
        <v>8432</v>
      </c>
    </row>
    <row r="104">
      <c r="A104" s="8" t="s">
        <v>8433</v>
      </c>
      <c r="B104" s="12"/>
      <c r="C104" s="12"/>
      <c r="D104" s="12"/>
      <c r="E104" s="12"/>
      <c r="F104" s="12"/>
      <c r="G104" s="12" t="b">
        <v>0</v>
      </c>
      <c r="H104" s="28" t="s">
        <v>8434</v>
      </c>
      <c r="I104" s="8" t="s">
        <v>8435</v>
      </c>
      <c r="J104" s="12"/>
      <c r="K104" s="8" t="s">
        <v>7722</v>
      </c>
      <c r="L104" s="8">
        <v>40.0</v>
      </c>
      <c r="M104" s="8" t="s">
        <v>1295</v>
      </c>
      <c r="N104" s="12"/>
      <c r="O104" s="12"/>
      <c r="P104" s="28" t="s">
        <v>8436</v>
      </c>
    </row>
    <row r="105">
      <c r="A105" s="8" t="s">
        <v>8437</v>
      </c>
      <c r="B105" s="12"/>
      <c r="C105" s="12"/>
      <c r="D105" s="12"/>
      <c r="E105" s="12"/>
      <c r="F105" s="12"/>
      <c r="G105" s="12" t="b">
        <v>0</v>
      </c>
      <c r="H105" s="8" t="s">
        <v>8438</v>
      </c>
      <c r="I105" s="8" t="s">
        <v>8439</v>
      </c>
      <c r="J105" s="12"/>
      <c r="K105" s="8" t="s">
        <v>7722</v>
      </c>
      <c r="L105" s="8">
        <v>51.0</v>
      </c>
      <c r="M105" s="8" t="s">
        <v>1295</v>
      </c>
      <c r="N105" s="12"/>
      <c r="O105" s="12"/>
      <c r="P105" s="12"/>
    </row>
    <row r="106">
      <c r="A106" s="8" t="s">
        <v>8440</v>
      </c>
      <c r="B106" s="12"/>
      <c r="C106" s="12"/>
      <c r="D106" s="12"/>
      <c r="E106" s="12"/>
      <c r="F106" s="12"/>
      <c r="G106" s="12" t="b">
        <v>0</v>
      </c>
      <c r="H106" s="8" t="s">
        <v>8441</v>
      </c>
      <c r="I106" s="8" t="s">
        <v>8442</v>
      </c>
      <c r="J106" s="12"/>
      <c r="K106" s="8" t="s">
        <v>7722</v>
      </c>
      <c r="L106" s="8">
        <v>50.0</v>
      </c>
      <c r="M106" s="8" t="s">
        <v>1295</v>
      </c>
      <c r="N106" s="12"/>
      <c r="O106" s="12"/>
      <c r="P106" s="28" t="s">
        <v>8443</v>
      </c>
    </row>
    <row r="107">
      <c r="A107" s="8" t="s">
        <v>8444</v>
      </c>
      <c r="B107" s="12"/>
      <c r="C107" s="12"/>
      <c r="D107" s="12"/>
      <c r="E107" s="12"/>
      <c r="F107" s="12"/>
      <c r="G107" s="12" t="b">
        <v>0</v>
      </c>
      <c r="H107" s="8" t="s">
        <v>8445</v>
      </c>
      <c r="I107" s="8" t="s">
        <v>8446</v>
      </c>
      <c r="J107" s="12"/>
      <c r="K107" s="8" t="s">
        <v>7722</v>
      </c>
      <c r="L107" s="8">
        <v>25.0</v>
      </c>
      <c r="M107" s="8" t="s">
        <v>1295</v>
      </c>
      <c r="N107" s="12"/>
      <c r="O107" s="12"/>
      <c r="P107" s="28" t="s">
        <v>8447</v>
      </c>
    </row>
    <row r="108">
      <c r="A108" s="8" t="s">
        <v>8448</v>
      </c>
      <c r="B108" s="12"/>
      <c r="C108" s="12"/>
      <c r="D108" s="12"/>
      <c r="E108" s="12"/>
      <c r="F108" s="12"/>
      <c r="G108" s="12" t="b">
        <v>0</v>
      </c>
      <c r="H108" s="8" t="s">
        <v>8449</v>
      </c>
      <c r="I108" s="8" t="s">
        <v>8450</v>
      </c>
      <c r="J108" s="12"/>
      <c r="K108" s="8" t="s">
        <v>7722</v>
      </c>
      <c r="L108" s="8">
        <v>12.0</v>
      </c>
      <c r="M108" s="8" t="s">
        <v>8451</v>
      </c>
      <c r="N108" s="12"/>
      <c r="O108" s="8" t="s">
        <v>7750</v>
      </c>
      <c r="P108" s="28" t="s">
        <v>8452</v>
      </c>
    </row>
    <row r="109">
      <c r="A109" s="8" t="s">
        <v>8453</v>
      </c>
      <c r="B109" s="12"/>
      <c r="C109" s="12"/>
      <c r="D109" s="12"/>
      <c r="E109" s="12"/>
      <c r="F109" s="12"/>
      <c r="G109" s="12" t="b">
        <v>0</v>
      </c>
      <c r="H109" s="8" t="s">
        <v>8454</v>
      </c>
      <c r="I109" s="8" t="s">
        <v>8455</v>
      </c>
      <c r="J109" s="12"/>
      <c r="K109" s="8" t="s">
        <v>8456</v>
      </c>
      <c r="L109" s="8">
        <v>10.0</v>
      </c>
      <c r="M109" s="8" t="s">
        <v>8457</v>
      </c>
      <c r="N109" s="8" t="s">
        <v>8458</v>
      </c>
      <c r="O109" s="8" t="s">
        <v>8459</v>
      </c>
      <c r="P109" s="28" t="s">
        <v>8460</v>
      </c>
    </row>
    <row r="110">
      <c r="A110" s="8" t="s">
        <v>8461</v>
      </c>
      <c r="B110" s="12"/>
      <c r="C110" s="12"/>
      <c r="D110" s="12"/>
      <c r="E110" s="12"/>
      <c r="F110" s="12"/>
      <c r="G110" s="12" t="b">
        <v>0</v>
      </c>
      <c r="H110" s="8" t="s">
        <v>8462</v>
      </c>
      <c r="I110" s="8" t="s">
        <v>8463</v>
      </c>
      <c r="J110" s="12"/>
      <c r="K110" s="8" t="s">
        <v>8464</v>
      </c>
      <c r="L110" s="8">
        <v>10.0</v>
      </c>
      <c r="M110" s="8" t="s">
        <v>8465</v>
      </c>
      <c r="N110" s="12"/>
      <c r="O110" s="8" t="s">
        <v>8466</v>
      </c>
      <c r="P110" s="28" t="s">
        <v>8467</v>
      </c>
    </row>
    <row r="111">
      <c r="A111" s="8" t="s">
        <v>8468</v>
      </c>
      <c r="B111" s="12"/>
      <c r="C111" s="12"/>
      <c r="D111" s="12"/>
      <c r="E111" s="12"/>
      <c r="F111" s="12"/>
      <c r="G111" s="12" t="b">
        <v>0</v>
      </c>
      <c r="H111" s="8" t="s">
        <v>8469</v>
      </c>
      <c r="I111" s="8" t="s">
        <v>8470</v>
      </c>
      <c r="J111" s="12"/>
      <c r="K111" s="8" t="s">
        <v>7804</v>
      </c>
      <c r="L111" s="8">
        <v>23.0</v>
      </c>
      <c r="M111" s="8" t="s">
        <v>8471</v>
      </c>
      <c r="N111" s="12"/>
      <c r="O111" s="8" t="s">
        <v>8472</v>
      </c>
      <c r="P111" s="28" t="s">
        <v>8473</v>
      </c>
    </row>
    <row r="112">
      <c r="A112" s="8" t="s">
        <v>8474</v>
      </c>
      <c r="B112" s="12"/>
      <c r="C112" s="12"/>
      <c r="D112" s="12"/>
      <c r="E112" s="12"/>
      <c r="F112" s="12"/>
      <c r="G112" s="12" t="b">
        <v>0</v>
      </c>
      <c r="H112" s="8" t="s">
        <v>8475</v>
      </c>
      <c r="I112" s="8" t="s">
        <v>8476</v>
      </c>
      <c r="J112" s="12"/>
      <c r="K112" s="8" t="s">
        <v>7804</v>
      </c>
      <c r="L112" s="8">
        <v>55.0</v>
      </c>
      <c r="M112" s="8" t="s">
        <v>8477</v>
      </c>
      <c r="N112" s="12"/>
      <c r="O112" s="8" t="s">
        <v>8478</v>
      </c>
      <c r="P112" s="28" t="s">
        <v>8479</v>
      </c>
    </row>
    <row r="113">
      <c r="A113" s="8" t="s">
        <v>8480</v>
      </c>
      <c r="B113" s="12"/>
      <c r="C113" s="12"/>
      <c r="D113" s="12"/>
      <c r="E113" s="12"/>
      <c r="F113" s="12"/>
      <c r="G113" s="12" t="b">
        <v>0</v>
      </c>
      <c r="H113" s="8" t="s">
        <v>8481</v>
      </c>
      <c r="I113" s="8" t="s">
        <v>8482</v>
      </c>
      <c r="J113" s="12"/>
      <c r="K113" s="8" t="s">
        <v>8192</v>
      </c>
      <c r="L113" s="8">
        <v>14.0</v>
      </c>
      <c r="M113" s="8" t="s">
        <v>8483</v>
      </c>
      <c r="N113" s="12"/>
      <c r="O113" s="8" t="s">
        <v>8484</v>
      </c>
      <c r="P113" s="28" t="s">
        <v>8485</v>
      </c>
    </row>
    <row r="114">
      <c r="A114" s="8" t="s">
        <v>8486</v>
      </c>
      <c r="B114" s="12"/>
      <c r="C114" s="12"/>
      <c r="D114" s="12"/>
      <c r="E114" s="12"/>
      <c r="F114" s="12"/>
      <c r="G114" s="12" t="b">
        <v>0</v>
      </c>
      <c r="H114" s="8" t="s">
        <v>8487</v>
      </c>
      <c r="I114" s="8" t="s">
        <v>8488</v>
      </c>
      <c r="J114" s="12"/>
      <c r="K114" s="8" t="s">
        <v>8489</v>
      </c>
      <c r="L114" s="8">
        <v>90.0</v>
      </c>
      <c r="M114" s="8" t="s">
        <v>8490</v>
      </c>
      <c r="N114" s="12"/>
      <c r="O114" s="8" t="s">
        <v>8491</v>
      </c>
      <c r="P114" s="28" t="s">
        <v>8492</v>
      </c>
    </row>
    <row r="115">
      <c r="A115" s="8" t="s">
        <v>8493</v>
      </c>
      <c r="B115" s="12"/>
      <c r="C115" s="12"/>
      <c r="D115" s="12"/>
      <c r="E115" s="12"/>
      <c r="F115" s="12"/>
      <c r="G115" s="12" t="b">
        <v>0</v>
      </c>
      <c r="H115" s="8" t="s">
        <v>8494</v>
      </c>
      <c r="I115" s="8" t="s">
        <v>8495</v>
      </c>
      <c r="J115" s="12"/>
      <c r="K115" s="8" t="s">
        <v>7920</v>
      </c>
      <c r="L115" s="8">
        <v>17.0</v>
      </c>
      <c r="M115" s="8" t="s">
        <v>8496</v>
      </c>
      <c r="N115" s="12"/>
      <c r="O115" s="8" t="s">
        <v>8497</v>
      </c>
      <c r="P115" s="28" t="s">
        <v>8498</v>
      </c>
    </row>
    <row r="116">
      <c r="A116" s="8" t="s">
        <v>8499</v>
      </c>
      <c r="B116" s="12"/>
      <c r="C116" s="12"/>
      <c r="D116" s="12"/>
      <c r="E116" s="12"/>
      <c r="F116" s="12"/>
      <c r="G116" s="12" t="b">
        <v>0</v>
      </c>
      <c r="H116" s="8" t="s">
        <v>8500</v>
      </c>
      <c r="I116" s="8" t="s">
        <v>8501</v>
      </c>
      <c r="J116" s="12"/>
      <c r="K116" s="8" t="s">
        <v>7722</v>
      </c>
      <c r="L116" s="8">
        <v>17.0</v>
      </c>
      <c r="M116" s="8" t="s">
        <v>1295</v>
      </c>
      <c r="N116" s="12"/>
      <c r="O116" s="12"/>
      <c r="P116" s="28" t="s">
        <v>8502</v>
      </c>
    </row>
    <row r="117">
      <c r="A117" s="8" t="s">
        <v>8503</v>
      </c>
      <c r="B117" s="12"/>
      <c r="C117" s="12"/>
      <c r="D117" s="12"/>
      <c r="E117" s="12"/>
      <c r="F117" s="12"/>
      <c r="G117" s="12" t="b">
        <v>0</v>
      </c>
      <c r="H117" s="8" t="s">
        <v>8504</v>
      </c>
      <c r="I117" s="8" t="s">
        <v>8505</v>
      </c>
      <c r="J117" s="12"/>
      <c r="K117" s="8" t="s">
        <v>8066</v>
      </c>
      <c r="L117" s="8">
        <v>12.0</v>
      </c>
      <c r="M117" s="8" t="s">
        <v>8506</v>
      </c>
      <c r="N117" s="12"/>
      <c r="O117" s="8" t="s">
        <v>8507</v>
      </c>
      <c r="P117" s="28" t="s">
        <v>8508</v>
      </c>
    </row>
    <row r="118">
      <c r="A118" s="8" t="s">
        <v>8509</v>
      </c>
      <c r="B118" s="12"/>
      <c r="C118" s="12"/>
      <c r="D118" s="12"/>
      <c r="E118" s="12"/>
      <c r="F118" s="12"/>
      <c r="G118" s="12" t="b">
        <v>0</v>
      </c>
      <c r="H118" s="8" t="s">
        <v>8510</v>
      </c>
      <c r="I118" s="8" t="s">
        <v>8511</v>
      </c>
      <c r="J118" s="12"/>
      <c r="K118" s="8" t="s">
        <v>7722</v>
      </c>
      <c r="L118" s="8">
        <v>65.0</v>
      </c>
      <c r="M118" s="8" t="s">
        <v>1295</v>
      </c>
      <c r="N118" s="12"/>
      <c r="O118" s="12"/>
      <c r="P118" s="28" t="s">
        <v>8512</v>
      </c>
    </row>
    <row r="119">
      <c r="A119" s="8" t="s">
        <v>8513</v>
      </c>
      <c r="B119" s="12"/>
      <c r="C119" s="12"/>
      <c r="D119" s="12"/>
      <c r="E119" s="12"/>
      <c r="F119" s="12"/>
      <c r="G119" s="12" t="b">
        <v>0</v>
      </c>
      <c r="H119" s="8" t="s">
        <v>8514</v>
      </c>
      <c r="I119" s="8" t="s">
        <v>8515</v>
      </c>
      <c r="J119" s="12"/>
      <c r="K119" s="8" t="s">
        <v>8141</v>
      </c>
      <c r="L119" s="8">
        <v>12.0</v>
      </c>
      <c r="M119" s="8" t="s">
        <v>8516</v>
      </c>
      <c r="N119" s="12"/>
      <c r="O119" s="8" t="s">
        <v>8517</v>
      </c>
      <c r="P119" s="28" t="s">
        <v>8518</v>
      </c>
    </row>
    <row r="120">
      <c r="A120" s="8" t="s">
        <v>8519</v>
      </c>
      <c r="B120" s="12"/>
      <c r="C120" s="12"/>
      <c r="D120" s="12"/>
      <c r="E120" s="12"/>
      <c r="F120" s="12"/>
      <c r="G120" s="12" t="b">
        <v>0</v>
      </c>
      <c r="H120" s="8" t="s">
        <v>8520</v>
      </c>
      <c r="I120" s="8" t="s">
        <v>8521</v>
      </c>
      <c r="J120" s="12"/>
      <c r="K120" s="8" t="s">
        <v>7722</v>
      </c>
      <c r="L120" s="8">
        <v>18.0</v>
      </c>
      <c r="M120" s="8" t="s">
        <v>8522</v>
      </c>
      <c r="N120" s="12"/>
      <c r="O120" s="8" t="s">
        <v>8523</v>
      </c>
      <c r="P120" s="28" t="s">
        <v>8524</v>
      </c>
    </row>
    <row r="121">
      <c r="A121" s="8" t="s">
        <v>8525</v>
      </c>
      <c r="B121" s="12"/>
      <c r="C121" s="12"/>
      <c r="D121" s="12"/>
      <c r="E121" s="12"/>
      <c r="F121" s="12"/>
      <c r="G121" s="12" t="b">
        <v>0</v>
      </c>
      <c r="H121" s="8" t="s">
        <v>8526</v>
      </c>
      <c r="I121" s="8" t="s">
        <v>8527</v>
      </c>
      <c r="J121" s="12"/>
      <c r="K121" s="8" t="s">
        <v>7722</v>
      </c>
      <c r="L121" s="8">
        <v>25.0</v>
      </c>
      <c r="M121" s="8" t="s">
        <v>8528</v>
      </c>
      <c r="N121" s="12"/>
      <c r="O121" s="8" t="s">
        <v>8529</v>
      </c>
      <c r="P121" s="28" t="s">
        <v>8530</v>
      </c>
    </row>
    <row r="122">
      <c r="A122" s="8" t="s">
        <v>8531</v>
      </c>
      <c r="B122" s="12"/>
      <c r="C122" s="12"/>
      <c r="D122" s="12"/>
      <c r="E122" s="12"/>
      <c r="F122" s="12"/>
      <c r="G122" s="12" t="b">
        <v>0</v>
      </c>
      <c r="H122" s="8" t="s">
        <v>8532</v>
      </c>
      <c r="I122" s="8" t="s">
        <v>8533</v>
      </c>
      <c r="J122" s="12"/>
      <c r="K122" s="8" t="s">
        <v>8141</v>
      </c>
      <c r="L122" s="8">
        <v>10.0</v>
      </c>
      <c r="M122" s="8" t="s">
        <v>1295</v>
      </c>
      <c r="N122" s="12"/>
      <c r="O122" s="12"/>
      <c r="P122" s="28" t="s">
        <v>8534</v>
      </c>
    </row>
    <row r="123">
      <c r="A123" s="8" t="s">
        <v>8535</v>
      </c>
      <c r="B123" s="12"/>
      <c r="C123" s="12"/>
      <c r="D123" s="12"/>
      <c r="E123" s="12"/>
      <c r="F123" s="12"/>
      <c r="G123" s="12" t="b">
        <v>0</v>
      </c>
      <c r="H123" s="8" t="s">
        <v>8536</v>
      </c>
      <c r="I123" s="8" t="s">
        <v>8537</v>
      </c>
      <c r="J123" s="12"/>
      <c r="K123" s="12"/>
      <c r="L123" s="8">
        <v>25.0</v>
      </c>
      <c r="M123" s="8" t="s">
        <v>8538</v>
      </c>
      <c r="N123" s="12"/>
      <c r="O123" s="8" t="s">
        <v>8539</v>
      </c>
      <c r="P123" s="28" t="s">
        <v>8540</v>
      </c>
    </row>
    <row r="124">
      <c r="A124" s="8" t="s">
        <v>8541</v>
      </c>
      <c r="B124" s="12"/>
      <c r="C124" s="12"/>
      <c r="D124" s="12"/>
      <c r="E124" s="12"/>
      <c r="F124" s="12"/>
      <c r="G124" s="12" t="b">
        <v>0</v>
      </c>
      <c r="H124" s="8" t="s">
        <v>8542</v>
      </c>
      <c r="I124" s="8" t="s">
        <v>8543</v>
      </c>
      <c r="J124" s="12"/>
      <c r="K124" s="8" t="s">
        <v>7722</v>
      </c>
      <c r="L124" s="8">
        <v>11.0</v>
      </c>
      <c r="M124" s="8" t="s">
        <v>1295</v>
      </c>
      <c r="N124" s="12"/>
      <c r="O124" s="12"/>
      <c r="P124" s="12"/>
    </row>
    <row r="125">
      <c r="A125" s="8" t="s">
        <v>8544</v>
      </c>
      <c r="B125" s="12"/>
      <c r="C125" s="12"/>
      <c r="D125" s="12"/>
      <c r="E125" s="12"/>
      <c r="F125" s="12"/>
      <c r="G125" s="12" t="b">
        <v>0</v>
      </c>
      <c r="H125" s="8" t="s">
        <v>8545</v>
      </c>
      <c r="I125" s="8" t="s">
        <v>8546</v>
      </c>
      <c r="J125" s="12"/>
      <c r="K125" s="8" t="s">
        <v>7722</v>
      </c>
      <c r="L125" s="8">
        <v>10.0</v>
      </c>
      <c r="M125" s="8" t="s">
        <v>8547</v>
      </c>
      <c r="N125" s="12"/>
      <c r="O125" s="8" t="s">
        <v>8548</v>
      </c>
      <c r="P125" s="28" t="s">
        <v>8549</v>
      </c>
    </row>
    <row r="126">
      <c r="A126" s="8" t="s">
        <v>8550</v>
      </c>
      <c r="B126" s="12"/>
      <c r="C126" s="12"/>
      <c r="D126" s="12"/>
      <c r="E126" s="12"/>
      <c r="F126" s="12"/>
      <c r="G126" s="12" t="b">
        <v>0</v>
      </c>
      <c r="H126" s="8" t="s">
        <v>8551</v>
      </c>
      <c r="I126" s="8" t="s">
        <v>8552</v>
      </c>
      <c r="J126" s="12"/>
      <c r="K126" s="8" t="s">
        <v>8553</v>
      </c>
      <c r="L126" s="8">
        <v>11.0</v>
      </c>
      <c r="M126" s="8" t="s">
        <v>8554</v>
      </c>
      <c r="N126" s="12"/>
      <c r="O126" s="8" t="s">
        <v>8555</v>
      </c>
      <c r="P126" s="28" t="s">
        <v>8556</v>
      </c>
    </row>
    <row r="127">
      <c r="A127" s="8" t="s">
        <v>8557</v>
      </c>
      <c r="B127" s="12"/>
      <c r="C127" s="12"/>
      <c r="D127" s="12"/>
      <c r="E127" s="12"/>
      <c r="F127" s="12"/>
      <c r="G127" s="12" t="b">
        <v>0</v>
      </c>
      <c r="H127" s="8" t="s">
        <v>8558</v>
      </c>
      <c r="I127" s="8" t="s">
        <v>8559</v>
      </c>
      <c r="J127" s="12"/>
      <c r="K127" s="8" t="s">
        <v>7804</v>
      </c>
      <c r="L127" s="8">
        <v>15.0</v>
      </c>
      <c r="M127" s="8" t="s">
        <v>8560</v>
      </c>
      <c r="N127" s="12"/>
      <c r="O127" s="8" t="s">
        <v>8561</v>
      </c>
      <c r="P127" s="28" t="s">
        <v>8562</v>
      </c>
    </row>
    <row r="128">
      <c r="A128" s="8" t="s">
        <v>8563</v>
      </c>
      <c r="B128" s="12"/>
      <c r="C128" s="12"/>
      <c r="D128" s="12"/>
      <c r="E128" s="12"/>
      <c r="F128" s="12"/>
      <c r="G128" s="12" t="b">
        <v>0</v>
      </c>
      <c r="H128" s="8" t="s">
        <v>8564</v>
      </c>
      <c r="I128" s="8" t="s">
        <v>8565</v>
      </c>
      <c r="J128" s="12"/>
      <c r="K128" s="8" t="s">
        <v>8150</v>
      </c>
      <c r="L128" s="8">
        <v>10.0</v>
      </c>
      <c r="M128" s="8" t="s">
        <v>8566</v>
      </c>
      <c r="N128" s="12"/>
      <c r="O128" s="8" t="s">
        <v>8567</v>
      </c>
      <c r="P128" s="28" t="s">
        <v>8568</v>
      </c>
    </row>
    <row r="129">
      <c r="A129" s="8" t="s">
        <v>8569</v>
      </c>
      <c r="B129" s="12"/>
      <c r="C129" s="12"/>
      <c r="D129" s="12"/>
      <c r="E129" s="12"/>
      <c r="F129" s="12"/>
      <c r="G129" s="12" t="b">
        <v>0</v>
      </c>
      <c r="H129" s="8" t="s">
        <v>8570</v>
      </c>
      <c r="I129" s="8" t="s">
        <v>8571</v>
      </c>
      <c r="J129" s="12"/>
      <c r="K129" s="8" t="s">
        <v>7854</v>
      </c>
      <c r="L129" s="8">
        <v>100.0</v>
      </c>
      <c r="M129" s="8" t="s">
        <v>8572</v>
      </c>
      <c r="N129" s="8" t="s">
        <v>8573</v>
      </c>
      <c r="O129" s="8" t="s">
        <v>8574</v>
      </c>
      <c r="P129" s="28" t="s">
        <v>8575</v>
      </c>
    </row>
    <row r="130">
      <c r="A130" s="8" t="s">
        <v>8576</v>
      </c>
      <c r="B130" s="12"/>
      <c r="C130" s="12"/>
      <c r="D130" s="12"/>
      <c r="E130" s="12"/>
      <c r="F130" s="12"/>
      <c r="G130" s="12" t="b">
        <v>0</v>
      </c>
      <c r="H130" s="8" t="s">
        <v>8577</v>
      </c>
      <c r="I130" s="8" t="s">
        <v>8578</v>
      </c>
      <c r="J130" s="12"/>
      <c r="K130" s="8" t="s">
        <v>7722</v>
      </c>
      <c r="L130" s="8">
        <v>62.0</v>
      </c>
      <c r="M130" s="8" t="s">
        <v>8579</v>
      </c>
      <c r="N130" s="12"/>
      <c r="O130" s="8" t="s">
        <v>8580</v>
      </c>
      <c r="P130" s="28" t="s">
        <v>8581</v>
      </c>
    </row>
    <row r="131">
      <c r="A131" s="8" t="s">
        <v>8582</v>
      </c>
      <c r="B131" s="12"/>
      <c r="C131" s="12"/>
      <c r="D131" s="12"/>
      <c r="E131" s="12"/>
      <c r="F131" s="12"/>
      <c r="G131" s="12" t="b">
        <v>0</v>
      </c>
      <c r="H131" s="8" t="s">
        <v>8583</v>
      </c>
      <c r="I131" s="8" t="s">
        <v>8584</v>
      </c>
      <c r="J131" s="12"/>
      <c r="K131" s="8" t="s">
        <v>7722</v>
      </c>
      <c r="L131" s="8">
        <v>65.0</v>
      </c>
      <c r="M131" s="8" t="s">
        <v>1295</v>
      </c>
      <c r="N131" s="12"/>
      <c r="O131" s="12"/>
      <c r="P131" s="28" t="s">
        <v>8585</v>
      </c>
    </row>
    <row r="132">
      <c r="A132" s="8" t="s">
        <v>8586</v>
      </c>
      <c r="B132" s="12"/>
      <c r="C132" s="12"/>
      <c r="D132" s="12"/>
      <c r="E132" s="12"/>
      <c r="F132" s="12"/>
      <c r="G132" s="12" t="b">
        <v>0</v>
      </c>
      <c r="H132" s="8" t="s">
        <v>8587</v>
      </c>
      <c r="I132" s="8" t="s">
        <v>8588</v>
      </c>
      <c r="J132" s="12"/>
      <c r="K132" s="8" t="s">
        <v>7804</v>
      </c>
      <c r="L132" s="8">
        <v>45.0</v>
      </c>
      <c r="M132" s="8" t="s">
        <v>8589</v>
      </c>
      <c r="N132" s="12"/>
      <c r="O132" s="8" t="s">
        <v>8590</v>
      </c>
      <c r="P132" s="28" t="s">
        <v>8591</v>
      </c>
    </row>
    <row r="133">
      <c r="A133" s="8" t="s">
        <v>8592</v>
      </c>
      <c r="B133" s="12"/>
      <c r="C133" s="12"/>
      <c r="D133" s="12"/>
      <c r="E133" s="12"/>
      <c r="F133" s="12"/>
      <c r="G133" s="12" t="b">
        <v>0</v>
      </c>
      <c r="H133" s="8" t="s">
        <v>8593</v>
      </c>
      <c r="I133" s="8" t="s">
        <v>8594</v>
      </c>
      <c r="J133" s="12"/>
      <c r="K133" s="8" t="s">
        <v>7722</v>
      </c>
      <c r="L133" s="8">
        <v>39.0</v>
      </c>
      <c r="M133" s="8" t="s">
        <v>8595</v>
      </c>
      <c r="N133" s="12"/>
      <c r="O133" s="8" t="s">
        <v>8596</v>
      </c>
      <c r="P133" s="28" t="s">
        <v>8597</v>
      </c>
    </row>
    <row r="134">
      <c r="A134" s="8" t="s">
        <v>8598</v>
      </c>
      <c r="B134" s="12"/>
      <c r="C134" s="12"/>
      <c r="D134" s="12"/>
      <c r="E134" s="12"/>
      <c r="F134" s="12"/>
      <c r="G134" s="12" t="b">
        <v>0</v>
      </c>
      <c r="H134" s="8" t="s">
        <v>8599</v>
      </c>
      <c r="I134" s="8" t="s">
        <v>8600</v>
      </c>
      <c r="J134" s="12"/>
      <c r="K134" s="8" t="s">
        <v>7854</v>
      </c>
      <c r="L134" s="8">
        <v>11.0</v>
      </c>
      <c r="M134" s="8" t="s">
        <v>1295</v>
      </c>
      <c r="N134" s="12"/>
      <c r="O134" s="12"/>
      <c r="P134" s="12"/>
    </row>
    <row r="135">
      <c r="A135" s="8" t="s">
        <v>8601</v>
      </c>
      <c r="B135" s="12"/>
      <c r="C135" s="12"/>
      <c r="D135" s="12"/>
      <c r="E135" s="12"/>
      <c r="F135" s="12"/>
      <c r="G135" s="12" t="b">
        <v>0</v>
      </c>
      <c r="H135" s="8" t="s">
        <v>8602</v>
      </c>
      <c r="I135" s="8" t="s">
        <v>8603</v>
      </c>
      <c r="J135" s="12"/>
      <c r="K135" s="8" t="s">
        <v>8604</v>
      </c>
      <c r="L135" s="8">
        <v>25.0</v>
      </c>
      <c r="M135" s="8" t="s">
        <v>8605</v>
      </c>
      <c r="N135" s="12"/>
      <c r="O135" s="8" t="s">
        <v>8606</v>
      </c>
      <c r="P135" s="28" t="s">
        <v>8607</v>
      </c>
    </row>
    <row r="136">
      <c r="A136" s="8" t="s">
        <v>8608</v>
      </c>
      <c r="B136" s="12"/>
      <c r="C136" s="12"/>
      <c r="D136" s="12"/>
      <c r="E136" s="12"/>
      <c r="F136" s="12"/>
      <c r="G136" s="12" t="b">
        <v>0</v>
      </c>
      <c r="H136" s="8" t="s">
        <v>8609</v>
      </c>
      <c r="I136" s="8" t="s">
        <v>8610</v>
      </c>
      <c r="J136" s="12"/>
      <c r="K136" s="8" t="s">
        <v>8611</v>
      </c>
      <c r="L136" s="8">
        <v>20.0</v>
      </c>
      <c r="M136" s="8" t="s">
        <v>8612</v>
      </c>
      <c r="N136" s="12"/>
      <c r="O136" s="8" t="s">
        <v>8613</v>
      </c>
      <c r="P136" s="28" t="s">
        <v>8614</v>
      </c>
    </row>
    <row r="137">
      <c r="A137" s="8" t="s">
        <v>8615</v>
      </c>
      <c r="B137" s="12"/>
      <c r="C137" s="12"/>
      <c r="D137" s="12"/>
      <c r="E137" s="12"/>
      <c r="F137" s="12"/>
      <c r="G137" s="12" t="b">
        <v>0</v>
      </c>
      <c r="H137" s="8" t="s">
        <v>8616</v>
      </c>
      <c r="I137" s="8" t="s">
        <v>8617</v>
      </c>
      <c r="J137" s="12"/>
      <c r="K137" s="8" t="s">
        <v>7722</v>
      </c>
      <c r="L137" s="8">
        <v>75.0</v>
      </c>
      <c r="M137" s="8" t="s">
        <v>8618</v>
      </c>
      <c r="N137" s="12"/>
      <c r="O137" s="8" t="s">
        <v>8273</v>
      </c>
      <c r="P137" s="12"/>
    </row>
    <row r="138">
      <c r="A138" s="8" t="s">
        <v>8619</v>
      </c>
      <c r="B138" s="12"/>
      <c r="C138" s="12"/>
      <c r="D138" s="12"/>
      <c r="E138" s="12"/>
      <c r="F138" s="12"/>
      <c r="G138" s="12" t="b">
        <v>0</v>
      </c>
      <c r="H138" s="8" t="s">
        <v>8620</v>
      </c>
      <c r="I138" s="8" t="s">
        <v>8621</v>
      </c>
      <c r="J138" s="12"/>
      <c r="K138" s="8" t="s">
        <v>7722</v>
      </c>
      <c r="L138" s="8">
        <v>13.0</v>
      </c>
      <c r="M138" s="8" t="s">
        <v>8622</v>
      </c>
      <c r="N138" s="8" t="s">
        <v>8623</v>
      </c>
      <c r="O138" s="8" t="s">
        <v>8624</v>
      </c>
      <c r="P138" s="28" t="s">
        <v>8625</v>
      </c>
    </row>
    <row r="139">
      <c r="A139" s="8" t="s">
        <v>8626</v>
      </c>
      <c r="B139" s="12"/>
      <c r="C139" s="12"/>
      <c r="D139" s="12"/>
      <c r="E139" s="12"/>
      <c r="F139" s="12"/>
      <c r="G139" s="12" t="b">
        <v>0</v>
      </c>
      <c r="H139" s="8" t="s">
        <v>8627</v>
      </c>
      <c r="I139" s="8" t="s">
        <v>8628</v>
      </c>
      <c r="J139" s="12"/>
      <c r="K139" s="8" t="s">
        <v>7722</v>
      </c>
      <c r="L139" s="8">
        <v>10.0</v>
      </c>
      <c r="M139" s="8" t="s">
        <v>8629</v>
      </c>
      <c r="N139" s="8" t="s">
        <v>8630</v>
      </c>
      <c r="O139" s="8" t="s">
        <v>8631</v>
      </c>
      <c r="P139" s="28" t="s">
        <v>8632</v>
      </c>
    </row>
    <row r="140">
      <c r="A140" s="8" t="s">
        <v>8633</v>
      </c>
      <c r="B140" s="12"/>
      <c r="C140" s="12"/>
      <c r="D140" s="12"/>
      <c r="E140" s="12"/>
      <c r="F140" s="12"/>
      <c r="G140" s="12" t="b">
        <v>0</v>
      </c>
      <c r="H140" s="8" t="s">
        <v>8634</v>
      </c>
      <c r="I140" s="8" t="s">
        <v>8635</v>
      </c>
      <c r="J140" s="12"/>
      <c r="K140" s="8" t="s">
        <v>8271</v>
      </c>
      <c r="L140" s="8">
        <v>35.0</v>
      </c>
      <c r="M140" s="8" t="s">
        <v>8636</v>
      </c>
      <c r="N140" s="12"/>
      <c r="O140" s="8" t="s">
        <v>8637</v>
      </c>
      <c r="P140" s="28" t="s">
        <v>8638</v>
      </c>
    </row>
    <row r="141">
      <c r="A141" s="8" t="s">
        <v>8639</v>
      </c>
      <c r="B141" s="12"/>
      <c r="C141" s="12"/>
      <c r="D141" s="12"/>
      <c r="E141" s="12"/>
      <c r="F141" s="12"/>
      <c r="G141" s="12" t="b">
        <v>0</v>
      </c>
      <c r="H141" s="8" t="s">
        <v>8640</v>
      </c>
      <c r="I141" s="8" t="s">
        <v>8641</v>
      </c>
      <c r="J141" s="12"/>
      <c r="K141" s="8" t="s">
        <v>7804</v>
      </c>
      <c r="L141" s="8">
        <v>20.0</v>
      </c>
      <c r="M141" s="8" t="s">
        <v>8642</v>
      </c>
      <c r="N141" s="12"/>
      <c r="O141" s="8" t="s">
        <v>8643</v>
      </c>
      <c r="P141" s="28" t="s">
        <v>8644</v>
      </c>
    </row>
    <row r="142">
      <c r="A142" s="8" t="s">
        <v>8645</v>
      </c>
      <c r="B142" s="12"/>
      <c r="C142" s="12"/>
      <c r="D142" s="12"/>
      <c r="E142" s="12"/>
      <c r="F142" s="12"/>
      <c r="G142" s="12" t="b">
        <v>0</v>
      </c>
      <c r="H142" s="8" t="s">
        <v>8646</v>
      </c>
      <c r="I142" s="8" t="s">
        <v>8647</v>
      </c>
      <c r="J142" s="12"/>
      <c r="K142" s="8" t="s">
        <v>8648</v>
      </c>
      <c r="L142" s="8">
        <v>100.0</v>
      </c>
      <c r="M142" s="8" t="s">
        <v>1295</v>
      </c>
      <c r="N142" s="12"/>
      <c r="O142" s="12"/>
      <c r="P142" s="28" t="s">
        <v>8649</v>
      </c>
    </row>
    <row r="143">
      <c r="A143" s="8" t="s">
        <v>8650</v>
      </c>
      <c r="B143" s="12"/>
      <c r="C143" s="12"/>
      <c r="D143" s="12"/>
      <c r="E143" s="12"/>
      <c r="F143" s="12"/>
      <c r="G143" s="12" t="b">
        <v>0</v>
      </c>
      <c r="H143" s="8" t="s">
        <v>8651</v>
      </c>
      <c r="I143" s="8" t="s">
        <v>8652</v>
      </c>
      <c r="J143" s="12"/>
      <c r="K143" s="8" t="s">
        <v>8653</v>
      </c>
      <c r="L143" s="8">
        <v>95.0</v>
      </c>
      <c r="M143" s="8" t="s">
        <v>8654</v>
      </c>
      <c r="N143" s="12"/>
      <c r="O143" s="8" t="s">
        <v>8655</v>
      </c>
      <c r="P143" s="12"/>
    </row>
    <row r="144">
      <c r="A144" s="8" t="s">
        <v>8656</v>
      </c>
      <c r="B144" s="12"/>
      <c r="C144" s="12"/>
      <c r="D144" s="12"/>
      <c r="E144" s="12"/>
      <c r="F144" s="12"/>
      <c r="G144" s="12" t="b">
        <v>0</v>
      </c>
      <c r="H144" s="8" t="s">
        <v>8657</v>
      </c>
      <c r="I144" s="8" t="s">
        <v>8658</v>
      </c>
      <c r="J144" s="12"/>
      <c r="K144" s="8" t="s">
        <v>8659</v>
      </c>
      <c r="L144" s="8">
        <v>25.0</v>
      </c>
      <c r="M144" s="8" t="s">
        <v>8660</v>
      </c>
      <c r="N144" s="12"/>
      <c r="O144" s="8" t="s">
        <v>8661</v>
      </c>
      <c r="P144" s="28" t="s">
        <v>8662</v>
      </c>
    </row>
    <row r="145">
      <c r="A145" s="8" t="s">
        <v>8663</v>
      </c>
      <c r="B145" s="12"/>
      <c r="C145" s="12"/>
      <c r="D145" s="12"/>
      <c r="E145" s="12"/>
      <c r="F145" s="12"/>
      <c r="G145" s="12" t="b">
        <v>0</v>
      </c>
      <c r="H145" s="8" t="s">
        <v>8664</v>
      </c>
      <c r="I145" s="8" t="s">
        <v>8665</v>
      </c>
      <c r="J145" s="12"/>
      <c r="K145" s="8" t="s">
        <v>8553</v>
      </c>
      <c r="L145" s="8">
        <v>51.0</v>
      </c>
      <c r="M145" s="8" t="s">
        <v>8666</v>
      </c>
      <c r="N145" s="12"/>
      <c r="O145" s="8" t="s">
        <v>8667</v>
      </c>
      <c r="P145" s="28" t="s">
        <v>8668</v>
      </c>
    </row>
    <row r="146">
      <c r="A146" s="8" t="s">
        <v>8669</v>
      </c>
      <c r="B146" s="12"/>
      <c r="C146" s="12"/>
      <c r="D146" s="12"/>
      <c r="E146" s="12"/>
      <c r="F146" s="12"/>
      <c r="G146" s="12" t="b">
        <v>0</v>
      </c>
      <c r="H146" s="8" t="s">
        <v>8670</v>
      </c>
      <c r="I146" s="8" t="s">
        <v>8671</v>
      </c>
      <c r="J146" s="12"/>
      <c r="K146" s="8" t="s">
        <v>7722</v>
      </c>
      <c r="L146" s="8">
        <v>11.0</v>
      </c>
      <c r="M146" s="8" t="s">
        <v>8672</v>
      </c>
      <c r="N146" s="12"/>
      <c r="O146" s="8" t="s">
        <v>8673</v>
      </c>
      <c r="P146" s="12"/>
    </row>
    <row r="147">
      <c r="A147" s="8" t="s">
        <v>8674</v>
      </c>
      <c r="B147" s="12"/>
      <c r="C147" s="12"/>
      <c r="D147" s="12"/>
      <c r="E147" s="12"/>
      <c r="F147" s="12"/>
      <c r="G147" s="12" t="b">
        <v>0</v>
      </c>
      <c r="H147" s="8" t="s">
        <v>8675</v>
      </c>
      <c r="I147" s="8" t="s">
        <v>8676</v>
      </c>
      <c r="J147" s="12"/>
      <c r="K147" s="8" t="s">
        <v>8677</v>
      </c>
      <c r="L147" s="8">
        <v>50.0</v>
      </c>
      <c r="M147" s="8" t="s">
        <v>8678</v>
      </c>
      <c r="N147" s="8" t="s">
        <v>8679</v>
      </c>
      <c r="O147" s="8" t="s">
        <v>8680</v>
      </c>
      <c r="P147" s="28" t="s">
        <v>8681</v>
      </c>
    </row>
    <row r="148">
      <c r="A148" s="8" t="s">
        <v>8682</v>
      </c>
      <c r="B148" s="12"/>
      <c r="C148" s="12"/>
      <c r="D148" s="12"/>
      <c r="E148" s="12"/>
      <c r="F148" s="12"/>
      <c r="G148" s="12" t="b">
        <v>0</v>
      </c>
      <c r="H148" s="8" t="s">
        <v>8683</v>
      </c>
      <c r="I148" s="8" t="s">
        <v>8684</v>
      </c>
      <c r="J148" s="12"/>
      <c r="K148" s="8" t="s">
        <v>7722</v>
      </c>
      <c r="L148" s="8">
        <v>18.0</v>
      </c>
      <c r="M148" s="8" t="s">
        <v>8685</v>
      </c>
      <c r="N148" s="12"/>
      <c r="O148" s="8" t="s">
        <v>8686</v>
      </c>
      <c r="P148" s="28" t="s">
        <v>8687</v>
      </c>
    </row>
    <row r="149">
      <c r="A149" s="8" t="s">
        <v>8688</v>
      </c>
      <c r="B149" s="12"/>
      <c r="C149" s="12"/>
      <c r="D149" s="12"/>
      <c r="E149" s="12"/>
      <c r="F149" s="12"/>
      <c r="G149" s="12" t="b">
        <v>0</v>
      </c>
      <c r="H149" s="8" t="s">
        <v>8689</v>
      </c>
      <c r="I149" s="8" t="s">
        <v>8690</v>
      </c>
      <c r="J149" s="12"/>
      <c r="K149" s="8" t="s">
        <v>7804</v>
      </c>
      <c r="L149" s="8">
        <v>12.0</v>
      </c>
      <c r="M149" s="8" t="s">
        <v>8691</v>
      </c>
      <c r="N149" s="12"/>
      <c r="O149" s="8" t="s">
        <v>8692</v>
      </c>
      <c r="P149" s="28" t="s">
        <v>8693</v>
      </c>
    </row>
    <row r="150">
      <c r="A150" s="8" t="s">
        <v>8694</v>
      </c>
      <c r="B150" s="12"/>
      <c r="C150" s="12"/>
      <c r="D150" s="12"/>
      <c r="E150" s="12"/>
      <c r="F150" s="12"/>
      <c r="G150" s="12" t="b">
        <v>0</v>
      </c>
      <c r="H150" s="8" t="s">
        <v>8695</v>
      </c>
      <c r="I150" s="8" t="s">
        <v>8696</v>
      </c>
      <c r="J150" s="12"/>
      <c r="K150" s="8" t="s">
        <v>8697</v>
      </c>
      <c r="L150" s="8">
        <v>15.0</v>
      </c>
      <c r="M150" s="8" t="s">
        <v>1295</v>
      </c>
      <c r="N150" s="12"/>
      <c r="O150" s="12"/>
      <c r="P150" s="28" t="s">
        <v>8698</v>
      </c>
    </row>
    <row r="151">
      <c r="A151" s="8" t="s">
        <v>8699</v>
      </c>
      <c r="B151" s="12"/>
      <c r="C151" s="12"/>
      <c r="D151" s="12"/>
      <c r="E151" s="12"/>
      <c r="F151" s="12"/>
      <c r="G151" s="12" t="b">
        <v>0</v>
      </c>
      <c r="H151" s="28" t="s">
        <v>8700</v>
      </c>
      <c r="I151" s="8" t="s">
        <v>8701</v>
      </c>
      <c r="J151" s="12"/>
      <c r="K151" s="8" t="s">
        <v>7722</v>
      </c>
      <c r="L151" s="8">
        <v>20.0</v>
      </c>
      <c r="M151" s="8" t="s">
        <v>8702</v>
      </c>
      <c r="N151" s="12"/>
      <c r="O151" s="8" t="s">
        <v>8703</v>
      </c>
      <c r="P151" s="28" t="s">
        <v>8704</v>
      </c>
    </row>
    <row r="152">
      <c r="A152" s="8" t="s">
        <v>8705</v>
      </c>
      <c r="B152" s="12"/>
      <c r="C152" s="12"/>
      <c r="D152" s="12"/>
      <c r="E152" s="12"/>
      <c r="F152" s="12"/>
      <c r="G152" s="12" t="b">
        <v>0</v>
      </c>
      <c r="H152" s="8" t="s">
        <v>8706</v>
      </c>
      <c r="I152" s="8" t="s">
        <v>8707</v>
      </c>
      <c r="J152" s="12"/>
      <c r="K152" s="8" t="s">
        <v>8708</v>
      </c>
      <c r="L152" s="8">
        <v>35.0</v>
      </c>
      <c r="M152" s="8" t="s">
        <v>8709</v>
      </c>
      <c r="N152" s="12"/>
      <c r="O152" s="8" t="s">
        <v>8710</v>
      </c>
      <c r="P152" s="28" t="s">
        <v>8711</v>
      </c>
    </row>
    <row r="153">
      <c r="A153" s="8" t="s">
        <v>8712</v>
      </c>
      <c r="B153" s="12"/>
      <c r="C153" s="12"/>
      <c r="D153" s="12"/>
      <c r="E153" s="12"/>
      <c r="F153" s="12"/>
      <c r="G153" s="12" t="b">
        <v>0</v>
      </c>
      <c r="H153" s="8" t="s">
        <v>8713</v>
      </c>
      <c r="I153" s="8" t="s">
        <v>8714</v>
      </c>
      <c r="J153" s="12"/>
      <c r="K153" s="8" t="s">
        <v>8715</v>
      </c>
      <c r="L153" s="8">
        <v>15.0</v>
      </c>
      <c r="M153" s="8" t="s">
        <v>8716</v>
      </c>
      <c r="N153" s="12"/>
      <c r="O153" s="8" t="s">
        <v>8717</v>
      </c>
      <c r="P153" s="28" t="s">
        <v>8718</v>
      </c>
    </row>
    <row r="154">
      <c r="A154" s="8" t="s">
        <v>8719</v>
      </c>
      <c r="B154" s="12"/>
      <c r="C154" s="12"/>
      <c r="D154" s="12"/>
      <c r="E154" s="12"/>
      <c r="F154" s="12"/>
      <c r="G154" s="12" t="b">
        <v>0</v>
      </c>
      <c r="H154" s="8" t="s">
        <v>8720</v>
      </c>
      <c r="I154" s="8" t="s">
        <v>8721</v>
      </c>
      <c r="J154" s="12"/>
      <c r="K154" s="8" t="s">
        <v>8317</v>
      </c>
      <c r="L154" s="8">
        <v>15.0</v>
      </c>
      <c r="M154" s="8" t="s">
        <v>8722</v>
      </c>
      <c r="N154" s="12"/>
      <c r="O154" s="8" t="s">
        <v>8723</v>
      </c>
      <c r="P154" s="28" t="s">
        <v>8724</v>
      </c>
    </row>
    <row r="155">
      <c r="A155" s="8" t="s">
        <v>8725</v>
      </c>
      <c r="B155" s="12"/>
      <c r="C155" s="12"/>
      <c r="D155" s="12"/>
      <c r="E155" s="12"/>
      <c r="F155" s="12"/>
      <c r="G155" s="12" t="b">
        <v>0</v>
      </c>
      <c r="H155" s="8" t="s">
        <v>8726</v>
      </c>
      <c r="I155" s="8" t="s">
        <v>8727</v>
      </c>
      <c r="J155" s="12"/>
      <c r="K155" s="8" t="s">
        <v>8728</v>
      </c>
      <c r="L155" s="8">
        <v>10.0</v>
      </c>
      <c r="M155" s="8" t="s">
        <v>8729</v>
      </c>
      <c r="N155" s="8" t="s">
        <v>8730</v>
      </c>
      <c r="O155" s="8" t="s">
        <v>8731</v>
      </c>
      <c r="P155" s="28" t="s">
        <v>8732</v>
      </c>
    </row>
    <row r="156">
      <c r="A156" s="8" t="s">
        <v>8733</v>
      </c>
      <c r="B156" s="12"/>
      <c r="C156" s="12"/>
      <c r="D156" s="12"/>
      <c r="E156" s="12"/>
      <c r="F156" s="12"/>
      <c r="G156" s="12" t="b">
        <v>0</v>
      </c>
      <c r="H156" s="8" t="s">
        <v>8734</v>
      </c>
      <c r="I156" s="8" t="s">
        <v>8735</v>
      </c>
      <c r="J156" s="12"/>
      <c r="K156" s="8" t="s">
        <v>7804</v>
      </c>
      <c r="L156" s="8">
        <v>15.0</v>
      </c>
      <c r="M156" s="8" t="s">
        <v>1295</v>
      </c>
      <c r="N156" s="12"/>
      <c r="O156" s="12"/>
      <c r="P156" s="28" t="s">
        <v>8736</v>
      </c>
    </row>
    <row r="157">
      <c r="A157" s="8" t="s">
        <v>8737</v>
      </c>
      <c r="B157" s="12"/>
      <c r="C157" s="12"/>
      <c r="D157" s="12"/>
      <c r="E157" s="12"/>
      <c r="F157" s="12"/>
      <c r="G157" s="12" t="b">
        <v>0</v>
      </c>
      <c r="H157" s="28" t="s">
        <v>8738</v>
      </c>
      <c r="I157" s="8" t="s">
        <v>8739</v>
      </c>
      <c r="J157" s="12"/>
      <c r="K157" s="8" t="s">
        <v>8740</v>
      </c>
      <c r="L157" s="8">
        <v>90.0</v>
      </c>
      <c r="M157" s="8" t="s">
        <v>8741</v>
      </c>
      <c r="N157" s="12"/>
      <c r="O157" s="8" t="s">
        <v>8742</v>
      </c>
      <c r="P157" s="28" t="s">
        <v>8743</v>
      </c>
    </row>
    <row r="158">
      <c r="A158" s="8" t="s">
        <v>8744</v>
      </c>
      <c r="B158" s="12"/>
      <c r="C158" s="12"/>
      <c r="D158" s="12"/>
      <c r="E158" s="12"/>
      <c r="F158" s="12"/>
      <c r="G158" s="12" t="b">
        <v>0</v>
      </c>
      <c r="H158" s="8" t="s">
        <v>8745</v>
      </c>
      <c r="I158" s="8" t="s">
        <v>8746</v>
      </c>
      <c r="J158" s="12"/>
      <c r="K158" s="8" t="s">
        <v>7854</v>
      </c>
      <c r="L158" s="8">
        <v>25.0</v>
      </c>
      <c r="M158" s="8" t="s">
        <v>8747</v>
      </c>
      <c r="N158" s="12"/>
      <c r="O158" s="8" t="s">
        <v>7824</v>
      </c>
      <c r="P158" s="28" t="s">
        <v>8748</v>
      </c>
    </row>
    <row r="159">
      <c r="A159" s="8" t="s">
        <v>8749</v>
      </c>
      <c r="B159" s="12"/>
      <c r="C159" s="12"/>
      <c r="D159" s="12"/>
      <c r="E159" s="12"/>
      <c r="F159" s="12"/>
      <c r="G159" s="12" t="b">
        <v>0</v>
      </c>
      <c r="H159" s="8" t="s">
        <v>8750</v>
      </c>
      <c r="I159" s="8" t="s">
        <v>8751</v>
      </c>
      <c r="J159" s="12"/>
      <c r="K159" s="8" t="s">
        <v>8752</v>
      </c>
      <c r="L159" s="8">
        <v>22.0</v>
      </c>
      <c r="M159" s="8" t="s">
        <v>8753</v>
      </c>
      <c r="N159" s="12"/>
      <c r="O159" s="8" t="s">
        <v>8754</v>
      </c>
      <c r="P159" s="28" t="s">
        <v>8755</v>
      </c>
    </row>
    <row r="160">
      <c r="A160" s="8" t="s">
        <v>8756</v>
      </c>
      <c r="B160" s="12"/>
      <c r="C160" s="12"/>
      <c r="D160" s="12"/>
      <c r="E160" s="12"/>
      <c r="F160" s="12"/>
      <c r="G160" s="12" t="b">
        <v>0</v>
      </c>
      <c r="H160" s="8" t="s">
        <v>8757</v>
      </c>
      <c r="I160" s="8" t="s">
        <v>8758</v>
      </c>
      <c r="J160" s="12"/>
      <c r="K160" s="8" t="s">
        <v>7722</v>
      </c>
      <c r="L160" s="8">
        <v>22.0</v>
      </c>
      <c r="M160" s="8" t="s">
        <v>1295</v>
      </c>
      <c r="N160" s="12"/>
      <c r="O160" s="12"/>
      <c r="P160" s="28" t="s">
        <v>8759</v>
      </c>
    </row>
    <row r="161">
      <c r="A161" s="8" t="s">
        <v>8760</v>
      </c>
      <c r="B161" s="12"/>
      <c r="C161" s="12"/>
      <c r="D161" s="12"/>
      <c r="E161" s="12"/>
      <c r="F161" s="12"/>
      <c r="G161" s="12" t="b">
        <v>0</v>
      </c>
      <c r="H161" s="8" t="s">
        <v>8761</v>
      </c>
      <c r="I161" s="8" t="s">
        <v>8762</v>
      </c>
      <c r="J161" s="12"/>
      <c r="K161" s="8" t="s">
        <v>7804</v>
      </c>
      <c r="L161" s="8">
        <v>11.0</v>
      </c>
      <c r="M161" s="8" t="s">
        <v>1295</v>
      </c>
      <c r="N161" s="12"/>
      <c r="O161" s="12"/>
      <c r="P161" s="12"/>
    </row>
    <row r="162">
      <c r="A162" s="8" t="s">
        <v>8763</v>
      </c>
      <c r="B162" s="12"/>
      <c r="C162" s="12"/>
      <c r="D162" s="12"/>
      <c r="E162" s="12"/>
      <c r="F162" s="12"/>
      <c r="G162" s="12" t="b">
        <v>0</v>
      </c>
      <c r="H162" s="8" t="s">
        <v>8764</v>
      </c>
      <c r="I162" s="8" t="s">
        <v>8765</v>
      </c>
      <c r="J162" s="12"/>
      <c r="K162" s="12"/>
      <c r="L162" s="8">
        <v>15.0</v>
      </c>
      <c r="M162" s="8" t="s">
        <v>8766</v>
      </c>
      <c r="N162" s="12"/>
      <c r="O162" s="8" t="s">
        <v>8767</v>
      </c>
      <c r="P162" s="28" t="s">
        <v>8768</v>
      </c>
    </row>
    <row r="163">
      <c r="A163" s="8" t="s">
        <v>8769</v>
      </c>
      <c r="B163" s="12"/>
      <c r="C163" s="12"/>
      <c r="D163" s="12"/>
      <c r="E163" s="12"/>
      <c r="F163" s="12"/>
      <c r="G163" s="12" t="b">
        <v>0</v>
      </c>
      <c r="H163" s="8" t="s">
        <v>8770</v>
      </c>
      <c r="I163" s="8" t="s">
        <v>8771</v>
      </c>
      <c r="J163" s="12"/>
      <c r="K163" s="8" t="s">
        <v>8337</v>
      </c>
      <c r="L163" s="8">
        <v>60.0</v>
      </c>
      <c r="M163" s="8" t="s">
        <v>8772</v>
      </c>
      <c r="N163" s="12"/>
      <c r="O163" s="8" t="s">
        <v>8773</v>
      </c>
      <c r="P163" s="28" t="s">
        <v>8774</v>
      </c>
    </row>
    <row r="164">
      <c r="A164" s="8" t="s">
        <v>8775</v>
      </c>
      <c r="B164" s="12"/>
      <c r="C164" s="12"/>
      <c r="D164" s="12"/>
      <c r="E164" s="12"/>
      <c r="F164" s="12"/>
      <c r="G164" s="12" t="b">
        <v>0</v>
      </c>
      <c r="H164" s="8" t="s">
        <v>8776</v>
      </c>
      <c r="I164" s="8" t="s">
        <v>8777</v>
      </c>
      <c r="J164" s="12"/>
      <c r="K164" s="8" t="s">
        <v>7722</v>
      </c>
      <c r="L164" s="8">
        <v>50.0</v>
      </c>
      <c r="M164" s="8" t="s">
        <v>8778</v>
      </c>
      <c r="N164" s="12"/>
      <c r="O164" s="8" t="s">
        <v>8779</v>
      </c>
      <c r="P164" s="12"/>
    </row>
    <row r="165">
      <c r="A165" s="8" t="s">
        <v>1357</v>
      </c>
      <c r="B165" s="12"/>
      <c r="C165" s="12"/>
      <c r="D165" s="12"/>
      <c r="E165" s="12"/>
      <c r="F165" s="12"/>
      <c r="G165" s="12" t="b">
        <v>0</v>
      </c>
      <c r="H165" s="8" t="s">
        <v>1359</v>
      </c>
      <c r="I165" s="8" t="s">
        <v>8780</v>
      </c>
      <c r="J165" s="12"/>
      <c r="K165" s="8" t="s">
        <v>7722</v>
      </c>
      <c r="L165" s="8">
        <v>20.0</v>
      </c>
      <c r="M165" s="8" t="s">
        <v>1295</v>
      </c>
      <c r="N165" s="12"/>
      <c r="O165" s="12"/>
      <c r="P165" s="28" t="s">
        <v>8781</v>
      </c>
    </row>
    <row r="166">
      <c r="A166" s="8" t="s">
        <v>8782</v>
      </c>
      <c r="B166" s="12"/>
      <c r="C166" s="12"/>
      <c r="D166" s="12"/>
      <c r="E166" s="12"/>
      <c r="F166" s="12"/>
      <c r="G166" s="12" t="b">
        <v>0</v>
      </c>
      <c r="H166" s="8" t="s">
        <v>8783</v>
      </c>
      <c r="I166" s="8" t="s">
        <v>8784</v>
      </c>
      <c r="J166" s="12"/>
      <c r="K166" s="8" t="s">
        <v>7722</v>
      </c>
      <c r="L166" s="8">
        <v>11.0</v>
      </c>
      <c r="M166" s="8" t="s">
        <v>1295</v>
      </c>
      <c r="N166" s="12"/>
      <c r="O166" s="12"/>
      <c r="P166" s="12"/>
    </row>
    <row r="167">
      <c r="A167" s="8" t="s">
        <v>8785</v>
      </c>
      <c r="B167" s="12"/>
      <c r="C167" s="12"/>
      <c r="D167" s="12"/>
      <c r="E167" s="12"/>
      <c r="F167" s="12"/>
      <c r="G167" s="12" t="b">
        <v>0</v>
      </c>
      <c r="H167" s="8" t="s">
        <v>8786</v>
      </c>
      <c r="I167" s="8" t="s">
        <v>8787</v>
      </c>
      <c r="J167" s="12"/>
      <c r="K167" s="8" t="s">
        <v>7722</v>
      </c>
      <c r="L167" s="8">
        <v>13.0</v>
      </c>
      <c r="M167" s="8" t="s">
        <v>8788</v>
      </c>
      <c r="N167" s="8" t="s">
        <v>8789</v>
      </c>
      <c r="O167" s="8" t="s">
        <v>8790</v>
      </c>
      <c r="P167" s="28" t="s">
        <v>8791</v>
      </c>
    </row>
    <row r="168">
      <c r="A168" s="8" t="s">
        <v>8792</v>
      </c>
      <c r="B168" s="12"/>
      <c r="C168" s="12"/>
      <c r="D168" s="12"/>
      <c r="E168" s="12"/>
      <c r="F168" s="12"/>
      <c r="G168" s="12" t="b">
        <v>0</v>
      </c>
      <c r="H168" s="8" t="s">
        <v>8793</v>
      </c>
      <c r="I168" s="8" t="s">
        <v>8794</v>
      </c>
      <c r="J168" s="12"/>
      <c r="K168" s="8" t="s">
        <v>8330</v>
      </c>
      <c r="L168" s="8">
        <v>10.0</v>
      </c>
      <c r="M168" s="8" t="s">
        <v>8795</v>
      </c>
      <c r="N168" s="12"/>
      <c r="O168" s="8" t="s">
        <v>8796</v>
      </c>
      <c r="P168" s="28" t="s">
        <v>8797</v>
      </c>
    </row>
    <row r="169">
      <c r="A169" s="8" t="s">
        <v>8798</v>
      </c>
      <c r="B169" s="12"/>
      <c r="C169" s="12"/>
      <c r="D169" s="12"/>
      <c r="E169" s="12"/>
      <c r="F169" s="12"/>
      <c r="G169" s="12" t="b">
        <v>0</v>
      </c>
      <c r="H169" s="8" t="s">
        <v>8799</v>
      </c>
      <c r="I169" s="8" t="s">
        <v>8800</v>
      </c>
      <c r="J169" s="12"/>
      <c r="K169" s="8" t="s">
        <v>7722</v>
      </c>
      <c r="L169" s="8">
        <v>10.0</v>
      </c>
      <c r="M169" s="8" t="s">
        <v>8801</v>
      </c>
      <c r="N169" s="12"/>
      <c r="O169" s="8" t="s">
        <v>8661</v>
      </c>
      <c r="P169" s="28" t="s">
        <v>8802</v>
      </c>
    </row>
    <row r="170">
      <c r="A170" s="8" t="s">
        <v>8803</v>
      </c>
      <c r="B170" s="12"/>
      <c r="C170" s="12"/>
      <c r="D170" s="12"/>
      <c r="E170" s="12"/>
      <c r="F170" s="12"/>
      <c r="G170" s="12" t="b">
        <v>0</v>
      </c>
      <c r="H170" s="8" t="s">
        <v>8804</v>
      </c>
      <c r="I170" s="8" t="s">
        <v>8805</v>
      </c>
      <c r="J170" s="12"/>
      <c r="K170" s="8" t="s">
        <v>7722</v>
      </c>
      <c r="L170" s="8">
        <v>10.0</v>
      </c>
      <c r="M170" s="8" t="s">
        <v>1295</v>
      </c>
      <c r="N170" s="12"/>
      <c r="O170" s="12"/>
      <c r="P170" s="28" t="s">
        <v>8806</v>
      </c>
    </row>
    <row r="171">
      <c r="A171" s="8" t="s">
        <v>8807</v>
      </c>
      <c r="B171" s="12"/>
      <c r="C171" s="12"/>
      <c r="D171" s="12"/>
      <c r="E171" s="12"/>
      <c r="F171" s="12"/>
      <c r="G171" s="12" t="b">
        <v>0</v>
      </c>
      <c r="H171" s="8" t="s">
        <v>8808</v>
      </c>
      <c r="I171" s="8" t="s">
        <v>8809</v>
      </c>
      <c r="J171" s="12"/>
      <c r="K171" s="8" t="s">
        <v>8810</v>
      </c>
      <c r="L171" s="8">
        <v>13.0</v>
      </c>
      <c r="M171" s="8" t="s">
        <v>8811</v>
      </c>
      <c r="N171" s="12"/>
      <c r="O171" s="8" t="s">
        <v>8812</v>
      </c>
      <c r="P171" s="28" t="s">
        <v>8813</v>
      </c>
    </row>
    <row r="172">
      <c r="A172" s="8" t="s">
        <v>8814</v>
      </c>
      <c r="B172" s="12"/>
      <c r="C172" s="12"/>
      <c r="D172" s="12"/>
      <c r="E172" s="12"/>
      <c r="F172" s="12"/>
      <c r="G172" s="12" t="b">
        <v>0</v>
      </c>
      <c r="H172" s="8" t="s">
        <v>8815</v>
      </c>
      <c r="I172" s="8" t="s">
        <v>8816</v>
      </c>
      <c r="J172" s="12"/>
      <c r="K172" s="8" t="s">
        <v>7722</v>
      </c>
      <c r="L172" s="8">
        <v>40.0</v>
      </c>
      <c r="M172" s="8" t="s">
        <v>1295</v>
      </c>
      <c r="N172" s="12"/>
      <c r="O172" s="12"/>
      <c r="P172" s="28" t="s">
        <v>8817</v>
      </c>
    </row>
    <row r="173">
      <c r="A173" s="8" t="s">
        <v>8818</v>
      </c>
      <c r="B173" s="12"/>
      <c r="C173" s="12"/>
      <c r="D173" s="12"/>
      <c r="E173" s="12"/>
      <c r="F173" s="12"/>
      <c r="G173" s="12" t="b">
        <v>0</v>
      </c>
      <c r="H173" s="8" t="s">
        <v>8819</v>
      </c>
      <c r="I173" s="8" t="s">
        <v>8820</v>
      </c>
      <c r="J173" s="12"/>
      <c r="K173" s="8" t="s">
        <v>7722</v>
      </c>
      <c r="L173" s="8">
        <v>53.0</v>
      </c>
      <c r="M173" s="8" t="s">
        <v>1295</v>
      </c>
      <c r="N173" s="12"/>
      <c r="O173" s="12"/>
      <c r="P173" s="28" t="s">
        <v>8821</v>
      </c>
    </row>
    <row r="174">
      <c r="A174" s="8" t="s">
        <v>8822</v>
      </c>
      <c r="B174" s="12"/>
      <c r="C174" s="12"/>
      <c r="D174" s="12"/>
      <c r="E174" s="12"/>
      <c r="F174" s="12"/>
      <c r="G174" s="12" t="b">
        <v>0</v>
      </c>
      <c r="H174" s="8" t="s">
        <v>8823</v>
      </c>
      <c r="I174" s="8" t="s">
        <v>8824</v>
      </c>
      <c r="J174" s="12"/>
      <c r="K174" s="8" t="s">
        <v>8330</v>
      </c>
      <c r="L174" s="8">
        <v>37.0</v>
      </c>
      <c r="M174" s="8" t="s">
        <v>8825</v>
      </c>
      <c r="N174" s="12"/>
      <c r="O174" s="8" t="s">
        <v>8826</v>
      </c>
      <c r="P174" s="28" t="s">
        <v>8827</v>
      </c>
    </row>
    <row r="175">
      <c r="A175" s="8" t="s">
        <v>8828</v>
      </c>
      <c r="B175" s="12"/>
      <c r="C175" s="12"/>
      <c r="D175" s="12"/>
      <c r="E175" s="12"/>
      <c r="F175" s="12"/>
      <c r="G175" s="12" t="b">
        <v>0</v>
      </c>
      <c r="H175" s="8" t="s">
        <v>8829</v>
      </c>
      <c r="I175" s="8" t="s">
        <v>8830</v>
      </c>
      <c r="J175" s="12"/>
      <c r="K175" s="8" t="s">
        <v>7722</v>
      </c>
      <c r="L175" s="8">
        <v>11.0</v>
      </c>
      <c r="M175" s="8" t="s">
        <v>1295</v>
      </c>
      <c r="N175" s="12"/>
      <c r="O175" s="12"/>
      <c r="P175" s="12"/>
    </row>
    <row r="176">
      <c r="A176" s="8" t="s">
        <v>8831</v>
      </c>
      <c r="B176" s="12"/>
      <c r="C176" s="12"/>
      <c r="D176" s="12"/>
      <c r="E176" s="12"/>
      <c r="F176" s="12"/>
      <c r="G176" s="12" t="b">
        <v>0</v>
      </c>
      <c r="H176" s="8" t="s">
        <v>8832</v>
      </c>
      <c r="I176" s="8" t="s">
        <v>8833</v>
      </c>
      <c r="J176" s="12"/>
      <c r="K176" s="8" t="s">
        <v>8271</v>
      </c>
      <c r="L176" s="8">
        <v>10.0</v>
      </c>
      <c r="M176" s="8" t="s">
        <v>8834</v>
      </c>
      <c r="N176" s="12"/>
      <c r="O176" s="8" t="s">
        <v>8835</v>
      </c>
      <c r="P176" s="28" t="s">
        <v>8836</v>
      </c>
    </row>
    <row r="177">
      <c r="A177" s="8" t="s">
        <v>8837</v>
      </c>
      <c r="B177" s="12"/>
      <c r="C177" s="12"/>
      <c r="D177" s="12"/>
      <c r="E177" s="12"/>
      <c r="F177" s="12"/>
      <c r="G177" s="12" t="b">
        <v>0</v>
      </c>
      <c r="H177" s="8" t="s">
        <v>8838</v>
      </c>
      <c r="I177" s="8" t="s">
        <v>8838</v>
      </c>
      <c r="J177" s="12"/>
      <c r="K177" s="8" t="s">
        <v>8175</v>
      </c>
      <c r="L177" s="8">
        <v>20.0</v>
      </c>
      <c r="M177" s="8" t="s">
        <v>8839</v>
      </c>
      <c r="N177" s="12"/>
      <c r="O177" s="8" t="s">
        <v>8840</v>
      </c>
      <c r="P177" s="28" t="s">
        <v>8841</v>
      </c>
    </row>
    <row r="178">
      <c r="A178" s="8" t="s">
        <v>8842</v>
      </c>
      <c r="B178" s="12"/>
      <c r="C178" s="12"/>
      <c r="D178" s="12"/>
      <c r="E178" s="12"/>
      <c r="F178" s="12"/>
      <c r="G178" s="12" t="b">
        <v>0</v>
      </c>
      <c r="H178" s="8" t="s">
        <v>8843</v>
      </c>
      <c r="I178" s="8" t="s">
        <v>8844</v>
      </c>
      <c r="J178" s="12"/>
      <c r="K178" s="8" t="s">
        <v>8845</v>
      </c>
      <c r="L178" s="8">
        <v>21.0</v>
      </c>
      <c r="M178" s="8" t="s">
        <v>8846</v>
      </c>
      <c r="N178" s="12"/>
      <c r="O178" s="8" t="s">
        <v>7872</v>
      </c>
      <c r="P178" s="28" t="s">
        <v>8847</v>
      </c>
    </row>
    <row r="179">
      <c r="A179" s="8" t="s">
        <v>8848</v>
      </c>
      <c r="B179" s="12"/>
      <c r="C179" s="12"/>
      <c r="D179" s="12"/>
      <c r="E179" s="12"/>
      <c r="F179" s="12"/>
      <c r="G179" s="12" t="b">
        <v>0</v>
      </c>
      <c r="H179" s="8" t="s">
        <v>8849</v>
      </c>
      <c r="I179" s="8" t="s">
        <v>8850</v>
      </c>
      <c r="J179" s="12"/>
      <c r="K179" s="8" t="s">
        <v>7722</v>
      </c>
      <c r="L179" s="8">
        <v>45.0</v>
      </c>
      <c r="M179" s="8" t="s">
        <v>8851</v>
      </c>
      <c r="N179" s="12"/>
      <c r="O179" s="8" t="s">
        <v>8852</v>
      </c>
      <c r="P179" s="28" t="s">
        <v>8853</v>
      </c>
    </row>
    <row r="180">
      <c r="A180" s="8" t="s">
        <v>8854</v>
      </c>
      <c r="B180" s="12"/>
      <c r="C180" s="12"/>
      <c r="D180" s="12"/>
      <c r="E180" s="12"/>
      <c r="F180" s="12"/>
      <c r="G180" s="12" t="b">
        <v>0</v>
      </c>
      <c r="H180" s="8" t="s">
        <v>8855</v>
      </c>
      <c r="I180" s="8" t="s">
        <v>8856</v>
      </c>
      <c r="J180" s="12"/>
      <c r="K180" s="8" t="s">
        <v>7722</v>
      </c>
      <c r="L180" s="8">
        <v>20.0</v>
      </c>
      <c r="M180" s="8" t="s">
        <v>1295</v>
      </c>
      <c r="N180" s="12"/>
      <c r="O180" s="12"/>
      <c r="P180" s="12"/>
    </row>
    <row r="181">
      <c r="A181" s="8" t="s">
        <v>8857</v>
      </c>
      <c r="B181" s="12"/>
      <c r="C181" s="12"/>
      <c r="D181" s="12"/>
      <c r="E181" s="12"/>
      <c r="F181" s="12"/>
      <c r="G181" s="12" t="b">
        <v>0</v>
      </c>
      <c r="H181" s="8" t="s">
        <v>8858</v>
      </c>
      <c r="I181" s="8" t="s">
        <v>8859</v>
      </c>
      <c r="J181" s="12"/>
      <c r="K181" s="8" t="s">
        <v>7722</v>
      </c>
      <c r="L181" s="8">
        <v>10.0</v>
      </c>
      <c r="M181" s="8" t="s">
        <v>1295</v>
      </c>
      <c r="N181" s="12"/>
      <c r="O181" s="12"/>
      <c r="P181" s="28" t="s">
        <v>8860</v>
      </c>
    </row>
    <row r="182">
      <c r="A182" s="8" t="s">
        <v>8861</v>
      </c>
      <c r="B182" s="12"/>
      <c r="C182" s="12"/>
      <c r="D182" s="12"/>
      <c r="E182" s="12"/>
      <c r="F182" s="12"/>
      <c r="G182" s="12" t="b">
        <v>0</v>
      </c>
      <c r="H182" s="8" t="s">
        <v>8862</v>
      </c>
      <c r="I182" s="8" t="s">
        <v>8863</v>
      </c>
      <c r="J182" s="12"/>
      <c r="K182" s="8" t="s">
        <v>8317</v>
      </c>
      <c r="L182" s="8">
        <v>15.0</v>
      </c>
      <c r="M182" s="8" t="s">
        <v>8864</v>
      </c>
      <c r="N182" s="12"/>
      <c r="O182" s="8" t="s">
        <v>8865</v>
      </c>
      <c r="P182" s="28" t="s">
        <v>8866</v>
      </c>
    </row>
    <row r="183">
      <c r="A183" s="8" t="s">
        <v>8867</v>
      </c>
      <c r="B183" s="12"/>
      <c r="C183" s="12"/>
      <c r="D183" s="12"/>
      <c r="E183" s="12"/>
      <c r="F183" s="12"/>
      <c r="G183" s="12" t="b">
        <v>0</v>
      </c>
      <c r="H183" s="8" t="s">
        <v>8868</v>
      </c>
      <c r="I183" s="12"/>
      <c r="J183" s="12"/>
      <c r="K183" s="8" t="s">
        <v>7722</v>
      </c>
      <c r="L183" s="8">
        <v>11.0</v>
      </c>
      <c r="M183" s="8" t="s">
        <v>8869</v>
      </c>
      <c r="N183" s="12"/>
      <c r="O183" s="8" t="s">
        <v>2938</v>
      </c>
      <c r="P183" s="12"/>
    </row>
    <row r="184">
      <c r="A184" s="8" t="s">
        <v>8870</v>
      </c>
      <c r="B184" s="12"/>
      <c r="C184" s="12"/>
      <c r="D184" s="12"/>
      <c r="E184" s="12"/>
      <c r="F184" s="12"/>
      <c r="G184" s="12" t="b">
        <v>0</v>
      </c>
      <c r="H184" s="8" t="s">
        <v>8871</v>
      </c>
      <c r="I184" s="12"/>
      <c r="J184" s="12"/>
      <c r="K184" s="8" t="s">
        <v>7722</v>
      </c>
      <c r="L184" s="8">
        <v>11.0</v>
      </c>
      <c r="M184" s="8" t="s">
        <v>1295</v>
      </c>
      <c r="N184" s="12"/>
      <c r="O184" s="12"/>
      <c r="P184" s="12"/>
    </row>
    <row r="185">
      <c r="A185" s="8" t="s">
        <v>8872</v>
      </c>
      <c r="B185" s="12"/>
      <c r="C185" s="12"/>
      <c r="D185" s="12"/>
      <c r="E185" s="12"/>
      <c r="F185" s="12"/>
      <c r="G185" s="12" t="b">
        <v>0</v>
      </c>
      <c r="H185" s="8" t="s">
        <v>8873</v>
      </c>
      <c r="I185" s="8" t="s">
        <v>8874</v>
      </c>
      <c r="J185" s="12"/>
      <c r="K185" s="12"/>
      <c r="L185" s="8">
        <v>20.0</v>
      </c>
      <c r="M185" s="8" t="s">
        <v>1295</v>
      </c>
      <c r="N185" s="12"/>
      <c r="O185" s="12"/>
      <c r="P185" s="28" t="s">
        <v>8875</v>
      </c>
    </row>
    <row r="186">
      <c r="A186" s="8" t="s">
        <v>8876</v>
      </c>
      <c r="B186" s="12"/>
      <c r="C186" s="12"/>
      <c r="D186" s="12"/>
      <c r="E186" s="12"/>
      <c r="F186" s="12"/>
      <c r="G186" s="12" t="b">
        <v>0</v>
      </c>
      <c r="H186" s="8" t="s">
        <v>8877</v>
      </c>
      <c r="I186" s="8" t="s">
        <v>8878</v>
      </c>
      <c r="J186" s="12"/>
      <c r="K186" s="8" t="s">
        <v>7920</v>
      </c>
      <c r="L186" s="8">
        <v>51.0</v>
      </c>
      <c r="M186" s="8" t="s">
        <v>8879</v>
      </c>
      <c r="N186" s="12"/>
      <c r="O186" s="8" t="s">
        <v>8472</v>
      </c>
      <c r="P186" s="12"/>
    </row>
    <row r="187">
      <c r="A187" s="8" t="s">
        <v>8880</v>
      </c>
      <c r="B187" s="12"/>
      <c r="C187" s="12"/>
      <c r="D187" s="12"/>
      <c r="E187" s="12"/>
      <c r="F187" s="12"/>
      <c r="G187" s="12" t="b">
        <v>0</v>
      </c>
      <c r="H187" s="8" t="s">
        <v>8881</v>
      </c>
      <c r="I187" s="12"/>
      <c r="J187" s="12"/>
      <c r="K187" s="8" t="s">
        <v>7722</v>
      </c>
      <c r="L187" s="8">
        <v>11.0</v>
      </c>
      <c r="M187" s="8" t="s">
        <v>1295</v>
      </c>
      <c r="N187" s="12"/>
      <c r="O187" s="12"/>
      <c r="P187" s="12"/>
    </row>
    <row r="188">
      <c r="A188" s="8" t="s">
        <v>8882</v>
      </c>
      <c r="B188" s="12"/>
      <c r="C188" s="12"/>
      <c r="D188" s="12"/>
      <c r="E188" s="12"/>
      <c r="F188" s="12"/>
      <c r="G188" s="12" t="b">
        <v>0</v>
      </c>
      <c r="H188" s="8" t="s">
        <v>8883</v>
      </c>
      <c r="I188" s="12"/>
      <c r="J188" s="12"/>
      <c r="K188" s="8" t="s">
        <v>7722</v>
      </c>
      <c r="L188" s="8">
        <v>51.0</v>
      </c>
      <c r="M188" s="8" t="s">
        <v>1295</v>
      </c>
      <c r="N188" s="12"/>
      <c r="O188" s="12"/>
      <c r="P188" s="28" t="s">
        <v>8884</v>
      </c>
    </row>
    <row r="189">
      <c r="A189" s="8" t="s">
        <v>8885</v>
      </c>
      <c r="B189" s="12"/>
      <c r="C189" s="12"/>
      <c r="D189" s="12"/>
      <c r="E189" s="12"/>
      <c r="F189" s="12"/>
      <c r="G189" s="12" t="b">
        <v>0</v>
      </c>
      <c r="H189" s="8" t="s">
        <v>8886</v>
      </c>
      <c r="I189" s="8" t="s">
        <v>8887</v>
      </c>
      <c r="J189" s="12"/>
      <c r="K189" s="8" t="s">
        <v>7804</v>
      </c>
      <c r="L189" s="8">
        <v>14.0</v>
      </c>
      <c r="M189" s="8" t="s">
        <v>8888</v>
      </c>
      <c r="N189" s="12"/>
      <c r="O189" s="8" t="s">
        <v>8889</v>
      </c>
      <c r="P189" s="28" t="s">
        <v>8890</v>
      </c>
    </row>
    <row r="190">
      <c r="A190" s="8" t="s">
        <v>8891</v>
      </c>
      <c r="B190" s="12"/>
      <c r="C190" s="12"/>
      <c r="D190" s="12"/>
      <c r="E190" s="12"/>
      <c r="F190" s="12"/>
      <c r="G190" s="12" t="b">
        <v>0</v>
      </c>
      <c r="H190" s="8" t="s">
        <v>8892</v>
      </c>
      <c r="I190" s="8" t="s">
        <v>8893</v>
      </c>
      <c r="J190" s="12"/>
      <c r="K190" s="8" t="s">
        <v>8150</v>
      </c>
      <c r="L190" s="8">
        <v>18.0</v>
      </c>
      <c r="M190" s="8" t="s">
        <v>8894</v>
      </c>
      <c r="N190" s="12"/>
      <c r="O190" s="8" t="s">
        <v>8895</v>
      </c>
      <c r="P190" s="28" t="s">
        <v>8896</v>
      </c>
    </row>
    <row r="191">
      <c r="A191" s="8" t="s">
        <v>8897</v>
      </c>
      <c r="B191" s="12"/>
      <c r="C191" s="12"/>
      <c r="D191" s="12"/>
      <c r="E191" s="12"/>
      <c r="F191" s="12"/>
      <c r="G191" s="12" t="b">
        <v>0</v>
      </c>
      <c r="H191" s="8" t="s">
        <v>8898</v>
      </c>
      <c r="I191" s="8" t="s">
        <v>8899</v>
      </c>
      <c r="J191" s="12"/>
      <c r="K191" s="8" t="s">
        <v>7804</v>
      </c>
      <c r="L191" s="8">
        <v>10.0</v>
      </c>
      <c r="M191" s="8" t="s">
        <v>8900</v>
      </c>
      <c r="N191" s="12"/>
      <c r="O191" s="8" t="s">
        <v>7750</v>
      </c>
      <c r="P191" s="28" t="s">
        <v>8901</v>
      </c>
    </row>
    <row r="192">
      <c r="A192" s="8" t="s">
        <v>8902</v>
      </c>
      <c r="B192" s="12"/>
      <c r="C192" s="12"/>
      <c r="D192" s="12"/>
      <c r="E192" s="12"/>
      <c r="F192" s="12"/>
      <c r="G192" s="12" t="b">
        <v>0</v>
      </c>
      <c r="H192" s="8" t="s">
        <v>8903</v>
      </c>
      <c r="I192" s="8" t="s">
        <v>8904</v>
      </c>
      <c r="J192" s="12"/>
      <c r="K192" s="8" t="s">
        <v>7804</v>
      </c>
      <c r="L192" s="8">
        <v>15.0</v>
      </c>
      <c r="M192" s="8" t="s">
        <v>8905</v>
      </c>
      <c r="N192" s="12"/>
      <c r="O192" s="8" t="s">
        <v>8906</v>
      </c>
      <c r="P192" s="28" t="s">
        <v>8907</v>
      </c>
    </row>
    <row r="193">
      <c r="A193" s="8" t="s">
        <v>8908</v>
      </c>
      <c r="B193" s="12"/>
      <c r="C193" s="12"/>
      <c r="D193" s="12"/>
      <c r="E193" s="12"/>
      <c r="F193" s="12"/>
      <c r="G193" s="12" t="b">
        <v>0</v>
      </c>
      <c r="H193" s="8" t="s">
        <v>8909</v>
      </c>
      <c r="I193" s="8" t="s">
        <v>8910</v>
      </c>
      <c r="J193" s="12"/>
      <c r="K193" s="8" t="s">
        <v>7722</v>
      </c>
      <c r="L193" s="8">
        <v>12.0</v>
      </c>
      <c r="M193" s="8" t="s">
        <v>1295</v>
      </c>
      <c r="N193" s="12"/>
      <c r="O193" s="12"/>
      <c r="P193" s="28" t="s">
        <v>8911</v>
      </c>
    </row>
    <row r="194">
      <c r="A194" s="8" t="s">
        <v>8912</v>
      </c>
      <c r="B194" s="12"/>
      <c r="C194" s="12"/>
      <c r="D194" s="12"/>
      <c r="E194" s="12"/>
      <c r="F194" s="12"/>
      <c r="G194" s="12" t="b">
        <v>0</v>
      </c>
      <c r="H194" s="8" t="s">
        <v>8913</v>
      </c>
      <c r="I194" s="8" t="s">
        <v>8914</v>
      </c>
      <c r="J194" s="12"/>
      <c r="K194" s="8" t="s">
        <v>8317</v>
      </c>
      <c r="L194" s="8">
        <v>12.0</v>
      </c>
      <c r="M194" s="8" t="s">
        <v>8915</v>
      </c>
      <c r="N194" s="12"/>
      <c r="O194" s="8" t="s">
        <v>8345</v>
      </c>
      <c r="P194" s="28" t="s">
        <v>8916</v>
      </c>
    </row>
    <row r="195">
      <c r="A195" s="8" t="s">
        <v>8917</v>
      </c>
      <c r="B195" s="12"/>
      <c r="C195" s="12"/>
      <c r="D195" s="12"/>
      <c r="E195" s="12"/>
      <c r="F195" s="12"/>
      <c r="G195" s="12" t="b">
        <v>0</v>
      </c>
      <c r="H195" s="8" t="s">
        <v>8918</v>
      </c>
      <c r="I195" s="8" t="s">
        <v>8919</v>
      </c>
      <c r="J195" s="12"/>
      <c r="K195" s="8" t="s">
        <v>7903</v>
      </c>
      <c r="L195" s="8">
        <v>10.0</v>
      </c>
      <c r="M195" s="8" t="s">
        <v>8920</v>
      </c>
      <c r="N195" s="12"/>
      <c r="O195" s="8" t="s">
        <v>8921</v>
      </c>
      <c r="P195" s="28" t="s">
        <v>8922</v>
      </c>
    </row>
    <row r="196">
      <c r="A196" s="8" t="s">
        <v>8923</v>
      </c>
      <c r="B196" s="12"/>
      <c r="C196" s="12"/>
      <c r="D196" s="12"/>
      <c r="E196" s="12"/>
      <c r="F196" s="12"/>
      <c r="G196" s="12" t="b">
        <v>0</v>
      </c>
      <c r="H196" s="8" t="s">
        <v>8924</v>
      </c>
      <c r="I196" s="8" t="s">
        <v>8925</v>
      </c>
      <c r="J196" s="12"/>
      <c r="K196" s="8" t="s">
        <v>7722</v>
      </c>
      <c r="L196" s="8">
        <v>35.0</v>
      </c>
      <c r="M196" s="8" t="s">
        <v>8926</v>
      </c>
      <c r="N196" s="8" t="s">
        <v>8927</v>
      </c>
      <c r="O196" s="8" t="s">
        <v>8928</v>
      </c>
      <c r="P196" s="28" t="s">
        <v>8929</v>
      </c>
    </row>
    <row r="197">
      <c r="A197" s="8" t="s">
        <v>8930</v>
      </c>
      <c r="B197" s="12"/>
      <c r="C197" s="12"/>
      <c r="D197" s="12"/>
      <c r="E197" s="12"/>
      <c r="F197" s="12"/>
      <c r="G197" s="12" t="b">
        <v>0</v>
      </c>
      <c r="H197" s="8" t="s">
        <v>8931</v>
      </c>
      <c r="I197" s="8" t="s">
        <v>8932</v>
      </c>
      <c r="J197" s="12"/>
      <c r="K197" s="8" t="s">
        <v>7722</v>
      </c>
      <c r="L197" s="8">
        <v>11.0</v>
      </c>
      <c r="M197" s="8" t="s">
        <v>8933</v>
      </c>
      <c r="N197" s="12"/>
      <c r="O197" s="8" t="s">
        <v>8779</v>
      </c>
      <c r="P197" s="12"/>
    </row>
    <row r="198">
      <c r="A198" s="8" t="s">
        <v>8934</v>
      </c>
      <c r="B198" s="12"/>
      <c r="C198" s="12"/>
      <c r="D198" s="12"/>
      <c r="E198" s="12"/>
      <c r="F198" s="12"/>
      <c r="G198" s="12" t="b">
        <v>0</v>
      </c>
      <c r="H198" s="8" t="s">
        <v>8935</v>
      </c>
      <c r="I198" s="8" t="s">
        <v>8936</v>
      </c>
      <c r="J198" s="12"/>
      <c r="K198" s="8" t="s">
        <v>8368</v>
      </c>
      <c r="L198" s="8">
        <v>45.0</v>
      </c>
      <c r="M198" s="8" t="s">
        <v>1295</v>
      </c>
      <c r="N198" s="12"/>
      <c r="O198" s="12"/>
      <c r="P198" s="28" t="s">
        <v>8937</v>
      </c>
    </row>
    <row r="199">
      <c r="A199" s="8" t="s">
        <v>8938</v>
      </c>
      <c r="B199" s="12"/>
      <c r="C199" s="12"/>
      <c r="D199" s="12"/>
      <c r="E199" s="12"/>
      <c r="F199" s="12"/>
      <c r="G199" s="12" t="b">
        <v>0</v>
      </c>
      <c r="H199" s="8" t="s">
        <v>8939</v>
      </c>
      <c r="I199" s="8" t="s">
        <v>8940</v>
      </c>
      <c r="J199" s="12"/>
      <c r="K199" s="8" t="s">
        <v>8489</v>
      </c>
      <c r="L199" s="8">
        <v>51.0</v>
      </c>
      <c r="M199" s="8" t="s">
        <v>1295</v>
      </c>
      <c r="N199" s="12"/>
      <c r="O199" s="12"/>
      <c r="P199" s="12"/>
    </row>
    <row r="200">
      <c r="A200" s="8" t="s">
        <v>8941</v>
      </c>
      <c r="B200" s="12"/>
      <c r="C200" s="12"/>
      <c r="D200" s="12"/>
      <c r="E200" s="12"/>
      <c r="F200" s="12"/>
      <c r="G200" s="12" t="b">
        <v>0</v>
      </c>
      <c r="H200" s="8" t="s">
        <v>8942</v>
      </c>
      <c r="I200" s="8" t="s">
        <v>8943</v>
      </c>
      <c r="J200" s="12"/>
      <c r="K200" s="8" t="s">
        <v>8337</v>
      </c>
      <c r="L200" s="8">
        <v>10.0</v>
      </c>
      <c r="M200" s="8" t="s">
        <v>8944</v>
      </c>
      <c r="N200" s="12"/>
      <c r="O200" s="8" t="s">
        <v>8945</v>
      </c>
      <c r="P200" s="28" t="s">
        <v>8946</v>
      </c>
    </row>
    <row r="201">
      <c r="A201" s="8" t="s">
        <v>8947</v>
      </c>
      <c r="B201" s="12"/>
      <c r="C201" s="12"/>
      <c r="D201" s="12"/>
      <c r="E201" s="12"/>
      <c r="F201" s="12"/>
      <c r="G201" s="12" t="b">
        <v>0</v>
      </c>
      <c r="H201" s="8" t="s">
        <v>8948</v>
      </c>
      <c r="I201" s="8" t="s">
        <v>8949</v>
      </c>
      <c r="J201" s="12"/>
      <c r="K201" s="8" t="s">
        <v>8317</v>
      </c>
      <c r="L201" s="8">
        <v>17.0</v>
      </c>
      <c r="M201" s="8" t="s">
        <v>8950</v>
      </c>
      <c r="N201" s="12"/>
      <c r="O201" s="8" t="s">
        <v>8951</v>
      </c>
      <c r="P201" s="28" t="s">
        <v>8952</v>
      </c>
    </row>
    <row r="202">
      <c r="A202" s="8" t="s">
        <v>8953</v>
      </c>
      <c r="B202" s="12"/>
      <c r="C202" s="12"/>
      <c r="D202" s="12"/>
      <c r="E202" s="12"/>
      <c r="F202" s="12"/>
      <c r="G202" s="12" t="b">
        <v>0</v>
      </c>
      <c r="H202" s="8" t="s">
        <v>8954</v>
      </c>
      <c r="I202" s="8" t="s">
        <v>8955</v>
      </c>
      <c r="J202" s="12"/>
      <c r="K202" s="8" t="s">
        <v>7804</v>
      </c>
      <c r="L202" s="8">
        <v>11.0</v>
      </c>
      <c r="M202" s="8" t="s">
        <v>8956</v>
      </c>
      <c r="N202" s="12"/>
      <c r="O202" s="8" t="s">
        <v>8957</v>
      </c>
      <c r="P202" s="28" t="s">
        <v>8958</v>
      </c>
    </row>
    <row r="203">
      <c r="A203" s="8" t="s">
        <v>8959</v>
      </c>
      <c r="B203" s="12"/>
      <c r="C203" s="12"/>
      <c r="D203" s="12"/>
      <c r="E203" s="12"/>
      <c r="F203" s="12"/>
      <c r="G203" s="12" t="b">
        <v>0</v>
      </c>
      <c r="H203" s="8" t="s">
        <v>8960</v>
      </c>
      <c r="I203" s="8" t="s">
        <v>8961</v>
      </c>
      <c r="J203" s="12"/>
      <c r="K203" s="12"/>
      <c r="L203" s="8">
        <v>28.0</v>
      </c>
      <c r="M203" s="8" t="s">
        <v>8962</v>
      </c>
      <c r="N203" s="12"/>
      <c r="O203" s="8" t="s">
        <v>8963</v>
      </c>
      <c r="P203" s="28" t="s">
        <v>8964</v>
      </c>
    </row>
    <row r="204">
      <c r="A204" s="8" t="s">
        <v>8965</v>
      </c>
      <c r="B204" s="12"/>
      <c r="C204" s="12"/>
      <c r="D204" s="12"/>
      <c r="E204" s="12"/>
      <c r="F204" s="12"/>
      <c r="G204" s="12" t="b">
        <v>0</v>
      </c>
      <c r="H204" s="8" t="s">
        <v>8966</v>
      </c>
      <c r="I204" s="8" t="s">
        <v>8967</v>
      </c>
      <c r="J204" s="12"/>
      <c r="K204" s="8" t="s">
        <v>8968</v>
      </c>
      <c r="L204" s="8">
        <v>15.0</v>
      </c>
      <c r="M204" s="8" t="s">
        <v>8969</v>
      </c>
      <c r="N204" s="12"/>
      <c r="O204" s="8" t="s">
        <v>8970</v>
      </c>
      <c r="P204" s="28" t="s">
        <v>8971</v>
      </c>
    </row>
    <row r="205">
      <c r="A205" s="8" t="s">
        <v>8972</v>
      </c>
      <c r="B205" s="12"/>
      <c r="C205" s="12"/>
      <c r="D205" s="12"/>
      <c r="E205" s="12"/>
      <c r="F205" s="12"/>
      <c r="G205" s="12" t="b">
        <v>0</v>
      </c>
      <c r="H205" s="8" t="s">
        <v>8973</v>
      </c>
      <c r="I205" s="8" t="s">
        <v>8974</v>
      </c>
      <c r="J205" s="12"/>
      <c r="K205" s="12"/>
      <c r="L205" s="8">
        <v>22.0</v>
      </c>
      <c r="M205" s="8" t="s">
        <v>8975</v>
      </c>
      <c r="N205" s="12"/>
      <c r="O205" s="8" t="s">
        <v>8976</v>
      </c>
      <c r="P205" s="28" t="s">
        <v>8977</v>
      </c>
    </row>
    <row r="206">
      <c r="A206" s="8" t="s">
        <v>8978</v>
      </c>
      <c r="B206" s="12"/>
      <c r="C206" s="12"/>
      <c r="D206" s="12"/>
      <c r="E206" s="12"/>
      <c r="F206" s="12"/>
      <c r="G206" s="12" t="b">
        <v>0</v>
      </c>
      <c r="H206" s="8" t="s">
        <v>8979</v>
      </c>
      <c r="I206" s="8" t="s">
        <v>8980</v>
      </c>
      <c r="J206" s="12"/>
      <c r="K206" s="8" t="s">
        <v>8192</v>
      </c>
      <c r="L206" s="8">
        <v>12.0</v>
      </c>
      <c r="M206" s="8" t="s">
        <v>8981</v>
      </c>
      <c r="N206" s="12"/>
      <c r="O206" s="8" t="s">
        <v>8865</v>
      </c>
      <c r="P206" s="28" t="s">
        <v>8982</v>
      </c>
    </row>
    <row r="207">
      <c r="A207" s="8" t="s">
        <v>8983</v>
      </c>
      <c r="B207" s="12"/>
      <c r="C207" s="12"/>
      <c r="D207" s="12"/>
      <c r="E207" s="12"/>
      <c r="F207" s="12"/>
      <c r="G207" s="12" t="b">
        <v>0</v>
      </c>
      <c r="H207" s="8" t="s">
        <v>8984</v>
      </c>
      <c r="I207" s="8" t="s">
        <v>8985</v>
      </c>
      <c r="J207" s="12"/>
      <c r="K207" s="8" t="s">
        <v>7722</v>
      </c>
      <c r="L207" s="8">
        <v>20.0</v>
      </c>
      <c r="M207" s="8" t="s">
        <v>8986</v>
      </c>
      <c r="N207" s="12"/>
      <c r="O207" s="8" t="s">
        <v>8987</v>
      </c>
      <c r="P207" s="28" t="s">
        <v>8988</v>
      </c>
    </row>
    <row r="208">
      <c r="A208" s="8" t="s">
        <v>8989</v>
      </c>
      <c r="B208" s="12"/>
      <c r="C208" s="12"/>
      <c r="D208" s="12"/>
      <c r="E208" s="12"/>
      <c r="F208" s="12"/>
      <c r="G208" s="12" t="b">
        <v>0</v>
      </c>
      <c r="H208" s="8" t="s">
        <v>8990</v>
      </c>
      <c r="I208" s="8" t="s">
        <v>8991</v>
      </c>
      <c r="J208" s="12"/>
      <c r="K208" s="8" t="s">
        <v>7804</v>
      </c>
      <c r="L208" s="8">
        <v>15.0</v>
      </c>
      <c r="M208" s="8" t="s">
        <v>8992</v>
      </c>
      <c r="N208" s="12"/>
      <c r="O208" s="8" t="s">
        <v>8993</v>
      </c>
      <c r="P208" s="28" t="s">
        <v>8994</v>
      </c>
    </row>
    <row r="209">
      <c r="A209" s="8" t="s">
        <v>8995</v>
      </c>
      <c r="B209" s="12"/>
      <c r="C209" s="12"/>
      <c r="D209" s="12"/>
      <c r="E209" s="12"/>
      <c r="F209" s="12"/>
      <c r="G209" s="12" t="b">
        <v>0</v>
      </c>
      <c r="H209" s="8" t="s">
        <v>8996</v>
      </c>
      <c r="I209" s="8" t="s">
        <v>8997</v>
      </c>
      <c r="J209" s="12"/>
      <c r="K209" s="8" t="s">
        <v>7722</v>
      </c>
      <c r="L209" s="8">
        <v>100.0</v>
      </c>
      <c r="M209" s="8" t="s">
        <v>1295</v>
      </c>
      <c r="N209" s="12"/>
      <c r="O209" s="12"/>
      <c r="P209" s="28" t="s">
        <v>8998</v>
      </c>
    </row>
    <row r="210">
      <c r="A210" s="8" t="s">
        <v>8999</v>
      </c>
      <c r="B210" s="12"/>
      <c r="C210" s="12"/>
      <c r="D210" s="12"/>
      <c r="E210" s="12"/>
      <c r="F210" s="12"/>
      <c r="G210" s="12" t="b">
        <v>0</v>
      </c>
      <c r="H210" s="8" t="s">
        <v>9000</v>
      </c>
      <c r="I210" s="8" t="s">
        <v>9001</v>
      </c>
      <c r="J210" s="12"/>
      <c r="K210" s="8" t="s">
        <v>7722</v>
      </c>
      <c r="L210" s="8">
        <v>35.0</v>
      </c>
      <c r="M210" s="8" t="s">
        <v>9002</v>
      </c>
      <c r="N210" s="12"/>
      <c r="O210" s="8" t="s">
        <v>9003</v>
      </c>
      <c r="P210" s="28" t="s">
        <v>9004</v>
      </c>
    </row>
    <row r="211">
      <c r="A211" s="8" t="s">
        <v>9005</v>
      </c>
      <c r="B211" s="12"/>
      <c r="C211" s="12"/>
      <c r="D211" s="12"/>
      <c r="E211" s="12"/>
      <c r="F211" s="12"/>
      <c r="G211" s="12" t="b">
        <v>0</v>
      </c>
      <c r="H211" s="8" t="s">
        <v>9006</v>
      </c>
      <c r="I211" s="8" t="s">
        <v>9007</v>
      </c>
      <c r="J211" s="12"/>
      <c r="K211" s="8" t="s">
        <v>7804</v>
      </c>
      <c r="L211" s="8">
        <v>100.0</v>
      </c>
      <c r="M211" s="8" t="s">
        <v>9008</v>
      </c>
      <c r="N211" s="12"/>
      <c r="O211" s="8" t="s">
        <v>9009</v>
      </c>
      <c r="P211" s="28" t="s">
        <v>9010</v>
      </c>
    </row>
    <row r="212">
      <c r="A212" s="8" t="s">
        <v>9011</v>
      </c>
      <c r="B212" s="12"/>
      <c r="C212" s="12"/>
      <c r="D212" s="12"/>
      <c r="E212" s="12"/>
      <c r="F212" s="12"/>
      <c r="G212" s="12" t="b">
        <v>0</v>
      </c>
      <c r="H212" s="8" t="s">
        <v>9012</v>
      </c>
      <c r="I212" s="8" t="s">
        <v>9013</v>
      </c>
      <c r="J212" s="12"/>
      <c r="K212" s="8" t="s">
        <v>8133</v>
      </c>
      <c r="L212" s="8">
        <v>51.0</v>
      </c>
      <c r="M212" s="8" t="s">
        <v>9014</v>
      </c>
      <c r="N212" s="12"/>
      <c r="O212" s="8" t="s">
        <v>9015</v>
      </c>
      <c r="P212" s="28" t="s">
        <v>9016</v>
      </c>
    </row>
    <row r="213">
      <c r="A213" s="8" t="s">
        <v>9017</v>
      </c>
      <c r="B213" s="12"/>
      <c r="C213" s="12"/>
      <c r="D213" s="12"/>
      <c r="E213" s="12"/>
      <c r="F213" s="12"/>
      <c r="G213" s="12" t="b">
        <v>0</v>
      </c>
      <c r="H213" s="8" t="s">
        <v>9018</v>
      </c>
      <c r="I213" s="8" t="s">
        <v>9019</v>
      </c>
      <c r="J213" s="12"/>
      <c r="K213" s="8" t="s">
        <v>8000</v>
      </c>
      <c r="L213" s="8">
        <v>26.0</v>
      </c>
      <c r="M213" s="8" t="s">
        <v>9020</v>
      </c>
      <c r="N213" s="12"/>
      <c r="O213" s="8" t="s">
        <v>9021</v>
      </c>
      <c r="P213" s="28" t="s">
        <v>9022</v>
      </c>
    </row>
    <row r="214">
      <c r="A214" s="8" t="s">
        <v>9023</v>
      </c>
      <c r="B214" s="12"/>
      <c r="C214" s="12"/>
      <c r="D214" s="12"/>
      <c r="E214" s="12"/>
      <c r="F214" s="12"/>
      <c r="G214" s="12" t="b">
        <v>0</v>
      </c>
      <c r="H214" s="8" t="s">
        <v>9024</v>
      </c>
      <c r="I214" s="8" t="s">
        <v>9025</v>
      </c>
      <c r="J214" s="12"/>
      <c r="K214" s="8" t="s">
        <v>7894</v>
      </c>
      <c r="L214" s="8">
        <v>53.0</v>
      </c>
      <c r="M214" s="8" t="s">
        <v>9026</v>
      </c>
      <c r="N214" s="12"/>
      <c r="O214" s="8" t="s">
        <v>9027</v>
      </c>
      <c r="P214" s="28" t="s">
        <v>9028</v>
      </c>
    </row>
    <row r="215">
      <c r="A215" s="8" t="s">
        <v>9029</v>
      </c>
      <c r="B215" s="12"/>
      <c r="C215" s="12"/>
      <c r="D215" s="12"/>
      <c r="E215" s="12"/>
      <c r="F215" s="12"/>
      <c r="G215" s="12" t="b">
        <v>0</v>
      </c>
      <c r="H215" s="8" t="s">
        <v>9030</v>
      </c>
      <c r="I215" s="8" t="s">
        <v>9031</v>
      </c>
      <c r="J215" s="12"/>
      <c r="K215" s="8" t="s">
        <v>7722</v>
      </c>
      <c r="L215" s="8">
        <v>32.0</v>
      </c>
      <c r="M215" s="8" t="s">
        <v>9032</v>
      </c>
      <c r="N215" s="12"/>
      <c r="O215" s="8" t="s">
        <v>9033</v>
      </c>
      <c r="P215" s="28" t="s">
        <v>9034</v>
      </c>
    </row>
    <row r="216">
      <c r="A216" s="8" t="s">
        <v>9035</v>
      </c>
      <c r="B216" s="12"/>
      <c r="C216" s="12"/>
      <c r="D216" s="12"/>
      <c r="E216" s="12"/>
      <c r="F216" s="12"/>
      <c r="G216" s="12" t="b">
        <v>0</v>
      </c>
      <c r="H216" s="8" t="s">
        <v>9036</v>
      </c>
      <c r="I216" s="8" t="s">
        <v>9037</v>
      </c>
      <c r="J216" s="12"/>
      <c r="K216" s="8" t="s">
        <v>9038</v>
      </c>
      <c r="L216" s="8">
        <v>50.0</v>
      </c>
      <c r="M216" s="8" t="s">
        <v>1295</v>
      </c>
      <c r="N216" s="12"/>
      <c r="O216" s="12"/>
      <c r="P216" s="28" t="s">
        <v>9039</v>
      </c>
    </row>
    <row r="217">
      <c r="A217" s="8" t="s">
        <v>9040</v>
      </c>
      <c r="B217" s="12"/>
      <c r="C217" s="12"/>
      <c r="D217" s="12"/>
      <c r="E217" s="12"/>
      <c r="F217" s="12"/>
      <c r="G217" s="12" t="b">
        <v>0</v>
      </c>
      <c r="H217" s="8" t="s">
        <v>9041</v>
      </c>
      <c r="I217" s="8" t="s">
        <v>9042</v>
      </c>
      <c r="J217" s="12"/>
      <c r="K217" s="8" t="s">
        <v>8141</v>
      </c>
      <c r="L217" s="8">
        <v>10.0</v>
      </c>
      <c r="M217" s="8" t="s">
        <v>9043</v>
      </c>
      <c r="N217" s="12"/>
      <c r="O217" s="8" t="s">
        <v>8661</v>
      </c>
      <c r="P217" s="28" t="s">
        <v>9044</v>
      </c>
    </row>
    <row r="218">
      <c r="A218" s="8" t="s">
        <v>9045</v>
      </c>
      <c r="B218" s="12"/>
      <c r="C218" s="12"/>
      <c r="D218" s="12"/>
      <c r="E218" s="12"/>
      <c r="F218" s="12"/>
      <c r="G218" s="12" t="b">
        <v>0</v>
      </c>
      <c r="H218" s="8" t="s">
        <v>9046</v>
      </c>
      <c r="I218" s="8" t="s">
        <v>9047</v>
      </c>
      <c r="J218" s="12"/>
      <c r="K218" s="8" t="s">
        <v>9048</v>
      </c>
      <c r="L218" s="8">
        <v>30.0</v>
      </c>
      <c r="M218" s="8" t="s">
        <v>9049</v>
      </c>
      <c r="N218" s="12"/>
      <c r="O218" s="8" t="s">
        <v>9050</v>
      </c>
      <c r="P218" s="28" t="s">
        <v>9051</v>
      </c>
    </row>
    <row r="219">
      <c r="A219" s="8" t="s">
        <v>9052</v>
      </c>
      <c r="B219" s="12"/>
      <c r="C219" s="12"/>
      <c r="D219" s="12"/>
      <c r="E219" s="12"/>
      <c r="F219" s="12"/>
      <c r="G219" s="12" t="b">
        <v>0</v>
      </c>
      <c r="H219" s="8" t="s">
        <v>9053</v>
      </c>
      <c r="I219" s="8" t="s">
        <v>9054</v>
      </c>
      <c r="J219" s="12"/>
      <c r="K219" s="8" t="s">
        <v>7804</v>
      </c>
      <c r="L219" s="8">
        <v>11.0</v>
      </c>
      <c r="M219" s="8" t="s">
        <v>1295</v>
      </c>
      <c r="N219" s="12"/>
      <c r="O219" s="12"/>
      <c r="P219" s="12"/>
    </row>
    <row r="220">
      <c r="A220" s="8" t="s">
        <v>9055</v>
      </c>
      <c r="B220" s="12"/>
      <c r="C220" s="12"/>
      <c r="D220" s="12"/>
      <c r="E220" s="12"/>
      <c r="F220" s="12"/>
      <c r="G220" s="12" t="b">
        <v>0</v>
      </c>
      <c r="H220" s="8" t="s">
        <v>9056</v>
      </c>
      <c r="I220" s="8" t="s">
        <v>9057</v>
      </c>
      <c r="J220" s="12"/>
      <c r="K220" s="8" t="s">
        <v>9058</v>
      </c>
      <c r="L220" s="8">
        <v>11.0</v>
      </c>
      <c r="M220" s="8" t="s">
        <v>1295</v>
      </c>
      <c r="N220" s="12"/>
      <c r="O220" s="12"/>
      <c r="P220" s="12"/>
    </row>
    <row r="221">
      <c r="A221" s="8" t="s">
        <v>9059</v>
      </c>
      <c r="B221" s="12"/>
      <c r="C221" s="12"/>
      <c r="D221" s="12"/>
      <c r="E221" s="12"/>
      <c r="F221" s="12"/>
      <c r="G221" s="12" t="b">
        <v>0</v>
      </c>
      <c r="H221" s="8" t="s">
        <v>9060</v>
      </c>
      <c r="I221" s="8" t="s">
        <v>9061</v>
      </c>
      <c r="J221" s="12"/>
      <c r="K221" s="8" t="s">
        <v>8317</v>
      </c>
      <c r="L221" s="8">
        <v>10.0</v>
      </c>
      <c r="M221" s="8" t="s">
        <v>9062</v>
      </c>
      <c r="N221" s="12"/>
      <c r="O221" s="8" t="s">
        <v>9063</v>
      </c>
      <c r="P221" s="28" t="s">
        <v>9064</v>
      </c>
    </row>
    <row r="222">
      <c r="A222" s="8" t="s">
        <v>9065</v>
      </c>
      <c r="B222" s="12"/>
      <c r="C222" s="12"/>
      <c r="D222" s="12"/>
      <c r="E222" s="12"/>
      <c r="F222" s="12"/>
      <c r="G222" s="12" t="b">
        <v>0</v>
      </c>
      <c r="H222" s="8" t="s">
        <v>9066</v>
      </c>
      <c r="I222" s="8" t="s">
        <v>9067</v>
      </c>
      <c r="J222" s="12"/>
      <c r="K222" s="8" t="s">
        <v>9058</v>
      </c>
      <c r="L222" s="8">
        <v>27.0</v>
      </c>
      <c r="M222" s="8" t="s">
        <v>1295</v>
      </c>
      <c r="N222" s="12"/>
      <c r="O222" s="12"/>
      <c r="P222" s="28" t="s">
        <v>9068</v>
      </c>
    </row>
    <row r="223">
      <c r="A223" s="8" t="s">
        <v>9069</v>
      </c>
      <c r="B223" s="12"/>
      <c r="C223" s="12"/>
      <c r="D223" s="12"/>
      <c r="E223" s="12"/>
      <c r="F223" s="12"/>
      <c r="G223" s="12" t="b">
        <v>0</v>
      </c>
      <c r="H223" s="8" t="s">
        <v>9070</v>
      </c>
      <c r="I223" s="8" t="s">
        <v>9071</v>
      </c>
      <c r="J223" s="12"/>
      <c r="K223" s="8" t="s">
        <v>7722</v>
      </c>
      <c r="L223" s="8">
        <v>22.0</v>
      </c>
      <c r="M223" s="8" t="s">
        <v>1295</v>
      </c>
      <c r="N223" s="12"/>
      <c r="O223" s="12"/>
      <c r="P223" s="28" t="s">
        <v>9072</v>
      </c>
    </row>
    <row r="224">
      <c r="A224" s="8" t="s">
        <v>9073</v>
      </c>
      <c r="B224" s="12"/>
      <c r="C224" s="12"/>
      <c r="D224" s="12"/>
      <c r="E224" s="12"/>
      <c r="F224" s="12"/>
      <c r="G224" s="12" t="b">
        <v>0</v>
      </c>
      <c r="H224" s="8" t="s">
        <v>9074</v>
      </c>
      <c r="I224" s="8" t="s">
        <v>9075</v>
      </c>
      <c r="J224" s="12"/>
      <c r="K224" s="8" t="s">
        <v>7722</v>
      </c>
      <c r="L224" s="8">
        <v>62.0</v>
      </c>
      <c r="M224" s="8" t="s">
        <v>1295</v>
      </c>
      <c r="N224" s="12"/>
      <c r="O224" s="12"/>
      <c r="P224" s="28" t="s">
        <v>9076</v>
      </c>
    </row>
    <row r="225">
      <c r="A225" s="8" t="s">
        <v>9077</v>
      </c>
      <c r="B225" s="12"/>
      <c r="C225" s="12"/>
      <c r="D225" s="12"/>
      <c r="E225" s="12"/>
      <c r="F225" s="12"/>
      <c r="G225" s="12" t="b">
        <v>0</v>
      </c>
      <c r="H225" s="8" t="s">
        <v>9078</v>
      </c>
      <c r="I225" s="8" t="s">
        <v>9079</v>
      </c>
      <c r="J225" s="12"/>
      <c r="K225" s="8" t="s">
        <v>9058</v>
      </c>
      <c r="L225" s="8">
        <v>95.0</v>
      </c>
      <c r="M225" s="8" t="s">
        <v>1295</v>
      </c>
      <c r="N225" s="12"/>
      <c r="O225" s="12"/>
      <c r="P225" s="28" t="s">
        <v>9080</v>
      </c>
    </row>
    <row r="226">
      <c r="A226" s="8" t="s">
        <v>9081</v>
      </c>
      <c r="B226" s="12"/>
      <c r="C226" s="12"/>
      <c r="D226" s="12"/>
      <c r="E226" s="12"/>
      <c r="F226" s="12"/>
      <c r="G226" s="12" t="b">
        <v>0</v>
      </c>
      <c r="H226" s="8" t="s">
        <v>9082</v>
      </c>
      <c r="I226" s="8" t="s">
        <v>9083</v>
      </c>
      <c r="J226" s="12"/>
      <c r="K226" s="8" t="s">
        <v>7804</v>
      </c>
      <c r="L226" s="8">
        <v>11.0</v>
      </c>
      <c r="M226" s="8" t="s">
        <v>9084</v>
      </c>
      <c r="N226" s="12"/>
      <c r="O226" s="8" t="s">
        <v>8226</v>
      </c>
      <c r="P226" s="12"/>
    </row>
    <row r="227">
      <c r="A227" s="8" t="s">
        <v>9085</v>
      </c>
      <c r="B227" s="12"/>
      <c r="C227" s="12"/>
      <c r="D227" s="12"/>
      <c r="E227" s="12"/>
      <c r="F227" s="12"/>
      <c r="G227" s="12" t="b">
        <v>0</v>
      </c>
      <c r="H227" s="8" t="s">
        <v>9086</v>
      </c>
      <c r="I227" s="8" t="s">
        <v>9087</v>
      </c>
      <c r="J227" s="12"/>
      <c r="K227" s="8" t="s">
        <v>8109</v>
      </c>
      <c r="L227" s="8">
        <v>25.0</v>
      </c>
      <c r="M227" s="8" t="s">
        <v>9088</v>
      </c>
      <c r="N227" s="12"/>
      <c r="O227" s="8" t="s">
        <v>9089</v>
      </c>
      <c r="P227" s="28" t="s">
        <v>9090</v>
      </c>
    </row>
    <row r="228">
      <c r="A228" s="8" t="s">
        <v>9091</v>
      </c>
      <c r="B228" s="12"/>
      <c r="C228" s="12"/>
      <c r="D228" s="12"/>
      <c r="E228" s="12"/>
      <c r="F228" s="12"/>
      <c r="G228" s="12" t="b">
        <v>0</v>
      </c>
      <c r="H228" s="8" t="s">
        <v>9092</v>
      </c>
      <c r="I228" s="8" t="s">
        <v>9093</v>
      </c>
      <c r="J228" s="12"/>
      <c r="K228" s="8" t="s">
        <v>7804</v>
      </c>
      <c r="L228" s="8">
        <v>24.0</v>
      </c>
      <c r="M228" s="8" t="s">
        <v>9094</v>
      </c>
      <c r="N228" s="12"/>
      <c r="O228" s="8" t="s">
        <v>9095</v>
      </c>
      <c r="P228" s="28" t="s">
        <v>9096</v>
      </c>
    </row>
    <row r="229">
      <c r="A229" s="8" t="s">
        <v>9097</v>
      </c>
      <c r="B229" s="12"/>
      <c r="C229" s="12"/>
      <c r="D229" s="12"/>
      <c r="E229" s="12"/>
      <c r="F229" s="12"/>
      <c r="G229" s="12" t="b">
        <v>0</v>
      </c>
      <c r="H229" s="8" t="s">
        <v>9098</v>
      </c>
      <c r="I229" s="8" t="s">
        <v>9099</v>
      </c>
      <c r="J229" s="12"/>
      <c r="K229" s="8" t="s">
        <v>8141</v>
      </c>
      <c r="L229" s="8">
        <v>10.0</v>
      </c>
      <c r="M229" s="8" t="s">
        <v>9100</v>
      </c>
      <c r="N229" s="12"/>
      <c r="O229" s="8" t="s">
        <v>9101</v>
      </c>
      <c r="P229" s="28" t="s">
        <v>9102</v>
      </c>
    </row>
    <row r="230">
      <c r="A230" s="8" t="s">
        <v>9103</v>
      </c>
      <c r="B230" s="12"/>
      <c r="C230" s="12"/>
      <c r="D230" s="12"/>
      <c r="E230" s="12"/>
      <c r="F230" s="12"/>
      <c r="G230" s="12" t="b">
        <v>0</v>
      </c>
      <c r="H230" s="8" t="s">
        <v>9104</v>
      </c>
      <c r="I230" s="8" t="s">
        <v>9105</v>
      </c>
      <c r="J230" s="12"/>
      <c r="K230" s="8" t="s">
        <v>8271</v>
      </c>
      <c r="L230" s="8">
        <v>18.0</v>
      </c>
      <c r="M230" s="8" t="s">
        <v>9106</v>
      </c>
      <c r="N230" s="8" t="s">
        <v>9107</v>
      </c>
      <c r="O230" s="8" t="s">
        <v>9108</v>
      </c>
      <c r="P230" s="28" t="s">
        <v>9109</v>
      </c>
    </row>
    <row r="231">
      <c r="A231" s="8" t="s">
        <v>9110</v>
      </c>
      <c r="B231" s="12"/>
      <c r="C231" s="12"/>
      <c r="D231" s="12"/>
      <c r="E231" s="12"/>
      <c r="F231" s="12"/>
      <c r="G231" s="12" t="b">
        <v>0</v>
      </c>
      <c r="H231" s="8" t="s">
        <v>9111</v>
      </c>
      <c r="I231" s="8" t="s">
        <v>9112</v>
      </c>
      <c r="J231" s="12"/>
      <c r="K231" s="8" t="s">
        <v>9113</v>
      </c>
      <c r="L231" s="8">
        <v>11.0</v>
      </c>
      <c r="M231" s="8" t="s">
        <v>1295</v>
      </c>
      <c r="N231" s="12"/>
      <c r="O231" s="12"/>
      <c r="P231" s="12"/>
    </row>
    <row r="232">
      <c r="A232" s="8" t="s">
        <v>9114</v>
      </c>
      <c r="B232" s="12"/>
      <c r="C232" s="12"/>
      <c r="D232" s="12"/>
      <c r="E232" s="12"/>
      <c r="F232" s="12"/>
      <c r="G232" s="12" t="b">
        <v>0</v>
      </c>
      <c r="H232" s="8" t="s">
        <v>9115</v>
      </c>
      <c r="I232" s="8" t="s">
        <v>9116</v>
      </c>
      <c r="J232" s="12"/>
      <c r="K232" s="8" t="s">
        <v>9117</v>
      </c>
      <c r="L232" s="8">
        <v>55.0</v>
      </c>
      <c r="M232" s="8" t="s">
        <v>9118</v>
      </c>
      <c r="N232" s="8" t="s">
        <v>9119</v>
      </c>
      <c r="O232" s="8" t="s">
        <v>9120</v>
      </c>
      <c r="P232" s="28" t="s">
        <v>9121</v>
      </c>
    </row>
    <row r="233">
      <c r="A233" s="8" t="s">
        <v>9122</v>
      </c>
      <c r="B233" s="12"/>
      <c r="C233" s="12"/>
      <c r="D233" s="12"/>
      <c r="E233" s="12"/>
      <c r="F233" s="12"/>
      <c r="G233" s="12" t="b">
        <v>0</v>
      </c>
      <c r="H233" s="8" t="s">
        <v>9123</v>
      </c>
      <c r="I233" s="8" t="s">
        <v>9124</v>
      </c>
      <c r="J233" s="12"/>
      <c r="K233" s="8" t="s">
        <v>9125</v>
      </c>
      <c r="L233" s="8">
        <v>31.0</v>
      </c>
      <c r="M233" s="8" t="s">
        <v>1295</v>
      </c>
      <c r="N233" s="12"/>
      <c r="O233" s="12"/>
      <c r="P233" s="28" t="s">
        <v>9126</v>
      </c>
    </row>
    <row r="234">
      <c r="A234" s="8" t="s">
        <v>9127</v>
      </c>
      <c r="B234" s="12"/>
      <c r="C234" s="12"/>
      <c r="D234" s="12"/>
      <c r="E234" s="12"/>
      <c r="F234" s="12"/>
      <c r="G234" s="12" t="b">
        <v>0</v>
      </c>
      <c r="H234" s="8" t="s">
        <v>9128</v>
      </c>
      <c r="I234" s="8" t="s">
        <v>9129</v>
      </c>
      <c r="J234" s="12"/>
      <c r="K234" s="8" t="s">
        <v>9058</v>
      </c>
      <c r="L234" s="8">
        <v>16.0</v>
      </c>
      <c r="M234" s="8" t="s">
        <v>9130</v>
      </c>
      <c r="N234" s="12"/>
      <c r="O234" s="8" t="s">
        <v>9131</v>
      </c>
      <c r="P234" s="28" t="s">
        <v>9132</v>
      </c>
    </row>
    <row r="235">
      <c r="A235" s="8" t="s">
        <v>9133</v>
      </c>
      <c r="B235" s="12"/>
      <c r="C235" s="12"/>
      <c r="D235" s="12"/>
      <c r="E235" s="12"/>
      <c r="F235" s="12"/>
      <c r="G235" s="12" t="b">
        <v>0</v>
      </c>
      <c r="H235" s="8" t="s">
        <v>9134</v>
      </c>
      <c r="I235" s="8" t="s">
        <v>9135</v>
      </c>
      <c r="J235" s="12"/>
      <c r="K235" s="8" t="s">
        <v>8150</v>
      </c>
      <c r="L235" s="8">
        <v>67.0</v>
      </c>
      <c r="M235" s="8" t="s">
        <v>9136</v>
      </c>
      <c r="N235" s="12"/>
      <c r="O235" s="8" t="s">
        <v>9137</v>
      </c>
      <c r="P235" s="28" t="s">
        <v>9138</v>
      </c>
    </row>
    <row r="236">
      <c r="A236" s="8" t="s">
        <v>9139</v>
      </c>
      <c r="B236" s="12"/>
      <c r="C236" s="12"/>
      <c r="D236" s="12"/>
      <c r="E236" s="12"/>
      <c r="F236" s="12"/>
      <c r="G236" s="12" t="b">
        <v>0</v>
      </c>
      <c r="H236" s="8" t="s">
        <v>9140</v>
      </c>
      <c r="I236" s="8" t="s">
        <v>9141</v>
      </c>
      <c r="J236" s="12"/>
      <c r="K236" s="8" t="s">
        <v>7854</v>
      </c>
      <c r="L236" s="8">
        <v>60.0</v>
      </c>
      <c r="M236" s="8" t="s">
        <v>9142</v>
      </c>
      <c r="N236" s="12"/>
      <c r="O236" s="8" t="s">
        <v>9143</v>
      </c>
      <c r="P236" s="28" t="s">
        <v>9144</v>
      </c>
    </row>
    <row r="237">
      <c r="A237" s="8" t="s">
        <v>9145</v>
      </c>
      <c r="B237" s="12"/>
      <c r="C237" s="12"/>
      <c r="D237" s="12"/>
      <c r="E237" s="12"/>
      <c r="F237" s="12"/>
      <c r="G237" s="12" t="b">
        <v>0</v>
      </c>
      <c r="H237" s="8" t="s">
        <v>9146</v>
      </c>
      <c r="I237" s="8" t="s">
        <v>9147</v>
      </c>
      <c r="J237" s="12"/>
      <c r="K237" s="8" t="s">
        <v>7804</v>
      </c>
      <c r="L237" s="8">
        <v>40.0</v>
      </c>
      <c r="M237" s="8" t="s">
        <v>9148</v>
      </c>
      <c r="N237" s="12"/>
      <c r="O237" s="8" t="s">
        <v>9149</v>
      </c>
      <c r="P237" s="28" t="s">
        <v>9150</v>
      </c>
    </row>
    <row r="238">
      <c r="A238" s="8" t="s">
        <v>9151</v>
      </c>
      <c r="B238" s="12"/>
      <c r="C238" s="12"/>
      <c r="D238" s="12"/>
      <c r="E238" s="12"/>
      <c r="F238" s="12"/>
      <c r="G238" s="12" t="b">
        <v>0</v>
      </c>
      <c r="H238" s="8" t="s">
        <v>9152</v>
      </c>
      <c r="I238" s="8" t="s">
        <v>9153</v>
      </c>
      <c r="J238" s="12"/>
      <c r="K238" s="8" t="s">
        <v>7722</v>
      </c>
      <c r="L238" s="8">
        <v>11.0</v>
      </c>
      <c r="M238" s="8" t="s">
        <v>9154</v>
      </c>
      <c r="N238" s="12"/>
      <c r="O238" s="8" t="s">
        <v>9155</v>
      </c>
      <c r="P238" s="28" t="s">
        <v>9156</v>
      </c>
    </row>
    <row r="239">
      <c r="A239" s="8" t="s">
        <v>9157</v>
      </c>
      <c r="B239" s="12"/>
      <c r="C239" s="12"/>
      <c r="D239" s="12"/>
      <c r="E239" s="12"/>
      <c r="F239" s="12"/>
      <c r="G239" s="12" t="b">
        <v>0</v>
      </c>
      <c r="H239" s="8" t="s">
        <v>9158</v>
      </c>
      <c r="I239" s="8" t="s">
        <v>9159</v>
      </c>
      <c r="J239" s="12"/>
      <c r="K239" s="8" t="s">
        <v>7920</v>
      </c>
      <c r="L239" s="8">
        <v>20.0</v>
      </c>
      <c r="M239" s="8" t="s">
        <v>9160</v>
      </c>
      <c r="N239" s="8" t="s">
        <v>9161</v>
      </c>
      <c r="O239" s="8" t="s">
        <v>9162</v>
      </c>
      <c r="P239" s="28" t="s">
        <v>9163</v>
      </c>
    </row>
    <row r="240">
      <c r="A240" s="8" t="s">
        <v>9164</v>
      </c>
      <c r="B240" s="12"/>
      <c r="C240" s="12"/>
      <c r="D240" s="12"/>
      <c r="E240" s="12"/>
      <c r="F240" s="12"/>
      <c r="G240" s="12" t="b">
        <v>0</v>
      </c>
      <c r="H240" s="8" t="s">
        <v>9165</v>
      </c>
      <c r="I240" s="8" t="s">
        <v>9166</v>
      </c>
      <c r="J240" s="12"/>
      <c r="K240" s="8" t="s">
        <v>9167</v>
      </c>
      <c r="L240" s="8">
        <v>40.0</v>
      </c>
      <c r="M240" s="8" t="s">
        <v>9168</v>
      </c>
      <c r="N240" s="12"/>
      <c r="O240" s="8" t="s">
        <v>9169</v>
      </c>
      <c r="P240" s="28" t="s">
        <v>9170</v>
      </c>
    </row>
    <row r="241">
      <c r="A241" s="8" t="s">
        <v>9171</v>
      </c>
      <c r="B241" s="12"/>
      <c r="C241" s="12"/>
      <c r="D241" s="12"/>
      <c r="E241" s="12"/>
      <c r="F241" s="12"/>
      <c r="G241" s="12" t="b">
        <v>0</v>
      </c>
      <c r="H241" s="8" t="s">
        <v>9172</v>
      </c>
      <c r="I241" s="8" t="s">
        <v>9173</v>
      </c>
      <c r="J241" s="12"/>
      <c r="K241" s="8" t="s">
        <v>9174</v>
      </c>
      <c r="L241" s="8">
        <v>32.0</v>
      </c>
      <c r="M241" s="8" t="s">
        <v>1295</v>
      </c>
      <c r="N241" s="12"/>
      <c r="O241" s="12"/>
      <c r="P241" s="28" t="s">
        <v>9175</v>
      </c>
    </row>
    <row r="242">
      <c r="A242" s="8" t="s">
        <v>9176</v>
      </c>
      <c r="B242" s="12"/>
      <c r="C242" s="12"/>
      <c r="D242" s="12"/>
      <c r="E242" s="12"/>
      <c r="F242" s="12"/>
      <c r="G242" s="12" t="b">
        <v>0</v>
      </c>
      <c r="H242" s="8" t="s">
        <v>9177</v>
      </c>
      <c r="I242" s="8" t="s">
        <v>9178</v>
      </c>
      <c r="J242" s="12"/>
      <c r="K242" s="8" t="s">
        <v>8192</v>
      </c>
      <c r="L242" s="8">
        <v>55.0</v>
      </c>
      <c r="M242" s="8" t="s">
        <v>9179</v>
      </c>
      <c r="N242" s="12"/>
      <c r="O242" s="8" t="s">
        <v>8052</v>
      </c>
      <c r="P242" s="28" t="s">
        <v>9180</v>
      </c>
    </row>
    <row r="243">
      <c r="A243" s="8" t="s">
        <v>9181</v>
      </c>
      <c r="B243" s="12"/>
      <c r="C243" s="12"/>
      <c r="D243" s="12"/>
      <c r="E243" s="12"/>
      <c r="F243" s="12"/>
      <c r="G243" s="12" t="b">
        <v>0</v>
      </c>
      <c r="H243" s="8" t="s">
        <v>9182</v>
      </c>
      <c r="I243" s="8" t="s">
        <v>9183</v>
      </c>
      <c r="J243" s="12"/>
      <c r="K243" s="8" t="s">
        <v>8041</v>
      </c>
      <c r="L243" s="8">
        <v>70.0</v>
      </c>
      <c r="M243" s="8" t="s">
        <v>9184</v>
      </c>
      <c r="N243" s="12"/>
      <c r="O243" s="8" t="s">
        <v>9185</v>
      </c>
      <c r="P243" s="28" t="s">
        <v>9186</v>
      </c>
    </row>
    <row r="244">
      <c r="A244" s="8" t="s">
        <v>9187</v>
      </c>
      <c r="B244" s="12"/>
      <c r="C244" s="12"/>
      <c r="D244" s="12"/>
      <c r="E244" s="12"/>
      <c r="F244" s="12"/>
      <c r="G244" s="12" t="b">
        <v>0</v>
      </c>
      <c r="H244" s="8" t="s">
        <v>9188</v>
      </c>
      <c r="I244" s="8" t="s">
        <v>9189</v>
      </c>
      <c r="J244" s="12"/>
      <c r="K244" s="8" t="s">
        <v>7722</v>
      </c>
      <c r="L244" s="8">
        <v>11.0</v>
      </c>
      <c r="M244" s="8" t="s">
        <v>9190</v>
      </c>
      <c r="N244" s="12"/>
      <c r="O244" s="8" t="s">
        <v>8273</v>
      </c>
      <c r="P244" s="28" t="s">
        <v>9191</v>
      </c>
    </row>
    <row r="245">
      <c r="A245" s="8" t="s">
        <v>9192</v>
      </c>
      <c r="B245" s="12"/>
      <c r="C245" s="12"/>
      <c r="D245" s="12"/>
      <c r="E245" s="12"/>
      <c r="F245" s="12"/>
      <c r="G245" s="12" t="b">
        <v>0</v>
      </c>
      <c r="H245" s="8" t="s">
        <v>9193</v>
      </c>
      <c r="I245" s="8" t="s">
        <v>9194</v>
      </c>
      <c r="J245" s="12"/>
      <c r="K245" s="8" t="s">
        <v>7722</v>
      </c>
      <c r="L245" s="8">
        <v>13.0</v>
      </c>
      <c r="M245" s="8" t="s">
        <v>1295</v>
      </c>
      <c r="N245" s="12"/>
      <c r="O245" s="12"/>
      <c r="P245" s="28" t="s">
        <v>9195</v>
      </c>
    </row>
    <row r="246">
      <c r="A246" s="8" t="s">
        <v>9196</v>
      </c>
      <c r="B246" s="12"/>
      <c r="C246" s="12"/>
      <c r="D246" s="12"/>
      <c r="E246" s="12"/>
      <c r="F246" s="12"/>
      <c r="G246" s="12" t="b">
        <v>0</v>
      </c>
      <c r="H246" s="8" t="s">
        <v>9197</v>
      </c>
      <c r="I246" s="8" t="s">
        <v>9198</v>
      </c>
      <c r="J246" s="12"/>
      <c r="K246" s="8" t="s">
        <v>7722</v>
      </c>
      <c r="L246" s="8">
        <v>22.0</v>
      </c>
      <c r="M246" s="8" t="s">
        <v>9199</v>
      </c>
      <c r="N246" s="12"/>
      <c r="O246" s="8" t="s">
        <v>9200</v>
      </c>
      <c r="P246" s="28" t="s">
        <v>9201</v>
      </c>
    </row>
    <row r="247">
      <c r="A247" s="8" t="s">
        <v>9202</v>
      </c>
      <c r="B247" s="12"/>
      <c r="C247" s="12"/>
      <c r="D247" s="12"/>
      <c r="E247" s="12"/>
      <c r="F247" s="12"/>
      <c r="G247" s="12" t="b">
        <v>0</v>
      </c>
      <c r="H247" s="8" t="s">
        <v>9203</v>
      </c>
      <c r="I247" s="8" t="s">
        <v>9204</v>
      </c>
      <c r="J247" s="12"/>
      <c r="K247" s="12"/>
      <c r="L247" s="8">
        <v>25.0</v>
      </c>
      <c r="M247" s="8" t="s">
        <v>9205</v>
      </c>
      <c r="N247" s="12"/>
      <c r="O247" s="8" t="s">
        <v>9206</v>
      </c>
      <c r="P247" s="28" t="s">
        <v>9207</v>
      </c>
    </row>
    <row r="248">
      <c r="A248" s="8" t="s">
        <v>9208</v>
      </c>
      <c r="B248" s="12"/>
      <c r="C248" s="12"/>
      <c r="D248" s="12"/>
      <c r="E248" s="12"/>
      <c r="F248" s="12"/>
      <c r="G248" s="12" t="b">
        <v>0</v>
      </c>
      <c r="H248" s="8" t="s">
        <v>9209</v>
      </c>
      <c r="I248" s="8" t="s">
        <v>9210</v>
      </c>
      <c r="J248" s="12"/>
      <c r="K248" s="8" t="s">
        <v>9211</v>
      </c>
      <c r="L248" s="8">
        <v>11.0</v>
      </c>
      <c r="M248" s="8" t="s">
        <v>1295</v>
      </c>
      <c r="N248" s="12"/>
      <c r="O248" s="12"/>
      <c r="P248" s="12"/>
    </row>
    <row r="249">
      <c r="A249" s="8" t="s">
        <v>1666</v>
      </c>
      <c r="B249" s="12"/>
      <c r="C249" s="12"/>
      <c r="D249" s="12"/>
      <c r="E249" s="12"/>
      <c r="F249" s="12"/>
      <c r="G249" s="12" t="b">
        <v>0</v>
      </c>
      <c r="H249" s="8" t="s">
        <v>1669</v>
      </c>
      <c r="I249" s="8" t="s">
        <v>9212</v>
      </c>
      <c r="J249" s="12"/>
      <c r="K249" s="8" t="s">
        <v>7804</v>
      </c>
      <c r="L249" s="8">
        <v>28.0</v>
      </c>
      <c r="M249" s="8" t="s">
        <v>9213</v>
      </c>
      <c r="N249" s="12"/>
      <c r="O249" s="8" t="s">
        <v>8928</v>
      </c>
      <c r="P249" s="28" t="s">
        <v>9214</v>
      </c>
    </row>
    <row r="250">
      <c r="A250" s="8" t="s">
        <v>9215</v>
      </c>
      <c r="B250" s="12"/>
      <c r="C250" s="12"/>
      <c r="D250" s="12"/>
      <c r="E250" s="12"/>
      <c r="F250" s="12"/>
      <c r="G250" s="12" t="b">
        <v>0</v>
      </c>
      <c r="H250" s="8" t="s">
        <v>9216</v>
      </c>
      <c r="I250" s="8" t="s">
        <v>9217</v>
      </c>
      <c r="J250" s="12"/>
      <c r="K250" s="8" t="s">
        <v>8648</v>
      </c>
      <c r="L250" s="8">
        <v>10.0</v>
      </c>
      <c r="M250" s="8" t="s">
        <v>9218</v>
      </c>
      <c r="N250" s="12"/>
      <c r="O250" s="8" t="s">
        <v>9206</v>
      </c>
      <c r="P250" s="28" t="s">
        <v>9219</v>
      </c>
    </row>
    <row r="251">
      <c r="A251" s="8" t="s">
        <v>2387</v>
      </c>
      <c r="B251" s="12"/>
      <c r="C251" s="12"/>
      <c r="D251" s="12"/>
      <c r="E251" s="12"/>
      <c r="F251" s="12"/>
      <c r="G251" s="12" t="b">
        <v>0</v>
      </c>
      <c r="H251" s="8" t="s">
        <v>2389</v>
      </c>
      <c r="I251" s="8" t="s">
        <v>9220</v>
      </c>
      <c r="J251" s="12"/>
      <c r="K251" s="8" t="s">
        <v>8141</v>
      </c>
      <c r="L251" s="8">
        <v>70.0</v>
      </c>
      <c r="M251" s="8" t="s">
        <v>1295</v>
      </c>
      <c r="N251" s="12"/>
      <c r="O251" s="12"/>
      <c r="P251" s="28" t="s">
        <v>9221</v>
      </c>
    </row>
    <row r="252">
      <c r="A252" s="8" t="s">
        <v>9222</v>
      </c>
      <c r="B252" s="12"/>
      <c r="C252" s="12"/>
      <c r="D252" s="12"/>
      <c r="E252" s="12"/>
      <c r="F252" s="12"/>
      <c r="G252" s="12" t="b">
        <v>0</v>
      </c>
      <c r="H252" s="8" t="s">
        <v>9223</v>
      </c>
      <c r="I252" s="8" t="s">
        <v>9224</v>
      </c>
      <c r="J252" s="12"/>
      <c r="K252" s="8" t="s">
        <v>7722</v>
      </c>
      <c r="L252" s="8">
        <v>40.0</v>
      </c>
      <c r="M252" s="8" t="s">
        <v>9225</v>
      </c>
      <c r="N252" s="12"/>
      <c r="O252" s="8" t="s">
        <v>8153</v>
      </c>
      <c r="P252" s="28" t="s">
        <v>9226</v>
      </c>
    </row>
    <row r="253">
      <c r="A253" s="8" t="s">
        <v>9227</v>
      </c>
      <c r="B253" s="12"/>
      <c r="C253" s="12"/>
      <c r="D253" s="12"/>
      <c r="E253" s="12"/>
      <c r="F253" s="12"/>
      <c r="G253" s="12" t="b">
        <v>0</v>
      </c>
      <c r="H253" s="8" t="s">
        <v>9228</v>
      </c>
      <c r="I253" s="8" t="s">
        <v>9229</v>
      </c>
      <c r="J253" s="12"/>
      <c r="K253" s="8" t="s">
        <v>9038</v>
      </c>
      <c r="L253" s="8">
        <v>20.0</v>
      </c>
      <c r="M253" s="8" t="s">
        <v>1295</v>
      </c>
      <c r="N253" s="12"/>
      <c r="O253" s="12"/>
      <c r="P253" s="12"/>
    </row>
    <row r="254">
      <c r="A254" s="8" t="s">
        <v>9230</v>
      </c>
      <c r="B254" s="12"/>
      <c r="C254" s="12"/>
      <c r="D254" s="12"/>
      <c r="E254" s="12"/>
      <c r="F254" s="12"/>
      <c r="G254" s="12" t="b">
        <v>0</v>
      </c>
      <c r="H254" s="8" t="s">
        <v>9231</v>
      </c>
      <c r="I254" s="8" t="s">
        <v>9232</v>
      </c>
      <c r="J254" s="12"/>
      <c r="K254" s="8" t="s">
        <v>7854</v>
      </c>
      <c r="L254" s="8">
        <v>45.0</v>
      </c>
      <c r="M254" s="8" t="s">
        <v>9233</v>
      </c>
      <c r="N254" s="12"/>
      <c r="O254" s="8" t="s">
        <v>8606</v>
      </c>
      <c r="P254" s="28" t="s">
        <v>9234</v>
      </c>
    </row>
    <row r="255">
      <c r="A255" s="8" t="s">
        <v>9235</v>
      </c>
      <c r="B255" s="12"/>
      <c r="C255" s="12"/>
      <c r="D255" s="12"/>
      <c r="E255" s="12"/>
      <c r="F255" s="12"/>
      <c r="G255" s="12" t="b">
        <v>0</v>
      </c>
      <c r="H255" s="8" t="s">
        <v>9236</v>
      </c>
      <c r="I255" s="8" t="s">
        <v>9237</v>
      </c>
      <c r="J255" s="12"/>
      <c r="K255" s="8" t="s">
        <v>8271</v>
      </c>
      <c r="L255" s="8">
        <v>15.0</v>
      </c>
      <c r="M255" s="8" t="s">
        <v>9238</v>
      </c>
      <c r="N255" s="12"/>
      <c r="O255" s="8" t="s">
        <v>8710</v>
      </c>
      <c r="P255" s="28" t="s">
        <v>9239</v>
      </c>
    </row>
    <row r="256">
      <c r="A256" s="8" t="s">
        <v>9240</v>
      </c>
      <c r="B256" s="12"/>
      <c r="C256" s="12"/>
      <c r="D256" s="12"/>
      <c r="E256" s="12"/>
      <c r="F256" s="12"/>
      <c r="G256" s="12" t="b">
        <v>0</v>
      </c>
      <c r="H256" s="8" t="s">
        <v>9241</v>
      </c>
      <c r="I256" s="8" t="s">
        <v>9242</v>
      </c>
      <c r="J256" s="12"/>
      <c r="K256" s="8" t="s">
        <v>8141</v>
      </c>
      <c r="L256" s="8">
        <v>70.0</v>
      </c>
      <c r="M256" s="8" t="s">
        <v>1295</v>
      </c>
      <c r="N256" s="12"/>
      <c r="O256" s="12"/>
      <c r="P256" s="28" t="s">
        <v>9243</v>
      </c>
    </row>
    <row r="257">
      <c r="A257" s="8" t="s">
        <v>9244</v>
      </c>
      <c r="B257" s="12"/>
      <c r="C257" s="12"/>
      <c r="D257" s="12"/>
      <c r="E257" s="12"/>
      <c r="F257" s="12"/>
      <c r="G257" s="12" t="b">
        <v>0</v>
      </c>
      <c r="H257" s="8" t="s">
        <v>9245</v>
      </c>
      <c r="I257" s="8" t="s">
        <v>9246</v>
      </c>
      <c r="J257" s="12"/>
      <c r="K257" s="8" t="s">
        <v>7722</v>
      </c>
      <c r="L257" s="8">
        <v>51.0</v>
      </c>
      <c r="M257" s="8" t="s">
        <v>9247</v>
      </c>
      <c r="N257" s="12"/>
      <c r="O257" s="8" t="s">
        <v>9248</v>
      </c>
      <c r="P257" s="28" t="s">
        <v>9249</v>
      </c>
    </row>
    <row r="258">
      <c r="A258" s="8" t="s">
        <v>9250</v>
      </c>
      <c r="B258" s="12"/>
      <c r="C258" s="12"/>
      <c r="D258" s="12"/>
      <c r="E258" s="12"/>
      <c r="F258" s="12"/>
      <c r="G258" s="12" t="b">
        <v>0</v>
      </c>
      <c r="H258" s="8" t="s">
        <v>9251</v>
      </c>
      <c r="I258" s="8" t="s">
        <v>9252</v>
      </c>
      <c r="J258" s="12"/>
      <c r="K258" s="8" t="s">
        <v>7722</v>
      </c>
      <c r="L258" s="8">
        <v>45.0</v>
      </c>
      <c r="M258" s="8" t="s">
        <v>9253</v>
      </c>
      <c r="N258" s="12"/>
      <c r="O258" s="8" t="s">
        <v>9254</v>
      </c>
      <c r="P258" s="28" t="s">
        <v>9255</v>
      </c>
    </row>
    <row r="259">
      <c r="A259" s="8" t="s">
        <v>9256</v>
      </c>
      <c r="B259" s="12"/>
      <c r="C259" s="12"/>
      <c r="D259" s="12"/>
      <c r="E259" s="12"/>
      <c r="F259" s="12"/>
      <c r="G259" s="12" t="b">
        <v>0</v>
      </c>
      <c r="H259" s="8" t="s">
        <v>9257</v>
      </c>
      <c r="I259" s="12"/>
      <c r="J259" s="12"/>
      <c r="K259" s="8" t="s">
        <v>7920</v>
      </c>
      <c r="L259" s="8">
        <v>51.0</v>
      </c>
      <c r="M259" s="8" t="s">
        <v>9258</v>
      </c>
      <c r="N259" s="12"/>
      <c r="O259" s="8" t="s">
        <v>9259</v>
      </c>
      <c r="P259" s="12"/>
    </row>
    <row r="260">
      <c r="A260" s="8" t="s">
        <v>9260</v>
      </c>
      <c r="B260" s="12"/>
      <c r="C260" s="12"/>
      <c r="D260" s="12"/>
      <c r="E260" s="12"/>
      <c r="F260" s="12"/>
      <c r="G260" s="12" t="b">
        <v>0</v>
      </c>
      <c r="H260" s="8" t="s">
        <v>9261</v>
      </c>
      <c r="I260" s="8" t="s">
        <v>9262</v>
      </c>
      <c r="J260" s="12"/>
      <c r="K260" s="8" t="s">
        <v>9058</v>
      </c>
      <c r="L260" s="8">
        <v>12.0</v>
      </c>
      <c r="M260" s="8" t="s">
        <v>9263</v>
      </c>
      <c r="N260" s="12"/>
      <c r="O260" s="8" t="s">
        <v>9264</v>
      </c>
      <c r="P260" s="28" t="s">
        <v>9265</v>
      </c>
    </row>
    <row r="261">
      <c r="A261" s="8" t="s">
        <v>9266</v>
      </c>
      <c r="B261" s="12"/>
      <c r="C261" s="12"/>
      <c r="D261" s="12"/>
      <c r="E261" s="12"/>
      <c r="F261" s="12"/>
      <c r="G261" s="12" t="b">
        <v>0</v>
      </c>
      <c r="H261" s="8" t="s">
        <v>9267</v>
      </c>
      <c r="I261" s="8" t="s">
        <v>9268</v>
      </c>
      <c r="J261" s="12"/>
      <c r="K261" s="8" t="s">
        <v>7722</v>
      </c>
      <c r="L261" s="8">
        <v>11.0</v>
      </c>
      <c r="M261" s="8" t="s">
        <v>9269</v>
      </c>
      <c r="N261" s="12"/>
      <c r="O261" s="8" t="s">
        <v>9270</v>
      </c>
      <c r="P261" s="12"/>
    </row>
    <row r="262">
      <c r="A262" s="8" t="s">
        <v>9271</v>
      </c>
      <c r="B262" s="12"/>
      <c r="C262" s="12"/>
      <c r="D262" s="12"/>
      <c r="E262" s="12"/>
      <c r="F262" s="12"/>
      <c r="G262" s="12" t="b">
        <v>0</v>
      </c>
      <c r="H262" s="8" t="s">
        <v>9272</v>
      </c>
      <c r="I262" s="8" t="s">
        <v>9273</v>
      </c>
      <c r="J262" s="12"/>
      <c r="K262" s="8" t="s">
        <v>7722</v>
      </c>
      <c r="L262" s="8">
        <v>14.0</v>
      </c>
      <c r="M262" s="8" t="s">
        <v>9274</v>
      </c>
      <c r="N262" s="12"/>
      <c r="O262" s="8" t="s">
        <v>9275</v>
      </c>
      <c r="P262" s="28" t="s">
        <v>9276</v>
      </c>
    </row>
    <row r="263">
      <c r="A263" s="8" t="s">
        <v>9277</v>
      </c>
      <c r="B263" s="12"/>
      <c r="C263" s="12"/>
      <c r="D263" s="12"/>
      <c r="E263" s="12"/>
      <c r="F263" s="12"/>
      <c r="G263" s="12" t="b">
        <v>0</v>
      </c>
      <c r="H263" s="8" t="s">
        <v>9278</v>
      </c>
      <c r="I263" s="8" t="s">
        <v>9279</v>
      </c>
      <c r="J263" s="12"/>
      <c r="K263" s="8" t="s">
        <v>8271</v>
      </c>
      <c r="L263" s="8">
        <v>52.0</v>
      </c>
      <c r="M263" s="8" t="s">
        <v>9280</v>
      </c>
      <c r="N263" s="12"/>
      <c r="O263" s="8" t="s">
        <v>8596</v>
      </c>
      <c r="P263" s="28" t="s">
        <v>9281</v>
      </c>
    </row>
    <row r="264">
      <c r="A264" s="8" t="s">
        <v>9282</v>
      </c>
      <c r="B264" s="12"/>
      <c r="C264" s="12"/>
      <c r="D264" s="12"/>
      <c r="E264" s="12"/>
      <c r="F264" s="12"/>
      <c r="G264" s="12" t="b">
        <v>0</v>
      </c>
      <c r="H264" s="8" t="s">
        <v>9283</v>
      </c>
      <c r="I264" s="8" t="s">
        <v>9284</v>
      </c>
      <c r="J264" s="12"/>
      <c r="K264" s="8" t="s">
        <v>8368</v>
      </c>
      <c r="L264" s="8">
        <v>50.0</v>
      </c>
      <c r="M264" s="8" t="s">
        <v>1295</v>
      </c>
      <c r="N264" s="12"/>
      <c r="O264" s="12"/>
      <c r="P264" s="28" t="s">
        <v>9285</v>
      </c>
    </row>
    <row r="265">
      <c r="A265" s="8" t="s">
        <v>9286</v>
      </c>
      <c r="B265" s="12"/>
      <c r="C265" s="12"/>
      <c r="D265" s="12"/>
      <c r="E265" s="12"/>
      <c r="F265" s="12"/>
      <c r="G265" s="12" t="b">
        <v>0</v>
      </c>
      <c r="H265" s="8" t="s">
        <v>9287</v>
      </c>
      <c r="I265" s="8" t="s">
        <v>9288</v>
      </c>
      <c r="J265" s="12"/>
      <c r="K265" s="8" t="s">
        <v>7722</v>
      </c>
      <c r="L265" s="8">
        <v>14.0</v>
      </c>
      <c r="M265" s="8" t="s">
        <v>1295</v>
      </c>
      <c r="N265" s="12"/>
      <c r="O265" s="12"/>
      <c r="P265" s="28" t="s">
        <v>9289</v>
      </c>
    </row>
    <row r="266">
      <c r="A266" s="8" t="s">
        <v>9290</v>
      </c>
      <c r="B266" s="12"/>
      <c r="C266" s="12"/>
      <c r="D266" s="12"/>
      <c r="E266" s="12"/>
      <c r="F266" s="12"/>
      <c r="G266" s="12" t="b">
        <v>0</v>
      </c>
      <c r="H266" s="8" t="s">
        <v>9291</v>
      </c>
      <c r="I266" s="8" t="s">
        <v>9292</v>
      </c>
      <c r="J266" s="12"/>
      <c r="K266" s="8" t="s">
        <v>8141</v>
      </c>
      <c r="L266" s="8">
        <v>70.0</v>
      </c>
      <c r="M266" s="8" t="s">
        <v>9293</v>
      </c>
      <c r="N266" s="12"/>
      <c r="O266" s="8" t="s">
        <v>9294</v>
      </c>
      <c r="P266" s="28" t="s">
        <v>9295</v>
      </c>
    </row>
    <row r="267">
      <c r="A267" s="8" t="s">
        <v>9296</v>
      </c>
      <c r="B267" s="12"/>
      <c r="C267" s="12"/>
      <c r="D267" s="12"/>
      <c r="E267" s="12"/>
      <c r="F267" s="12"/>
      <c r="G267" s="12" t="b">
        <v>0</v>
      </c>
      <c r="H267" s="8" t="s">
        <v>9297</v>
      </c>
      <c r="I267" s="8" t="s">
        <v>9298</v>
      </c>
      <c r="J267" s="12"/>
      <c r="K267" s="8" t="s">
        <v>9299</v>
      </c>
      <c r="L267" s="8">
        <v>20.0</v>
      </c>
      <c r="M267" s="8" t="s">
        <v>9300</v>
      </c>
      <c r="N267" s="12"/>
      <c r="O267" s="8" t="s">
        <v>9301</v>
      </c>
      <c r="P267" s="28" t="s">
        <v>9302</v>
      </c>
    </row>
    <row r="268">
      <c r="A268" s="8" t="s">
        <v>9303</v>
      </c>
      <c r="B268" s="12"/>
      <c r="C268" s="12"/>
      <c r="D268" s="12"/>
      <c r="E268" s="12"/>
      <c r="F268" s="12"/>
      <c r="G268" s="12" t="b">
        <v>0</v>
      </c>
      <c r="H268" s="8" t="s">
        <v>9304</v>
      </c>
      <c r="I268" s="8" t="s">
        <v>9305</v>
      </c>
      <c r="J268" s="12"/>
      <c r="K268" s="8" t="s">
        <v>8271</v>
      </c>
      <c r="L268" s="8">
        <v>12.0</v>
      </c>
      <c r="M268" s="8" t="s">
        <v>9306</v>
      </c>
      <c r="N268" s="12"/>
      <c r="O268" s="8" t="s">
        <v>9307</v>
      </c>
      <c r="P268" s="28" t="s">
        <v>9308</v>
      </c>
    </row>
    <row r="269">
      <c r="A269" s="8" t="s">
        <v>9309</v>
      </c>
      <c r="B269" s="12"/>
      <c r="C269" s="12"/>
      <c r="D269" s="12"/>
      <c r="E269" s="12"/>
      <c r="F269" s="12"/>
      <c r="G269" s="12" t="b">
        <v>0</v>
      </c>
      <c r="H269" s="8" t="s">
        <v>9310</v>
      </c>
      <c r="I269" s="8" t="s">
        <v>9311</v>
      </c>
      <c r="J269" s="12"/>
      <c r="K269" s="8" t="s">
        <v>8109</v>
      </c>
      <c r="L269" s="8">
        <v>14.0</v>
      </c>
      <c r="M269" s="8" t="s">
        <v>9312</v>
      </c>
      <c r="N269" s="12"/>
      <c r="O269" s="8" t="s">
        <v>9313</v>
      </c>
      <c r="P269" s="28" t="s">
        <v>9314</v>
      </c>
    </row>
    <row r="270">
      <c r="A270" s="8" t="s">
        <v>9315</v>
      </c>
      <c r="B270" s="12"/>
      <c r="C270" s="12"/>
      <c r="D270" s="12"/>
      <c r="E270" s="12"/>
      <c r="F270" s="12"/>
      <c r="G270" s="12" t="b">
        <v>0</v>
      </c>
      <c r="H270" s="8" t="s">
        <v>9316</v>
      </c>
      <c r="I270" s="8" t="s">
        <v>9317</v>
      </c>
      <c r="J270" s="12"/>
      <c r="K270" s="8" t="s">
        <v>9299</v>
      </c>
      <c r="L270" s="8">
        <v>40.0</v>
      </c>
      <c r="M270" s="8" t="s">
        <v>9318</v>
      </c>
      <c r="N270" s="12"/>
      <c r="O270" s="8" t="s">
        <v>9319</v>
      </c>
      <c r="P270" s="28" t="s">
        <v>9320</v>
      </c>
    </row>
    <row r="271">
      <c r="A271" s="8" t="s">
        <v>9321</v>
      </c>
      <c r="B271" s="12"/>
      <c r="C271" s="12"/>
      <c r="D271" s="12"/>
      <c r="E271" s="12"/>
      <c r="F271" s="12"/>
      <c r="G271" s="12" t="b">
        <v>0</v>
      </c>
      <c r="H271" s="8" t="s">
        <v>9322</v>
      </c>
      <c r="I271" s="8" t="s">
        <v>9323</v>
      </c>
      <c r="J271" s="12"/>
      <c r="K271" s="8" t="s">
        <v>8337</v>
      </c>
      <c r="L271" s="8">
        <v>80.0</v>
      </c>
      <c r="M271" s="8" t="s">
        <v>9324</v>
      </c>
      <c r="N271" s="12"/>
      <c r="O271" s="8" t="s">
        <v>9325</v>
      </c>
      <c r="P271" s="28" t="s">
        <v>9326</v>
      </c>
    </row>
    <row r="272">
      <c r="A272" s="8" t="s">
        <v>9327</v>
      </c>
      <c r="B272" s="12"/>
      <c r="C272" s="12"/>
      <c r="D272" s="12"/>
      <c r="E272" s="12"/>
      <c r="F272" s="12"/>
      <c r="G272" s="12" t="b">
        <v>0</v>
      </c>
      <c r="H272" s="8" t="s">
        <v>9328</v>
      </c>
      <c r="I272" s="8" t="s">
        <v>9329</v>
      </c>
      <c r="J272" s="12"/>
      <c r="K272" s="8" t="s">
        <v>7722</v>
      </c>
      <c r="L272" s="8">
        <v>11.0</v>
      </c>
      <c r="M272" s="8" t="s">
        <v>1295</v>
      </c>
      <c r="N272" s="12"/>
      <c r="O272" s="12"/>
      <c r="P272" s="28" t="s">
        <v>9330</v>
      </c>
    </row>
    <row r="273">
      <c r="A273" s="8" t="s">
        <v>9331</v>
      </c>
      <c r="B273" s="12"/>
      <c r="C273" s="12"/>
      <c r="D273" s="12"/>
      <c r="E273" s="12"/>
      <c r="F273" s="12"/>
      <c r="G273" s="12" t="b">
        <v>0</v>
      </c>
      <c r="H273" s="8" t="s">
        <v>9332</v>
      </c>
      <c r="I273" s="8" t="s">
        <v>9333</v>
      </c>
      <c r="J273" s="12"/>
      <c r="K273" s="8" t="s">
        <v>7854</v>
      </c>
      <c r="L273" s="8">
        <v>18.0</v>
      </c>
      <c r="M273" s="8" t="s">
        <v>9334</v>
      </c>
      <c r="N273" s="12"/>
      <c r="O273" s="8" t="s">
        <v>9335</v>
      </c>
      <c r="P273" s="28" t="s">
        <v>9336</v>
      </c>
    </row>
    <row r="274">
      <c r="A274" s="8" t="s">
        <v>9337</v>
      </c>
      <c r="B274" s="12"/>
      <c r="C274" s="12"/>
      <c r="D274" s="12"/>
      <c r="E274" s="12"/>
      <c r="F274" s="12"/>
      <c r="G274" s="12" t="b">
        <v>0</v>
      </c>
      <c r="H274" s="8" t="s">
        <v>9338</v>
      </c>
      <c r="I274" s="8" t="s">
        <v>9339</v>
      </c>
      <c r="J274" s="12"/>
      <c r="K274" s="8" t="s">
        <v>8317</v>
      </c>
      <c r="L274" s="8">
        <v>23.0</v>
      </c>
      <c r="M274" s="8" t="s">
        <v>9340</v>
      </c>
      <c r="N274" s="12"/>
      <c r="O274" s="8" t="s">
        <v>9341</v>
      </c>
      <c r="P274" s="28" t="s">
        <v>9342</v>
      </c>
    </row>
    <row r="275">
      <c r="A275" s="8" t="s">
        <v>9343</v>
      </c>
      <c r="B275" s="12"/>
      <c r="C275" s="12"/>
      <c r="D275" s="12"/>
      <c r="E275" s="12"/>
      <c r="F275" s="12"/>
      <c r="G275" s="12" t="b">
        <v>0</v>
      </c>
      <c r="H275" s="8" t="s">
        <v>9344</v>
      </c>
      <c r="I275" s="8" t="s">
        <v>9345</v>
      </c>
      <c r="J275" s="12"/>
      <c r="K275" s="8" t="s">
        <v>7722</v>
      </c>
      <c r="L275" s="8">
        <v>32.0</v>
      </c>
      <c r="M275" s="8" t="s">
        <v>1295</v>
      </c>
      <c r="N275" s="12"/>
      <c r="O275" s="12"/>
      <c r="P275" s="28" t="s">
        <v>9346</v>
      </c>
    </row>
    <row r="276">
      <c r="A276" s="8" t="s">
        <v>9347</v>
      </c>
      <c r="B276" s="12"/>
      <c r="C276" s="12"/>
      <c r="D276" s="12"/>
      <c r="E276" s="12"/>
      <c r="F276" s="12"/>
      <c r="G276" s="12" t="b">
        <v>0</v>
      </c>
      <c r="H276" s="8" t="s">
        <v>9348</v>
      </c>
      <c r="I276" s="8" t="s">
        <v>9349</v>
      </c>
      <c r="J276" s="12"/>
      <c r="K276" s="8" t="s">
        <v>9350</v>
      </c>
      <c r="L276" s="8">
        <v>12.0</v>
      </c>
      <c r="M276" s="8" t="s">
        <v>9351</v>
      </c>
      <c r="N276" s="12"/>
      <c r="O276" s="8" t="s">
        <v>8052</v>
      </c>
      <c r="P276" s="28" t="s">
        <v>9352</v>
      </c>
    </row>
    <row r="277">
      <c r="A277" s="8" t="s">
        <v>9353</v>
      </c>
      <c r="B277" s="12"/>
      <c r="C277" s="12"/>
      <c r="D277" s="12"/>
      <c r="E277" s="12"/>
      <c r="F277" s="12"/>
      <c r="G277" s="12" t="b">
        <v>0</v>
      </c>
      <c r="H277" s="8" t="s">
        <v>9354</v>
      </c>
      <c r="I277" s="8" t="s">
        <v>9355</v>
      </c>
      <c r="J277" s="12"/>
      <c r="K277" s="8" t="s">
        <v>7804</v>
      </c>
      <c r="L277" s="8">
        <v>20.0</v>
      </c>
      <c r="M277" s="8" t="s">
        <v>9356</v>
      </c>
      <c r="N277" s="12"/>
      <c r="O277" s="8" t="s">
        <v>9357</v>
      </c>
      <c r="P277" s="28" t="s">
        <v>9358</v>
      </c>
    </row>
    <row r="278">
      <c r="A278" s="8" t="s">
        <v>9359</v>
      </c>
      <c r="B278" s="12"/>
      <c r="C278" s="12"/>
      <c r="D278" s="12"/>
      <c r="E278" s="12"/>
      <c r="F278" s="12"/>
      <c r="G278" s="12" t="b">
        <v>0</v>
      </c>
      <c r="H278" s="8" t="s">
        <v>9360</v>
      </c>
      <c r="I278" s="8" t="s">
        <v>9361</v>
      </c>
      <c r="J278" s="12"/>
      <c r="K278" s="8" t="s">
        <v>9362</v>
      </c>
      <c r="L278" s="8">
        <v>11.0</v>
      </c>
      <c r="M278" s="8" t="s">
        <v>1295</v>
      </c>
      <c r="N278" s="12"/>
      <c r="O278" s="12"/>
      <c r="P278" s="12"/>
    </row>
    <row r="279">
      <c r="A279" s="8" t="s">
        <v>9363</v>
      </c>
      <c r="B279" s="12"/>
      <c r="C279" s="12"/>
      <c r="D279" s="12"/>
      <c r="E279" s="12"/>
      <c r="F279" s="12"/>
      <c r="G279" s="12" t="b">
        <v>0</v>
      </c>
      <c r="H279" s="8" t="s">
        <v>9364</v>
      </c>
      <c r="I279" s="8" t="s">
        <v>9365</v>
      </c>
      <c r="J279" s="12"/>
      <c r="K279" s="8" t="s">
        <v>7722</v>
      </c>
      <c r="L279" s="8">
        <v>25.0</v>
      </c>
      <c r="M279" s="8" t="s">
        <v>9366</v>
      </c>
      <c r="N279" s="12"/>
      <c r="O279" s="8" t="s">
        <v>9367</v>
      </c>
      <c r="P279" s="28" t="s">
        <v>9368</v>
      </c>
    </row>
    <row r="280">
      <c r="A280" s="8" t="s">
        <v>9369</v>
      </c>
      <c r="B280" s="12"/>
      <c r="C280" s="12"/>
      <c r="D280" s="12"/>
      <c r="E280" s="12"/>
      <c r="F280" s="12"/>
      <c r="G280" s="12" t="b">
        <v>0</v>
      </c>
      <c r="H280" s="8" t="s">
        <v>9370</v>
      </c>
      <c r="I280" s="8" t="s">
        <v>9371</v>
      </c>
      <c r="J280" s="12"/>
      <c r="K280" s="8" t="s">
        <v>7804</v>
      </c>
      <c r="L280" s="8">
        <v>12.0</v>
      </c>
      <c r="M280" s="8" t="s">
        <v>9372</v>
      </c>
      <c r="N280" s="12"/>
      <c r="O280" s="8" t="s">
        <v>9373</v>
      </c>
      <c r="P280" s="28" t="s">
        <v>9374</v>
      </c>
    </row>
    <row r="281">
      <c r="A281" s="8" t="s">
        <v>9375</v>
      </c>
      <c r="B281" s="12"/>
      <c r="C281" s="12"/>
      <c r="D281" s="12"/>
      <c r="E281" s="12"/>
      <c r="F281" s="12"/>
      <c r="G281" s="12" t="b">
        <v>0</v>
      </c>
      <c r="H281" s="8" t="s">
        <v>9376</v>
      </c>
      <c r="I281" s="8" t="s">
        <v>9377</v>
      </c>
      <c r="J281" s="12"/>
      <c r="K281" s="8" t="s">
        <v>8192</v>
      </c>
      <c r="L281" s="8">
        <v>24.0</v>
      </c>
      <c r="M281" s="8" t="s">
        <v>9378</v>
      </c>
      <c r="N281" s="12"/>
      <c r="O281" s="8" t="s">
        <v>9120</v>
      </c>
      <c r="P281" s="28" t="s">
        <v>9379</v>
      </c>
    </row>
    <row r="282">
      <c r="A282" s="8" t="s">
        <v>9380</v>
      </c>
      <c r="B282" s="12"/>
      <c r="C282" s="12"/>
      <c r="D282" s="12"/>
      <c r="E282" s="12"/>
      <c r="F282" s="12"/>
      <c r="G282" s="12" t="b">
        <v>0</v>
      </c>
      <c r="H282" s="8" t="s">
        <v>9381</v>
      </c>
      <c r="I282" s="8" t="s">
        <v>9382</v>
      </c>
      <c r="J282" s="12"/>
      <c r="K282" s="8" t="s">
        <v>7722</v>
      </c>
      <c r="L282" s="8">
        <v>15.0</v>
      </c>
      <c r="M282" s="8" t="s">
        <v>9383</v>
      </c>
      <c r="N282" s="12"/>
      <c r="O282" s="8" t="s">
        <v>9384</v>
      </c>
      <c r="P282" s="28" t="s">
        <v>9385</v>
      </c>
    </row>
    <row r="283">
      <c r="A283" s="8" t="s">
        <v>9386</v>
      </c>
      <c r="B283" s="12"/>
      <c r="C283" s="12"/>
      <c r="D283" s="12"/>
      <c r="E283" s="12"/>
      <c r="F283" s="12"/>
      <c r="G283" s="12" t="b">
        <v>0</v>
      </c>
      <c r="H283" s="8" t="s">
        <v>9387</v>
      </c>
      <c r="I283" s="8" t="s">
        <v>9388</v>
      </c>
      <c r="J283" s="12"/>
      <c r="K283" s="12"/>
      <c r="L283" s="8">
        <v>80.0</v>
      </c>
      <c r="M283" s="8" t="s">
        <v>9389</v>
      </c>
      <c r="N283" s="12"/>
      <c r="O283" s="8" t="s">
        <v>9390</v>
      </c>
      <c r="P283" s="28" t="s">
        <v>9391</v>
      </c>
    </row>
    <row r="284">
      <c r="A284" s="8" t="s">
        <v>9392</v>
      </c>
      <c r="B284" s="12"/>
      <c r="C284" s="12"/>
      <c r="D284" s="12"/>
      <c r="E284" s="12"/>
      <c r="F284" s="12"/>
      <c r="G284" s="12" t="b">
        <v>0</v>
      </c>
      <c r="H284" s="8" t="s">
        <v>9393</v>
      </c>
      <c r="I284" s="8" t="s">
        <v>9394</v>
      </c>
      <c r="J284" s="12"/>
      <c r="K284" s="8" t="s">
        <v>9395</v>
      </c>
      <c r="L284" s="8">
        <v>50.0</v>
      </c>
      <c r="M284" s="8" t="s">
        <v>9396</v>
      </c>
      <c r="N284" s="12"/>
      <c r="O284" s="8" t="s">
        <v>9397</v>
      </c>
      <c r="P284" s="12"/>
    </row>
    <row r="285">
      <c r="A285" s="8" t="s">
        <v>9398</v>
      </c>
      <c r="B285" s="12"/>
      <c r="C285" s="12"/>
      <c r="D285" s="12"/>
      <c r="E285" s="12"/>
      <c r="F285" s="12"/>
      <c r="G285" s="12" t="b">
        <v>0</v>
      </c>
      <c r="H285" s="8" t="s">
        <v>9399</v>
      </c>
      <c r="I285" s="8" t="s">
        <v>9400</v>
      </c>
      <c r="J285" s="12"/>
      <c r="K285" s="8" t="s">
        <v>7722</v>
      </c>
      <c r="L285" s="8">
        <v>63.0</v>
      </c>
      <c r="M285" s="8" t="s">
        <v>9401</v>
      </c>
      <c r="N285" s="12"/>
      <c r="O285" s="8" t="s">
        <v>9275</v>
      </c>
      <c r="P285" s="28" t="s">
        <v>9402</v>
      </c>
    </row>
    <row r="286">
      <c r="A286" s="8" t="s">
        <v>9403</v>
      </c>
      <c r="B286" s="12"/>
      <c r="C286" s="12"/>
      <c r="D286" s="12"/>
      <c r="E286" s="12"/>
      <c r="F286" s="12"/>
      <c r="G286" s="12" t="b">
        <v>0</v>
      </c>
      <c r="H286" s="8" t="s">
        <v>9404</v>
      </c>
      <c r="I286" s="8" t="s">
        <v>9405</v>
      </c>
      <c r="J286" s="12"/>
      <c r="K286" s="8" t="s">
        <v>9406</v>
      </c>
      <c r="L286" s="8">
        <v>14.0</v>
      </c>
      <c r="M286" s="8" t="s">
        <v>9407</v>
      </c>
      <c r="N286" s="12"/>
      <c r="O286" s="8" t="s">
        <v>9408</v>
      </c>
      <c r="P286" s="28" t="s">
        <v>9409</v>
      </c>
    </row>
    <row r="287">
      <c r="A287" s="8" t="s">
        <v>9410</v>
      </c>
      <c r="B287" s="12"/>
      <c r="C287" s="12"/>
      <c r="D287" s="12"/>
      <c r="E287" s="12"/>
      <c r="F287" s="12"/>
      <c r="G287" s="12" t="b">
        <v>0</v>
      </c>
      <c r="H287" s="28" t="s">
        <v>9411</v>
      </c>
      <c r="I287" s="8" t="s">
        <v>9412</v>
      </c>
      <c r="J287" s="12"/>
      <c r="K287" s="8" t="s">
        <v>7804</v>
      </c>
      <c r="L287" s="8">
        <v>50.0</v>
      </c>
      <c r="M287" s="8" t="s">
        <v>9413</v>
      </c>
      <c r="N287" s="8" t="s">
        <v>9414</v>
      </c>
      <c r="O287" s="8" t="s">
        <v>9415</v>
      </c>
      <c r="P287" s="28" t="s">
        <v>9416</v>
      </c>
    </row>
    <row r="288">
      <c r="A288" s="8" t="s">
        <v>9417</v>
      </c>
      <c r="B288" s="12"/>
      <c r="C288" s="12"/>
      <c r="D288" s="12"/>
      <c r="E288" s="12"/>
      <c r="F288" s="12"/>
      <c r="G288" s="12" t="b">
        <v>0</v>
      </c>
      <c r="H288" s="8" t="s">
        <v>9418</v>
      </c>
      <c r="I288" s="8" t="s">
        <v>9419</v>
      </c>
      <c r="J288" s="12"/>
      <c r="K288" s="8" t="s">
        <v>9420</v>
      </c>
      <c r="L288" s="8">
        <v>20.0</v>
      </c>
      <c r="M288" s="8" t="s">
        <v>9421</v>
      </c>
      <c r="N288" s="8" t="s">
        <v>9422</v>
      </c>
      <c r="O288" s="8" t="s">
        <v>9423</v>
      </c>
      <c r="P288" s="28" t="s">
        <v>9424</v>
      </c>
    </row>
    <row r="289">
      <c r="A289" s="8" t="s">
        <v>9425</v>
      </c>
      <c r="B289" s="12"/>
      <c r="C289" s="12"/>
      <c r="D289" s="12"/>
      <c r="E289" s="12"/>
      <c r="F289" s="12"/>
      <c r="G289" s="12" t="b">
        <v>0</v>
      </c>
      <c r="H289" s="8" t="s">
        <v>9426</v>
      </c>
      <c r="I289" s="8" t="s">
        <v>9427</v>
      </c>
      <c r="J289" s="12"/>
      <c r="K289" s="8" t="s">
        <v>9428</v>
      </c>
      <c r="L289" s="8">
        <v>10.0</v>
      </c>
      <c r="M289" s="8" t="s">
        <v>9429</v>
      </c>
      <c r="N289" s="12"/>
      <c r="O289" s="8" t="s">
        <v>9430</v>
      </c>
      <c r="P289" s="28" t="s">
        <v>9431</v>
      </c>
    </row>
    <row r="290">
      <c r="A290" s="8" t="s">
        <v>9432</v>
      </c>
      <c r="B290" s="12"/>
      <c r="C290" s="12"/>
      <c r="D290" s="12"/>
      <c r="E290" s="12"/>
      <c r="F290" s="12"/>
      <c r="G290" s="12" t="b">
        <v>0</v>
      </c>
      <c r="H290" s="8" t="s">
        <v>9433</v>
      </c>
      <c r="I290" s="8" t="s">
        <v>9434</v>
      </c>
      <c r="J290" s="12"/>
      <c r="K290" s="8" t="s">
        <v>8659</v>
      </c>
      <c r="L290" s="8">
        <v>25.0</v>
      </c>
      <c r="M290" s="8" t="s">
        <v>9435</v>
      </c>
      <c r="N290" s="12"/>
      <c r="O290" s="8" t="s">
        <v>9436</v>
      </c>
      <c r="P290" s="28" t="s">
        <v>9437</v>
      </c>
    </row>
    <row r="291">
      <c r="A291" s="8" t="s">
        <v>9438</v>
      </c>
      <c r="B291" s="12"/>
      <c r="C291" s="12"/>
      <c r="D291" s="12"/>
      <c r="E291" s="12"/>
      <c r="F291" s="12"/>
      <c r="G291" s="12" t="b">
        <v>0</v>
      </c>
      <c r="H291" s="8" t="s">
        <v>9439</v>
      </c>
      <c r="I291" s="8" t="s">
        <v>9440</v>
      </c>
      <c r="J291" s="12"/>
      <c r="K291" s="8" t="s">
        <v>8133</v>
      </c>
      <c r="L291" s="8">
        <v>35.0</v>
      </c>
      <c r="M291" s="8" t="s">
        <v>9441</v>
      </c>
      <c r="N291" s="12"/>
      <c r="O291" s="8" t="s">
        <v>9442</v>
      </c>
      <c r="P291" s="28" t="s">
        <v>9443</v>
      </c>
    </row>
    <row r="292">
      <c r="A292" s="8" t="s">
        <v>9444</v>
      </c>
      <c r="B292" s="12"/>
      <c r="C292" s="12"/>
      <c r="D292" s="12"/>
      <c r="E292" s="12"/>
      <c r="F292" s="12"/>
      <c r="G292" s="12" t="b">
        <v>0</v>
      </c>
      <c r="H292" s="8" t="s">
        <v>9445</v>
      </c>
      <c r="I292" s="8" t="s">
        <v>9446</v>
      </c>
      <c r="J292" s="12"/>
      <c r="K292" s="8" t="s">
        <v>7722</v>
      </c>
      <c r="L292" s="8">
        <v>12.0</v>
      </c>
      <c r="M292" s="8" t="s">
        <v>1295</v>
      </c>
      <c r="N292" s="12"/>
      <c r="O292" s="12"/>
      <c r="P292" s="28" t="s">
        <v>9447</v>
      </c>
    </row>
    <row r="293">
      <c r="A293" s="8" t="s">
        <v>9448</v>
      </c>
      <c r="B293" s="12"/>
      <c r="C293" s="12"/>
      <c r="D293" s="12"/>
      <c r="E293" s="12"/>
      <c r="F293" s="12"/>
      <c r="G293" s="12" t="b">
        <v>0</v>
      </c>
      <c r="H293" s="8" t="s">
        <v>9449</v>
      </c>
      <c r="I293" s="8" t="s">
        <v>9450</v>
      </c>
      <c r="J293" s="12"/>
      <c r="K293" s="12"/>
      <c r="L293" s="8">
        <v>15.0</v>
      </c>
      <c r="M293" s="8" t="s">
        <v>9451</v>
      </c>
      <c r="N293" s="8" t="s">
        <v>9452</v>
      </c>
      <c r="O293" s="8" t="s">
        <v>8273</v>
      </c>
      <c r="P293" s="28" t="s">
        <v>9453</v>
      </c>
    </row>
    <row r="294">
      <c r="A294" s="8" t="s">
        <v>9454</v>
      </c>
      <c r="B294" s="12"/>
      <c r="C294" s="12"/>
      <c r="D294" s="12"/>
      <c r="E294" s="12"/>
      <c r="F294" s="12"/>
      <c r="G294" s="12" t="b">
        <v>0</v>
      </c>
      <c r="H294" s="8" t="s">
        <v>9455</v>
      </c>
      <c r="I294" s="8" t="s">
        <v>9456</v>
      </c>
      <c r="J294" s="12"/>
      <c r="K294" s="8" t="s">
        <v>7722</v>
      </c>
      <c r="L294" s="8">
        <v>20.0</v>
      </c>
      <c r="M294" s="8" t="s">
        <v>9457</v>
      </c>
      <c r="N294" s="8" t="s">
        <v>9458</v>
      </c>
      <c r="O294" s="8" t="s">
        <v>9459</v>
      </c>
      <c r="P294" s="28" t="s">
        <v>9460</v>
      </c>
    </row>
    <row r="295">
      <c r="A295" s="8" t="s">
        <v>9461</v>
      </c>
      <c r="B295" s="12"/>
      <c r="C295" s="12"/>
      <c r="D295" s="12"/>
      <c r="E295" s="12"/>
      <c r="F295" s="12"/>
      <c r="G295" s="12" t="b">
        <v>0</v>
      </c>
      <c r="H295" s="8" t="s">
        <v>9462</v>
      </c>
      <c r="I295" s="8" t="s">
        <v>9463</v>
      </c>
      <c r="J295" s="12"/>
      <c r="K295" s="8" t="s">
        <v>8271</v>
      </c>
      <c r="L295" s="8">
        <v>48.0</v>
      </c>
      <c r="M295" s="8" t="s">
        <v>1295</v>
      </c>
      <c r="N295" s="12"/>
      <c r="O295" s="12"/>
      <c r="P295" s="28" t="s">
        <v>9464</v>
      </c>
    </row>
    <row r="296">
      <c r="A296" s="8" t="s">
        <v>9465</v>
      </c>
      <c r="B296" s="12"/>
      <c r="C296" s="12"/>
      <c r="D296" s="12"/>
      <c r="E296" s="12"/>
      <c r="F296" s="12"/>
      <c r="G296" s="12" t="b">
        <v>0</v>
      </c>
      <c r="H296" s="8" t="s">
        <v>9466</v>
      </c>
      <c r="I296" s="8" t="s">
        <v>9467</v>
      </c>
      <c r="J296" s="12"/>
      <c r="K296" s="8" t="s">
        <v>8489</v>
      </c>
      <c r="L296" s="8">
        <v>50.0</v>
      </c>
      <c r="M296" s="8" t="s">
        <v>9468</v>
      </c>
      <c r="N296" s="12"/>
      <c r="O296" s="8" t="s">
        <v>9469</v>
      </c>
      <c r="P296" s="28" t="s">
        <v>9470</v>
      </c>
    </row>
    <row r="297">
      <c r="A297" s="8" t="s">
        <v>9471</v>
      </c>
      <c r="B297" s="12"/>
      <c r="C297" s="12"/>
      <c r="D297" s="12"/>
      <c r="E297" s="12"/>
      <c r="F297" s="12"/>
      <c r="G297" s="12" t="b">
        <v>0</v>
      </c>
      <c r="H297" s="28" t="s">
        <v>9472</v>
      </c>
      <c r="I297" s="8" t="s">
        <v>9473</v>
      </c>
      <c r="J297" s="12"/>
      <c r="K297" s="8" t="s">
        <v>8648</v>
      </c>
      <c r="L297" s="8">
        <v>72.0</v>
      </c>
      <c r="M297" s="8" t="s">
        <v>1295</v>
      </c>
      <c r="N297" s="8" t="s">
        <v>9474</v>
      </c>
      <c r="O297" s="12"/>
      <c r="P297" s="28" t="s">
        <v>9475</v>
      </c>
    </row>
    <row r="298">
      <c r="A298" s="8" t="s">
        <v>9476</v>
      </c>
      <c r="B298" s="12"/>
      <c r="C298" s="12"/>
      <c r="D298" s="12"/>
      <c r="E298" s="12"/>
      <c r="F298" s="12"/>
      <c r="G298" s="12" t="b">
        <v>0</v>
      </c>
      <c r="H298" s="8" t="s">
        <v>9477</v>
      </c>
      <c r="I298" s="8" t="s">
        <v>9478</v>
      </c>
      <c r="J298" s="12"/>
      <c r="K298" s="8" t="s">
        <v>7722</v>
      </c>
      <c r="L298" s="8">
        <v>51.0</v>
      </c>
      <c r="M298" s="8" t="s">
        <v>9479</v>
      </c>
      <c r="N298" s="12"/>
      <c r="O298" s="8" t="s">
        <v>9480</v>
      </c>
      <c r="P298" s="28" t="s">
        <v>9481</v>
      </c>
    </row>
    <row r="299">
      <c r="A299" s="8" t="s">
        <v>9482</v>
      </c>
      <c r="B299" s="12"/>
      <c r="C299" s="12"/>
      <c r="D299" s="12"/>
      <c r="E299" s="12"/>
      <c r="F299" s="12"/>
      <c r="G299" s="12" t="b">
        <v>0</v>
      </c>
      <c r="H299" s="8" t="s">
        <v>9483</v>
      </c>
      <c r="I299" s="8" t="s">
        <v>9484</v>
      </c>
      <c r="J299" s="12"/>
      <c r="K299" s="8" t="s">
        <v>7722</v>
      </c>
      <c r="L299" s="8">
        <v>53.0</v>
      </c>
      <c r="M299" s="8" t="s">
        <v>9485</v>
      </c>
      <c r="N299" s="8" t="s">
        <v>9486</v>
      </c>
      <c r="O299" s="8" t="s">
        <v>8529</v>
      </c>
      <c r="P299" s="28" t="s">
        <v>9487</v>
      </c>
    </row>
    <row r="300">
      <c r="A300" s="8" t="s">
        <v>9488</v>
      </c>
      <c r="B300" s="12"/>
      <c r="C300" s="12"/>
      <c r="D300" s="12"/>
      <c r="E300" s="12"/>
      <c r="F300" s="12"/>
      <c r="G300" s="12" t="b">
        <v>0</v>
      </c>
      <c r="H300" s="8" t="s">
        <v>9489</v>
      </c>
      <c r="I300" s="8" t="s">
        <v>9490</v>
      </c>
      <c r="J300" s="12"/>
      <c r="K300" s="8" t="s">
        <v>9491</v>
      </c>
      <c r="L300" s="8">
        <v>17.0</v>
      </c>
      <c r="M300" s="8" t="s">
        <v>9492</v>
      </c>
      <c r="N300" s="12"/>
      <c r="O300" s="8" t="s">
        <v>9493</v>
      </c>
      <c r="P300" s="28" t="s">
        <v>9494</v>
      </c>
    </row>
    <row r="301">
      <c r="A301" s="8" t="s">
        <v>9495</v>
      </c>
      <c r="B301" s="12"/>
      <c r="C301" s="12"/>
      <c r="D301" s="12"/>
      <c r="E301" s="12"/>
      <c r="F301" s="12"/>
      <c r="G301" s="12" t="b">
        <v>0</v>
      </c>
      <c r="H301" s="8" t="s">
        <v>9496</v>
      </c>
      <c r="I301" s="8" t="s">
        <v>9497</v>
      </c>
      <c r="J301" s="12"/>
      <c r="K301" s="8" t="s">
        <v>7722</v>
      </c>
      <c r="L301" s="8">
        <v>65.0</v>
      </c>
      <c r="M301" s="8" t="s">
        <v>9498</v>
      </c>
      <c r="N301" s="12"/>
      <c r="O301" s="8" t="s">
        <v>9499</v>
      </c>
      <c r="P301" s="28" t="s">
        <v>9500</v>
      </c>
    </row>
    <row r="302">
      <c r="A302" s="8" t="s">
        <v>9501</v>
      </c>
      <c r="B302" s="12"/>
      <c r="C302" s="12"/>
      <c r="D302" s="12"/>
      <c r="E302" s="12"/>
      <c r="F302" s="12"/>
      <c r="G302" s="12" t="b">
        <v>0</v>
      </c>
      <c r="H302" s="8" t="s">
        <v>9502</v>
      </c>
      <c r="I302" s="8" t="s">
        <v>9503</v>
      </c>
      <c r="J302" s="12"/>
      <c r="K302" s="8" t="s">
        <v>7722</v>
      </c>
      <c r="L302" s="8">
        <v>10.0</v>
      </c>
      <c r="M302" s="8" t="s">
        <v>9504</v>
      </c>
      <c r="N302" s="12"/>
      <c r="O302" s="8" t="s">
        <v>9505</v>
      </c>
      <c r="P302" s="28" t="s">
        <v>9506</v>
      </c>
    </row>
    <row r="303">
      <c r="A303" s="8" t="s">
        <v>9507</v>
      </c>
      <c r="B303" s="12"/>
      <c r="C303" s="12"/>
      <c r="D303" s="12"/>
      <c r="E303" s="12"/>
      <c r="F303" s="12"/>
      <c r="G303" s="12" t="b">
        <v>0</v>
      </c>
      <c r="H303" s="8" t="s">
        <v>9508</v>
      </c>
      <c r="I303" s="8" t="s">
        <v>9509</v>
      </c>
      <c r="J303" s="12"/>
      <c r="K303" s="8" t="s">
        <v>7722</v>
      </c>
      <c r="L303" s="8">
        <v>10.0</v>
      </c>
      <c r="M303" s="8" t="s">
        <v>1295</v>
      </c>
      <c r="N303" s="12"/>
      <c r="O303" s="12"/>
      <c r="P303" s="28" t="s">
        <v>9510</v>
      </c>
    </row>
    <row r="304">
      <c r="A304" s="8" t="s">
        <v>9511</v>
      </c>
      <c r="B304" s="12"/>
      <c r="C304" s="12"/>
      <c r="D304" s="12"/>
      <c r="E304" s="12"/>
      <c r="F304" s="12"/>
      <c r="G304" s="12" t="b">
        <v>0</v>
      </c>
      <c r="H304" s="8" t="s">
        <v>9512</v>
      </c>
      <c r="I304" s="8" t="s">
        <v>9513</v>
      </c>
      <c r="J304" s="12"/>
      <c r="K304" s="8" t="s">
        <v>7894</v>
      </c>
      <c r="L304" s="8">
        <v>100.0</v>
      </c>
      <c r="M304" s="8" t="s">
        <v>9514</v>
      </c>
      <c r="N304" s="12"/>
      <c r="O304" s="8" t="s">
        <v>9515</v>
      </c>
      <c r="P304" s="28" t="s">
        <v>9516</v>
      </c>
    </row>
    <row r="305">
      <c r="A305" s="8" t="s">
        <v>9517</v>
      </c>
      <c r="B305" s="12"/>
      <c r="C305" s="12"/>
      <c r="D305" s="12"/>
      <c r="E305" s="12"/>
      <c r="F305" s="12"/>
      <c r="G305" s="12" t="b">
        <v>0</v>
      </c>
      <c r="H305" s="8" t="s">
        <v>9518</v>
      </c>
      <c r="I305" s="8" t="s">
        <v>9519</v>
      </c>
      <c r="J305" s="12"/>
      <c r="K305" s="8" t="s">
        <v>7722</v>
      </c>
      <c r="L305" s="8">
        <v>75.0</v>
      </c>
      <c r="M305" s="8" t="s">
        <v>9520</v>
      </c>
      <c r="N305" s="12"/>
      <c r="O305" s="8" t="s">
        <v>8472</v>
      </c>
      <c r="P305" s="28" t="s">
        <v>9521</v>
      </c>
    </row>
    <row r="306">
      <c r="A306" s="8" t="s">
        <v>9522</v>
      </c>
      <c r="B306" s="12"/>
      <c r="C306" s="12"/>
      <c r="D306" s="12"/>
      <c r="E306" s="12"/>
      <c r="F306" s="12"/>
      <c r="G306" s="12" t="b">
        <v>0</v>
      </c>
      <c r="H306" s="8" t="s">
        <v>9523</v>
      </c>
      <c r="I306" s="8" t="s">
        <v>9524</v>
      </c>
      <c r="J306" s="12"/>
      <c r="K306" s="8" t="s">
        <v>9525</v>
      </c>
      <c r="L306" s="8">
        <v>21.0</v>
      </c>
      <c r="M306" s="8" t="s">
        <v>9526</v>
      </c>
      <c r="N306" s="12"/>
      <c r="O306" s="8" t="s">
        <v>9527</v>
      </c>
      <c r="P306" s="28" t="s">
        <v>9528</v>
      </c>
    </row>
    <row r="307">
      <c r="A307" s="8" t="s">
        <v>9529</v>
      </c>
      <c r="B307" s="12"/>
      <c r="C307" s="12"/>
      <c r="D307" s="12"/>
      <c r="E307" s="12"/>
      <c r="F307" s="12"/>
      <c r="G307" s="12" t="b">
        <v>0</v>
      </c>
      <c r="H307" s="8" t="s">
        <v>9530</v>
      </c>
      <c r="I307" s="8" t="s">
        <v>9531</v>
      </c>
      <c r="J307" s="12"/>
      <c r="K307" s="8" t="s">
        <v>8091</v>
      </c>
      <c r="L307" s="8">
        <v>23.0</v>
      </c>
      <c r="M307" s="8" t="s">
        <v>9532</v>
      </c>
      <c r="N307" s="12"/>
      <c r="O307" s="8" t="s">
        <v>8963</v>
      </c>
      <c r="P307" s="28" t="s">
        <v>9533</v>
      </c>
    </row>
    <row r="308">
      <c r="A308" s="8" t="s">
        <v>9534</v>
      </c>
      <c r="B308" s="12"/>
      <c r="C308" s="12"/>
      <c r="D308" s="12"/>
      <c r="E308" s="12"/>
      <c r="F308" s="12"/>
      <c r="G308" s="12" t="b">
        <v>0</v>
      </c>
      <c r="H308" s="8" t="s">
        <v>9535</v>
      </c>
      <c r="I308" s="8" t="s">
        <v>9536</v>
      </c>
      <c r="J308" s="12"/>
      <c r="K308" s="8" t="s">
        <v>9537</v>
      </c>
      <c r="L308" s="8">
        <v>40.0</v>
      </c>
      <c r="M308" s="8" t="s">
        <v>1295</v>
      </c>
      <c r="N308" s="12"/>
      <c r="O308" s="12"/>
      <c r="P308" s="28" t="s">
        <v>9538</v>
      </c>
    </row>
    <row r="309">
      <c r="A309" s="8" t="s">
        <v>9539</v>
      </c>
      <c r="B309" s="12"/>
      <c r="C309" s="12"/>
      <c r="D309" s="12"/>
      <c r="E309" s="12"/>
      <c r="F309" s="12"/>
      <c r="G309" s="12" t="b">
        <v>0</v>
      </c>
      <c r="H309" s="8" t="s">
        <v>9540</v>
      </c>
      <c r="I309" s="8" t="s">
        <v>9541</v>
      </c>
      <c r="J309" s="12"/>
      <c r="K309" s="8" t="s">
        <v>9542</v>
      </c>
      <c r="L309" s="8">
        <v>54.0</v>
      </c>
      <c r="M309" s="8" t="s">
        <v>9543</v>
      </c>
      <c r="N309" s="8" t="s">
        <v>9544</v>
      </c>
      <c r="O309" s="8" t="s">
        <v>9545</v>
      </c>
      <c r="P309" s="28" t="s">
        <v>9546</v>
      </c>
    </row>
    <row r="310">
      <c r="A310" s="8" t="s">
        <v>9547</v>
      </c>
      <c r="B310" s="12"/>
      <c r="C310" s="12"/>
      <c r="D310" s="12"/>
      <c r="E310" s="12"/>
      <c r="F310" s="12"/>
      <c r="G310" s="12" t="b">
        <v>0</v>
      </c>
      <c r="H310" s="8" t="s">
        <v>9548</v>
      </c>
      <c r="I310" s="8" t="s">
        <v>9549</v>
      </c>
      <c r="J310" s="12"/>
      <c r="K310" s="8" t="s">
        <v>9550</v>
      </c>
      <c r="L310" s="8">
        <v>40.0</v>
      </c>
      <c r="M310" s="8" t="s">
        <v>1295</v>
      </c>
      <c r="N310" s="12"/>
      <c r="O310" s="12"/>
      <c r="P310" s="28" t="s">
        <v>9551</v>
      </c>
    </row>
    <row r="311">
      <c r="A311" s="8" t="s">
        <v>9552</v>
      </c>
      <c r="B311" s="12"/>
      <c r="C311" s="12"/>
      <c r="D311" s="12"/>
      <c r="E311" s="12"/>
      <c r="F311" s="12"/>
      <c r="G311" s="12" t="b">
        <v>0</v>
      </c>
      <c r="H311" s="8" t="s">
        <v>9553</v>
      </c>
      <c r="I311" s="8" t="s">
        <v>9554</v>
      </c>
      <c r="J311" s="12"/>
      <c r="K311" s="8" t="s">
        <v>8648</v>
      </c>
      <c r="L311" s="8">
        <v>31.0</v>
      </c>
      <c r="M311" s="8" t="s">
        <v>9555</v>
      </c>
      <c r="N311" s="12"/>
      <c r="O311" s="8" t="s">
        <v>9556</v>
      </c>
      <c r="P311" s="28" t="s">
        <v>9557</v>
      </c>
    </row>
    <row r="312">
      <c r="A312" s="8" t="s">
        <v>9558</v>
      </c>
      <c r="B312" s="12"/>
      <c r="C312" s="12"/>
      <c r="D312" s="12"/>
      <c r="E312" s="12"/>
      <c r="F312" s="12"/>
      <c r="G312" s="12" t="b">
        <v>0</v>
      </c>
      <c r="H312" s="8" t="s">
        <v>9559</v>
      </c>
      <c r="I312" s="8" t="s">
        <v>9560</v>
      </c>
      <c r="J312" s="12"/>
      <c r="K312" s="8" t="s">
        <v>9561</v>
      </c>
      <c r="L312" s="8">
        <v>15.0</v>
      </c>
      <c r="M312" s="8" t="s">
        <v>9562</v>
      </c>
      <c r="N312" s="12"/>
      <c r="O312" s="8" t="s">
        <v>7931</v>
      </c>
      <c r="P312" s="28" t="s">
        <v>9563</v>
      </c>
    </row>
    <row r="313">
      <c r="A313" s="8" t="s">
        <v>9564</v>
      </c>
      <c r="B313" s="12"/>
      <c r="C313" s="12"/>
      <c r="D313" s="12"/>
      <c r="E313" s="12"/>
      <c r="F313" s="12"/>
      <c r="G313" s="12" t="b">
        <v>0</v>
      </c>
      <c r="H313" s="8" t="s">
        <v>9565</v>
      </c>
      <c r="I313" s="8" t="s">
        <v>9566</v>
      </c>
      <c r="J313" s="12"/>
      <c r="K313" s="8" t="s">
        <v>8317</v>
      </c>
      <c r="L313" s="8">
        <v>40.0</v>
      </c>
      <c r="M313" s="8" t="s">
        <v>1295</v>
      </c>
      <c r="N313" s="12"/>
      <c r="O313" s="12"/>
      <c r="P313" s="28" t="s">
        <v>9567</v>
      </c>
    </row>
    <row r="314">
      <c r="A314" s="8" t="s">
        <v>9568</v>
      </c>
      <c r="B314" s="12"/>
      <c r="C314" s="12"/>
      <c r="D314" s="12"/>
      <c r="E314" s="12"/>
      <c r="F314" s="12"/>
      <c r="G314" s="12" t="b">
        <v>0</v>
      </c>
      <c r="H314" s="8" t="s">
        <v>9569</v>
      </c>
      <c r="I314" s="8" t="s">
        <v>9570</v>
      </c>
      <c r="J314" s="12"/>
      <c r="K314" s="8" t="s">
        <v>7722</v>
      </c>
      <c r="L314" s="8">
        <v>90.0</v>
      </c>
      <c r="M314" s="8" t="s">
        <v>9571</v>
      </c>
      <c r="N314" s="12"/>
      <c r="O314" s="8" t="s">
        <v>9572</v>
      </c>
      <c r="P314" s="28" t="s">
        <v>9573</v>
      </c>
    </row>
    <row r="315">
      <c r="A315" s="8" t="s">
        <v>9574</v>
      </c>
      <c r="B315" s="12"/>
      <c r="C315" s="12"/>
      <c r="D315" s="12"/>
      <c r="E315" s="12"/>
      <c r="F315" s="12"/>
      <c r="G315" s="12" t="b">
        <v>0</v>
      </c>
      <c r="H315" s="8" t="s">
        <v>9575</v>
      </c>
      <c r="I315" s="8" t="s">
        <v>9576</v>
      </c>
      <c r="J315" s="12"/>
      <c r="K315" s="8" t="s">
        <v>7722</v>
      </c>
      <c r="L315" s="8">
        <v>51.0</v>
      </c>
      <c r="M315" s="8" t="s">
        <v>1295</v>
      </c>
      <c r="N315" s="12"/>
      <c r="O315" s="12"/>
      <c r="P315" s="28" t="s">
        <v>9577</v>
      </c>
    </row>
    <row r="316">
      <c r="A316" s="8" t="s">
        <v>9578</v>
      </c>
      <c r="B316" s="12"/>
      <c r="C316" s="12"/>
      <c r="D316" s="12"/>
      <c r="E316" s="12"/>
      <c r="F316" s="12"/>
      <c r="G316" s="12" t="b">
        <v>0</v>
      </c>
      <c r="H316" s="8" t="s">
        <v>9579</v>
      </c>
      <c r="I316" s="8" t="s">
        <v>9580</v>
      </c>
      <c r="J316" s="12"/>
      <c r="K316" s="8" t="s">
        <v>8271</v>
      </c>
      <c r="L316" s="8">
        <v>12.0</v>
      </c>
      <c r="M316" s="8" t="s">
        <v>9581</v>
      </c>
      <c r="N316" s="12"/>
      <c r="O316" s="8" t="s">
        <v>9582</v>
      </c>
      <c r="P316" s="28" t="s">
        <v>9583</v>
      </c>
    </row>
    <row r="317">
      <c r="A317" s="8" t="s">
        <v>9584</v>
      </c>
      <c r="B317" s="12"/>
      <c r="C317" s="12"/>
      <c r="D317" s="12"/>
      <c r="E317" s="12"/>
      <c r="F317" s="12"/>
      <c r="G317" s="12" t="b">
        <v>0</v>
      </c>
      <c r="H317" s="8" t="s">
        <v>9585</v>
      </c>
      <c r="I317" s="8" t="s">
        <v>9586</v>
      </c>
      <c r="J317" s="12"/>
      <c r="K317" s="8" t="s">
        <v>9587</v>
      </c>
      <c r="L317" s="8">
        <v>16.0</v>
      </c>
      <c r="M317" s="8" t="s">
        <v>1295</v>
      </c>
      <c r="N317" s="12"/>
      <c r="O317" s="12"/>
      <c r="P317" s="12"/>
    </row>
    <row r="318">
      <c r="A318" s="8" t="s">
        <v>9588</v>
      </c>
      <c r="B318" s="12"/>
      <c r="C318" s="12"/>
      <c r="D318" s="12"/>
      <c r="E318" s="12"/>
      <c r="F318" s="12"/>
      <c r="G318" s="12" t="b">
        <v>0</v>
      </c>
      <c r="H318" s="8" t="s">
        <v>9589</v>
      </c>
      <c r="I318" s="8" t="s">
        <v>9590</v>
      </c>
      <c r="J318" s="12"/>
      <c r="K318" s="8" t="s">
        <v>7722</v>
      </c>
      <c r="L318" s="8">
        <v>19.0</v>
      </c>
      <c r="M318" s="8" t="s">
        <v>1295</v>
      </c>
      <c r="N318" s="12"/>
      <c r="O318" s="12"/>
      <c r="P318" s="28" t="s">
        <v>9591</v>
      </c>
    </row>
    <row r="319">
      <c r="A319" s="8" t="s">
        <v>9592</v>
      </c>
      <c r="B319" s="12"/>
      <c r="C319" s="12"/>
      <c r="D319" s="12"/>
      <c r="E319" s="12"/>
      <c r="F319" s="12"/>
      <c r="G319" s="12" t="b">
        <v>0</v>
      </c>
      <c r="H319" s="8" t="s">
        <v>9593</v>
      </c>
      <c r="I319" s="8" t="s">
        <v>9594</v>
      </c>
      <c r="J319" s="12"/>
      <c r="K319" s="8" t="s">
        <v>7722</v>
      </c>
      <c r="L319" s="8">
        <v>40.0</v>
      </c>
      <c r="M319" s="8" t="s">
        <v>1295</v>
      </c>
      <c r="N319" s="12"/>
      <c r="O319" s="12"/>
      <c r="P319" s="28" t="s">
        <v>9595</v>
      </c>
    </row>
    <row r="320">
      <c r="A320" s="8" t="s">
        <v>9596</v>
      </c>
      <c r="B320" s="12"/>
      <c r="C320" s="12"/>
      <c r="D320" s="12"/>
      <c r="E320" s="12"/>
      <c r="F320" s="12"/>
      <c r="G320" s="12" t="b">
        <v>0</v>
      </c>
      <c r="H320" s="28" t="s">
        <v>9597</v>
      </c>
      <c r="I320" s="8" t="s">
        <v>9598</v>
      </c>
      <c r="J320" s="12"/>
      <c r="K320" s="8" t="s">
        <v>9599</v>
      </c>
      <c r="L320" s="8">
        <v>11.0</v>
      </c>
      <c r="M320" s="8" t="s">
        <v>1295</v>
      </c>
      <c r="N320" s="12"/>
      <c r="O320" s="12"/>
      <c r="P320" s="28" t="s">
        <v>9600</v>
      </c>
    </row>
    <row r="321">
      <c r="A321" s="8" t="s">
        <v>9601</v>
      </c>
      <c r="B321" s="12"/>
      <c r="C321" s="12"/>
      <c r="D321" s="12"/>
      <c r="E321" s="12"/>
      <c r="F321" s="12"/>
      <c r="G321" s="12" t="b">
        <v>0</v>
      </c>
      <c r="H321" s="8" t="s">
        <v>9602</v>
      </c>
      <c r="I321" s="8" t="s">
        <v>9603</v>
      </c>
      <c r="J321" s="12"/>
      <c r="K321" s="8" t="s">
        <v>8412</v>
      </c>
      <c r="L321" s="8">
        <v>70.0</v>
      </c>
      <c r="M321" s="8" t="s">
        <v>1295</v>
      </c>
      <c r="N321" s="8" t="s">
        <v>9604</v>
      </c>
      <c r="O321" s="12"/>
      <c r="P321" s="28" t="s">
        <v>9605</v>
      </c>
    </row>
    <row r="322">
      <c r="A322" s="8" t="s">
        <v>9606</v>
      </c>
      <c r="B322" s="12"/>
      <c r="C322" s="12"/>
      <c r="D322" s="12"/>
      <c r="E322" s="12"/>
      <c r="F322" s="12"/>
      <c r="G322" s="12" t="b">
        <v>0</v>
      </c>
      <c r="H322" s="8" t="s">
        <v>9607</v>
      </c>
      <c r="I322" s="8" t="s">
        <v>9608</v>
      </c>
      <c r="J322" s="12"/>
      <c r="K322" s="8" t="s">
        <v>8000</v>
      </c>
      <c r="L322" s="8">
        <v>30.0</v>
      </c>
      <c r="M322" s="8" t="s">
        <v>9609</v>
      </c>
      <c r="N322" s="12"/>
      <c r="O322" s="8" t="s">
        <v>9610</v>
      </c>
      <c r="P322" s="28" t="s">
        <v>9611</v>
      </c>
    </row>
    <row r="323">
      <c r="A323" s="8" t="s">
        <v>9612</v>
      </c>
      <c r="B323" s="12"/>
      <c r="C323" s="12"/>
      <c r="D323" s="12"/>
      <c r="E323" s="12"/>
      <c r="F323" s="12"/>
      <c r="G323" s="12" t="b">
        <v>0</v>
      </c>
      <c r="H323" s="8" t="s">
        <v>9613</v>
      </c>
      <c r="I323" s="8" t="s">
        <v>9614</v>
      </c>
      <c r="J323" s="12"/>
      <c r="K323" s="8" t="s">
        <v>8192</v>
      </c>
      <c r="L323" s="8">
        <v>30.0</v>
      </c>
      <c r="M323" s="8" t="s">
        <v>9615</v>
      </c>
      <c r="N323" s="12"/>
      <c r="O323" s="8" t="s">
        <v>9616</v>
      </c>
      <c r="P323" s="28" t="s">
        <v>9617</v>
      </c>
    </row>
    <row r="324">
      <c r="A324" s="8" t="s">
        <v>9618</v>
      </c>
      <c r="B324" s="12"/>
      <c r="C324" s="12"/>
      <c r="D324" s="12"/>
      <c r="E324" s="12"/>
      <c r="F324" s="12"/>
      <c r="G324" s="12" t="b">
        <v>0</v>
      </c>
      <c r="H324" s="8" t="s">
        <v>9619</v>
      </c>
      <c r="I324" s="8" t="s">
        <v>9620</v>
      </c>
      <c r="J324" s="12"/>
      <c r="K324" s="8" t="s">
        <v>8133</v>
      </c>
      <c r="L324" s="8">
        <v>11.0</v>
      </c>
      <c r="M324" s="8" t="s">
        <v>9621</v>
      </c>
      <c r="N324" s="12"/>
      <c r="O324" s="8" t="s">
        <v>9622</v>
      </c>
      <c r="P324" s="12"/>
    </row>
    <row r="325">
      <c r="A325" s="8" t="s">
        <v>9623</v>
      </c>
      <c r="B325" s="12"/>
      <c r="C325" s="12"/>
      <c r="D325" s="12"/>
      <c r="E325" s="12"/>
      <c r="F325" s="12"/>
      <c r="G325" s="12" t="b">
        <v>0</v>
      </c>
      <c r="H325" s="8" t="s">
        <v>9624</v>
      </c>
      <c r="I325" s="8" t="s">
        <v>9625</v>
      </c>
      <c r="J325" s="12"/>
      <c r="K325" s="8" t="s">
        <v>9626</v>
      </c>
      <c r="L325" s="8">
        <v>20.0</v>
      </c>
      <c r="M325" s="8" t="s">
        <v>1295</v>
      </c>
      <c r="N325" s="12"/>
      <c r="O325" s="12"/>
      <c r="P325" s="28" t="s">
        <v>9627</v>
      </c>
    </row>
    <row r="326">
      <c r="A326" s="8" t="s">
        <v>9628</v>
      </c>
      <c r="B326" s="12"/>
      <c r="C326" s="12"/>
      <c r="D326" s="12"/>
      <c r="E326" s="12"/>
      <c r="F326" s="12"/>
      <c r="G326" s="12" t="b">
        <v>0</v>
      </c>
      <c r="H326" s="8" t="s">
        <v>9629</v>
      </c>
      <c r="I326" s="8" t="s">
        <v>9630</v>
      </c>
      <c r="J326" s="12"/>
      <c r="K326" s="8" t="s">
        <v>8810</v>
      </c>
      <c r="L326" s="8">
        <v>22.0</v>
      </c>
      <c r="M326" s="8" t="s">
        <v>9631</v>
      </c>
      <c r="N326" s="12"/>
      <c r="O326" s="8" t="s">
        <v>9632</v>
      </c>
      <c r="P326" s="28" t="s">
        <v>9633</v>
      </c>
    </row>
    <row r="327">
      <c r="A327" s="8" t="s">
        <v>9634</v>
      </c>
      <c r="B327" s="12"/>
      <c r="C327" s="12"/>
      <c r="D327" s="12"/>
      <c r="E327" s="12"/>
      <c r="F327" s="12"/>
      <c r="G327" s="12" t="b">
        <v>0</v>
      </c>
      <c r="H327" s="8" t="s">
        <v>9635</v>
      </c>
      <c r="I327" s="8" t="s">
        <v>9636</v>
      </c>
      <c r="J327" s="12"/>
      <c r="K327" s="8" t="s">
        <v>7722</v>
      </c>
      <c r="L327" s="8">
        <v>51.0</v>
      </c>
      <c r="M327" s="8" t="s">
        <v>9637</v>
      </c>
      <c r="N327" s="12"/>
      <c r="O327" s="8" t="s">
        <v>9638</v>
      </c>
      <c r="P327" s="12"/>
    </row>
    <row r="328">
      <c r="A328" s="8" t="s">
        <v>9639</v>
      </c>
      <c r="B328" s="12"/>
      <c r="C328" s="12"/>
      <c r="D328" s="12"/>
      <c r="E328" s="12"/>
      <c r="F328" s="12"/>
      <c r="G328" s="12" t="b">
        <v>0</v>
      </c>
      <c r="H328" s="8" t="s">
        <v>9640</v>
      </c>
      <c r="I328" s="8" t="s">
        <v>9641</v>
      </c>
      <c r="J328" s="12"/>
      <c r="K328" s="8" t="s">
        <v>8317</v>
      </c>
      <c r="L328" s="8">
        <v>21.0</v>
      </c>
      <c r="M328" s="8" t="s">
        <v>9642</v>
      </c>
      <c r="N328" s="12"/>
      <c r="O328" s="8" t="s">
        <v>9643</v>
      </c>
      <c r="P328" s="28" t="s">
        <v>9644</v>
      </c>
    </row>
    <row r="329">
      <c r="A329" s="8" t="s">
        <v>9645</v>
      </c>
      <c r="B329" s="12"/>
      <c r="C329" s="12"/>
      <c r="D329" s="12"/>
      <c r="E329" s="12"/>
      <c r="F329" s="12"/>
      <c r="G329" s="12" t="b">
        <v>0</v>
      </c>
      <c r="H329" s="8" t="s">
        <v>9646</v>
      </c>
      <c r="I329" s="8" t="s">
        <v>9647</v>
      </c>
      <c r="J329" s="12"/>
      <c r="K329" s="8" t="s">
        <v>7722</v>
      </c>
      <c r="L329" s="8">
        <v>12.0</v>
      </c>
      <c r="M329" s="8" t="s">
        <v>9648</v>
      </c>
      <c r="N329" s="12"/>
      <c r="O329" s="8" t="s">
        <v>9649</v>
      </c>
      <c r="P329" s="28" t="s">
        <v>9650</v>
      </c>
    </row>
    <row r="330">
      <c r="A330" s="8" t="s">
        <v>9651</v>
      </c>
      <c r="B330" s="12"/>
      <c r="C330" s="12"/>
      <c r="D330" s="12"/>
      <c r="E330" s="12"/>
      <c r="F330" s="12"/>
      <c r="G330" s="12" t="b">
        <v>0</v>
      </c>
      <c r="H330" s="8" t="s">
        <v>9652</v>
      </c>
      <c r="I330" s="8" t="s">
        <v>9653</v>
      </c>
      <c r="J330" s="12"/>
      <c r="K330" s="8" t="s">
        <v>7722</v>
      </c>
      <c r="L330" s="8">
        <v>11.0</v>
      </c>
      <c r="M330" s="8" t="s">
        <v>1295</v>
      </c>
      <c r="N330" s="12"/>
      <c r="O330" s="12"/>
      <c r="P330" s="12"/>
    </row>
    <row r="331">
      <c r="A331" s="8" t="s">
        <v>9654</v>
      </c>
      <c r="B331" s="12"/>
      <c r="C331" s="12"/>
      <c r="D331" s="12"/>
      <c r="E331" s="12"/>
      <c r="F331" s="12"/>
      <c r="G331" s="12" t="b">
        <v>0</v>
      </c>
      <c r="H331" s="8" t="s">
        <v>9655</v>
      </c>
      <c r="I331" s="8" t="s">
        <v>9656</v>
      </c>
      <c r="J331" s="12"/>
      <c r="K331" s="8" t="s">
        <v>7722</v>
      </c>
      <c r="L331" s="8">
        <v>29.0</v>
      </c>
      <c r="M331" s="8" t="s">
        <v>1295</v>
      </c>
      <c r="N331" s="12"/>
      <c r="O331" s="12"/>
      <c r="P331" s="28" t="s">
        <v>9657</v>
      </c>
    </row>
    <row r="332">
      <c r="A332" s="8" t="s">
        <v>9658</v>
      </c>
      <c r="B332" s="12"/>
      <c r="C332" s="12"/>
      <c r="D332" s="12"/>
      <c r="E332" s="12"/>
      <c r="F332" s="12"/>
      <c r="G332" s="12" t="b">
        <v>0</v>
      </c>
      <c r="H332" s="8" t="s">
        <v>9659</v>
      </c>
      <c r="I332" s="8" t="s">
        <v>9660</v>
      </c>
      <c r="J332" s="12"/>
      <c r="K332" s="8" t="s">
        <v>7722</v>
      </c>
      <c r="L332" s="8">
        <v>15.0</v>
      </c>
      <c r="M332" s="8" t="s">
        <v>9661</v>
      </c>
      <c r="N332" s="8" t="s">
        <v>9662</v>
      </c>
      <c r="O332" s="8" t="s">
        <v>9663</v>
      </c>
      <c r="P332" s="28" t="s">
        <v>9664</v>
      </c>
    </row>
    <row r="333">
      <c r="A333" s="8" t="s">
        <v>9665</v>
      </c>
      <c r="B333" s="12"/>
      <c r="C333" s="12"/>
      <c r="D333" s="12"/>
      <c r="E333" s="12"/>
      <c r="F333" s="12"/>
      <c r="G333" s="12" t="b">
        <v>0</v>
      </c>
      <c r="H333" s="8" t="s">
        <v>9666</v>
      </c>
      <c r="I333" s="8" t="s">
        <v>9667</v>
      </c>
      <c r="J333" s="12"/>
      <c r="K333" s="8" t="s">
        <v>9668</v>
      </c>
      <c r="L333" s="8">
        <v>73.0</v>
      </c>
      <c r="M333" s="8" t="s">
        <v>1295</v>
      </c>
      <c r="N333" s="12"/>
      <c r="O333" s="12"/>
      <c r="P333" s="28" t="s">
        <v>9669</v>
      </c>
    </row>
    <row r="334">
      <c r="A334" s="8" t="s">
        <v>9670</v>
      </c>
      <c r="B334" s="12"/>
      <c r="C334" s="12"/>
      <c r="D334" s="12"/>
      <c r="E334" s="12"/>
      <c r="F334" s="12"/>
      <c r="G334" s="12" t="b">
        <v>0</v>
      </c>
      <c r="H334" s="8" t="s">
        <v>9671</v>
      </c>
      <c r="I334" s="8" t="s">
        <v>9672</v>
      </c>
      <c r="J334" s="12"/>
      <c r="K334" s="8" t="s">
        <v>8141</v>
      </c>
      <c r="L334" s="8">
        <v>44.0</v>
      </c>
      <c r="M334" s="8" t="s">
        <v>9673</v>
      </c>
      <c r="N334" s="12"/>
      <c r="O334" s="8" t="s">
        <v>9009</v>
      </c>
      <c r="P334" s="28" t="s">
        <v>9674</v>
      </c>
    </row>
    <row r="335">
      <c r="A335" s="8" t="s">
        <v>9675</v>
      </c>
      <c r="B335" s="12"/>
      <c r="C335" s="12"/>
      <c r="D335" s="12"/>
      <c r="E335" s="12"/>
      <c r="F335" s="12"/>
      <c r="G335" s="12" t="b">
        <v>0</v>
      </c>
      <c r="H335" s="8" t="s">
        <v>9676</v>
      </c>
      <c r="I335" s="8" t="s">
        <v>9677</v>
      </c>
      <c r="J335" s="12"/>
      <c r="K335" s="8" t="s">
        <v>7722</v>
      </c>
      <c r="L335" s="8">
        <v>100.0</v>
      </c>
      <c r="M335" s="8" t="s">
        <v>1295</v>
      </c>
      <c r="N335" s="12"/>
      <c r="O335" s="12"/>
      <c r="P335" s="28" t="s">
        <v>9678</v>
      </c>
    </row>
    <row r="336">
      <c r="A336" s="8" t="s">
        <v>9679</v>
      </c>
      <c r="B336" s="12"/>
      <c r="C336" s="12"/>
      <c r="D336" s="12"/>
      <c r="E336" s="12"/>
      <c r="F336" s="12"/>
      <c r="G336" s="12" t="b">
        <v>0</v>
      </c>
      <c r="H336" s="8" t="s">
        <v>9680</v>
      </c>
      <c r="I336" s="8" t="s">
        <v>9681</v>
      </c>
      <c r="J336" s="12"/>
      <c r="K336" s="8" t="s">
        <v>7804</v>
      </c>
      <c r="L336" s="8">
        <v>17.0</v>
      </c>
      <c r="M336" s="8" t="s">
        <v>9682</v>
      </c>
      <c r="N336" s="12"/>
      <c r="O336" s="8" t="s">
        <v>9683</v>
      </c>
      <c r="P336" s="28" t="s">
        <v>9684</v>
      </c>
    </row>
    <row r="337">
      <c r="A337" s="8" t="s">
        <v>9685</v>
      </c>
      <c r="B337" s="12"/>
      <c r="C337" s="12"/>
      <c r="D337" s="12"/>
      <c r="E337" s="12"/>
      <c r="F337" s="12"/>
      <c r="G337" s="12" t="b">
        <v>0</v>
      </c>
      <c r="H337" s="8" t="s">
        <v>9686</v>
      </c>
      <c r="I337" s="8" t="s">
        <v>9687</v>
      </c>
      <c r="J337" s="12"/>
      <c r="K337" s="8" t="s">
        <v>7804</v>
      </c>
      <c r="L337" s="8">
        <v>11.0</v>
      </c>
      <c r="M337" s="8" t="s">
        <v>1295</v>
      </c>
      <c r="N337" s="12"/>
      <c r="O337" s="12"/>
      <c r="P337" s="12"/>
    </row>
    <row r="338">
      <c r="A338" s="8" t="s">
        <v>9688</v>
      </c>
      <c r="B338" s="12"/>
      <c r="C338" s="12"/>
      <c r="D338" s="12"/>
      <c r="E338" s="12"/>
      <c r="F338" s="12"/>
      <c r="G338" s="12" t="b">
        <v>0</v>
      </c>
      <c r="H338" s="8" t="s">
        <v>9689</v>
      </c>
      <c r="I338" s="8" t="s">
        <v>9690</v>
      </c>
      <c r="J338" s="12"/>
      <c r="K338" s="8" t="s">
        <v>8192</v>
      </c>
      <c r="L338" s="8">
        <v>45.0</v>
      </c>
      <c r="M338" s="8" t="s">
        <v>9691</v>
      </c>
      <c r="N338" s="12"/>
      <c r="O338" s="8" t="s">
        <v>7978</v>
      </c>
      <c r="P338" s="28" t="s">
        <v>9692</v>
      </c>
    </row>
    <row r="339">
      <c r="A339" s="8" t="s">
        <v>9693</v>
      </c>
      <c r="B339" s="12"/>
      <c r="C339" s="12"/>
      <c r="D339" s="12"/>
      <c r="E339" s="12"/>
      <c r="F339" s="12"/>
      <c r="G339" s="12" t="b">
        <v>0</v>
      </c>
      <c r="H339" s="8" t="s">
        <v>9694</v>
      </c>
      <c r="I339" s="8" t="s">
        <v>9695</v>
      </c>
      <c r="J339" s="12"/>
      <c r="K339" s="8" t="s">
        <v>7722</v>
      </c>
      <c r="L339" s="8">
        <v>100.0</v>
      </c>
      <c r="M339" s="8" t="s">
        <v>9696</v>
      </c>
      <c r="N339" s="12"/>
      <c r="O339" s="8" t="s">
        <v>9697</v>
      </c>
      <c r="P339" s="28" t="s">
        <v>9698</v>
      </c>
    </row>
    <row r="340">
      <c r="A340" s="8" t="s">
        <v>9699</v>
      </c>
      <c r="B340" s="12"/>
      <c r="C340" s="12"/>
      <c r="D340" s="12"/>
      <c r="E340" s="12"/>
      <c r="F340" s="12"/>
      <c r="G340" s="12" t="b">
        <v>0</v>
      </c>
      <c r="H340" s="8" t="s">
        <v>9700</v>
      </c>
      <c r="I340" s="8" t="s">
        <v>9701</v>
      </c>
      <c r="J340" s="12"/>
      <c r="K340" s="8" t="s">
        <v>7804</v>
      </c>
      <c r="L340" s="8">
        <v>90.0</v>
      </c>
      <c r="M340" s="8" t="s">
        <v>1295</v>
      </c>
      <c r="N340" s="12"/>
      <c r="O340" s="12"/>
      <c r="P340" s="28" t="s">
        <v>9702</v>
      </c>
    </row>
    <row r="341">
      <c r="A341" s="8" t="s">
        <v>9703</v>
      </c>
      <c r="B341" s="12"/>
      <c r="C341" s="12"/>
      <c r="D341" s="12"/>
      <c r="E341" s="12"/>
      <c r="F341" s="12"/>
      <c r="G341" s="12" t="b">
        <v>0</v>
      </c>
      <c r="H341" s="8" t="s">
        <v>9704</v>
      </c>
      <c r="I341" s="8" t="s">
        <v>9705</v>
      </c>
      <c r="J341" s="12"/>
      <c r="K341" s="8" t="s">
        <v>7722</v>
      </c>
      <c r="L341" s="8">
        <v>27.0</v>
      </c>
      <c r="M341" s="8" t="s">
        <v>1295</v>
      </c>
      <c r="N341" s="12"/>
      <c r="O341" s="12"/>
      <c r="P341" s="28" t="s">
        <v>9706</v>
      </c>
    </row>
    <row r="342">
      <c r="A342" s="8" t="s">
        <v>9707</v>
      </c>
      <c r="B342" s="12"/>
      <c r="C342" s="12"/>
      <c r="D342" s="12"/>
      <c r="E342" s="12"/>
      <c r="F342" s="12"/>
      <c r="G342" s="12" t="b">
        <v>0</v>
      </c>
      <c r="H342" s="8" t="s">
        <v>9708</v>
      </c>
      <c r="I342" s="8" t="s">
        <v>9709</v>
      </c>
      <c r="J342" s="12"/>
      <c r="K342" s="8" t="s">
        <v>7804</v>
      </c>
      <c r="L342" s="8">
        <v>40.0</v>
      </c>
      <c r="M342" s="8" t="s">
        <v>9710</v>
      </c>
      <c r="N342" s="12"/>
      <c r="O342" s="8" t="s">
        <v>9711</v>
      </c>
      <c r="P342" s="28" t="s">
        <v>9712</v>
      </c>
    </row>
    <row r="343">
      <c r="A343" s="8" t="s">
        <v>9713</v>
      </c>
      <c r="B343" s="12"/>
      <c r="C343" s="12"/>
      <c r="D343" s="12"/>
      <c r="E343" s="12"/>
      <c r="F343" s="12"/>
      <c r="G343" s="12" t="b">
        <v>0</v>
      </c>
      <c r="H343" s="8" t="s">
        <v>9714</v>
      </c>
      <c r="I343" s="8" t="s">
        <v>9715</v>
      </c>
      <c r="J343" s="12"/>
      <c r="K343" s="8" t="s">
        <v>9561</v>
      </c>
      <c r="L343" s="8">
        <v>40.0</v>
      </c>
      <c r="M343" s="8" t="s">
        <v>1295</v>
      </c>
      <c r="N343" s="12"/>
      <c r="O343" s="12"/>
      <c r="P343" s="28" t="s">
        <v>9716</v>
      </c>
    </row>
    <row r="344">
      <c r="A344" s="8" t="s">
        <v>9717</v>
      </c>
      <c r="B344" s="12"/>
      <c r="C344" s="12"/>
      <c r="D344" s="12"/>
      <c r="E344" s="12"/>
      <c r="F344" s="12"/>
      <c r="G344" s="12" t="b">
        <v>0</v>
      </c>
      <c r="H344" s="8" t="s">
        <v>9718</v>
      </c>
      <c r="I344" s="8" t="s">
        <v>9719</v>
      </c>
      <c r="J344" s="12"/>
      <c r="K344" s="8" t="s">
        <v>9720</v>
      </c>
      <c r="L344" s="8">
        <v>48.0</v>
      </c>
      <c r="M344" s="8" t="s">
        <v>9721</v>
      </c>
      <c r="N344" s="8" t="s">
        <v>9722</v>
      </c>
      <c r="O344" s="8" t="s">
        <v>9723</v>
      </c>
      <c r="P344" s="28" t="s">
        <v>9724</v>
      </c>
    </row>
    <row r="345">
      <c r="A345" s="8" t="s">
        <v>9725</v>
      </c>
      <c r="B345" s="12"/>
      <c r="C345" s="12"/>
      <c r="D345" s="12"/>
      <c r="E345" s="12"/>
      <c r="F345" s="12"/>
      <c r="G345" s="12" t="b">
        <v>0</v>
      </c>
      <c r="H345" s="8" t="s">
        <v>9726</v>
      </c>
      <c r="I345" s="8" t="s">
        <v>9727</v>
      </c>
      <c r="J345" s="12"/>
      <c r="K345" s="8" t="s">
        <v>9728</v>
      </c>
      <c r="L345" s="8">
        <v>86.0</v>
      </c>
      <c r="M345" s="8" t="s">
        <v>9729</v>
      </c>
      <c r="N345" s="12"/>
      <c r="O345" s="8" t="s">
        <v>1527</v>
      </c>
      <c r="P345" s="28" t="s">
        <v>9730</v>
      </c>
    </row>
    <row r="346">
      <c r="A346" s="8" t="s">
        <v>9731</v>
      </c>
      <c r="B346" s="12"/>
      <c r="C346" s="12"/>
      <c r="D346" s="12"/>
      <c r="E346" s="12"/>
      <c r="F346" s="12"/>
      <c r="G346" s="12" t="b">
        <v>0</v>
      </c>
      <c r="H346" s="8" t="s">
        <v>9732</v>
      </c>
      <c r="I346" s="8" t="s">
        <v>9733</v>
      </c>
      <c r="J346" s="12"/>
      <c r="K346" s="8" t="s">
        <v>9734</v>
      </c>
      <c r="L346" s="8">
        <v>10.0</v>
      </c>
      <c r="M346" s="8" t="s">
        <v>9735</v>
      </c>
      <c r="N346" s="12"/>
      <c r="O346" s="8" t="s">
        <v>9736</v>
      </c>
      <c r="P346" s="28" t="s">
        <v>9737</v>
      </c>
    </row>
    <row r="347">
      <c r="A347" s="8" t="s">
        <v>9738</v>
      </c>
      <c r="B347" s="12"/>
      <c r="C347" s="12"/>
      <c r="D347" s="12"/>
      <c r="E347" s="12"/>
      <c r="F347" s="12"/>
      <c r="G347" s="12" t="b">
        <v>0</v>
      </c>
      <c r="H347" s="8" t="s">
        <v>9739</v>
      </c>
      <c r="I347" s="8" t="s">
        <v>9740</v>
      </c>
      <c r="J347" s="12"/>
      <c r="K347" s="8" t="s">
        <v>7722</v>
      </c>
      <c r="L347" s="8">
        <v>11.0</v>
      </c>
      <c r="M347" s="8" t="s">
        <v>1295</v>
      </c>
      <c r="N347" s="12"/>
      <c r="O347" s="12"/>
      <c r="P347" s="12"/>
    </row>
    <row r="348">
      <c r="A348" s="8" t="s">
        <v>9741</v>
      </c>
      <c r="B348" s="12"/>
      <c r="C348" s="12"/>
      <c r="D348" s="12"/>
      <c r="E348" s="12"/>
      <c r="F348" s="12"/>
      <c r="G348" s="12" t="b">
        <v>0</v>
      </c>
      <c r="H348" s="8" t="s">
        <v>9742</v>
      </c>
      <c r="I348" s="8" t="s">
        <v>9743</v>
      </c>
      <c r="J348" s="12"/>
      <c r="K348" s="8" t="s">
        <v>8141</v>
      </c>
      <c r="L348" s="8">
        <v>32.0</v>
      </c>
      <c r="M348" s="8" t="s">
        <v>9744</v>
      </c>
      <c r="N348" s="12"/>
      <c r="O348" s="8" t="s">
        <v>9745</v>
      </c>
      <c r="P348" s="28" t="s">
        <v>9746</v>
      </c>
    </row>
    <row r="349">
      <c r="A349" s="8" t="s">
        <v>1419</v>
      </c>
      <c r="B349" s="12"/>
      <c r="C349" s="12"/>
      <c r="D349" s="12"/>
      <c r="E349" s="12"/>
      <c r="F349" s="12"/>
      <c r="G349" s="12" t="b">
        <v>0</v>
      </c>
      <c r="H349" s="8" t="s">
        <v>1422</v>
      </c>
      <c r="I349" s="8" t="s">
        <v>9747</v>
      </c>
      <c r="J349" s="12"/>
      <c r="K349" s="8" t="s">
        <v>8141</v>
      </c>
      <c r="L349" s="8">
        <v>14.0</v>
      </c>
      <c r="M349" s="8" t="s">
        <v>9748</v>
      </c>
      <c r="N349" s="12"/>
      <c r="O349" s="8" t="s">
        <v>9749</v>
      </c>
      <c r="P349" s="28" t="s">
        <v>9750</v>
      </c>
    </row>
    <row r="350">
      <c r="A350" s="8" t="s">
        <v>9751</v>
      </c>
      <c r="B350" s="12"/>
      <c r="C350" s="12"/>
      <c r="D350" s="12"/>
      <c r="E350" s="12"/>
      <c r="F350" s="12"/>
      <c r="G350" s="12" t="b">
        <v>0</v>
      </c>
      <c r="H350" s="8" t="s">
        <v>9752</v>
      </c>
      <c r="I350" s="8" t="s">
        <v>9753</v>
      </c>
      <c r="J350" s="12"/>
      <c r="K350" s="8" t="s">
        <v>9626</v>
      </c>
      <c r="L350" s="8">
        <v>30.0</v>
      </c>
      <c r="M350" s="8" t="s">
        <v>1295</v>
      </c>
      <c r="N350" s="8" t="s">
        <v>9754</v>
      </c>
      <c r="O350" s="12"/>
      <c r="P350" s="28" t="s">
        <v>9755</v>
      </c>
    </row>
    <row r="351">
      <c r="A351" s="8" t="s">
        <v>9756</v>
      </c>
      <c r="B351" s="12"/>
      <c r="C351" s="12"/>
      <c r="D351" s="12"/>
      <c r="E351" s="12"/>
      <c r="F351" s="12"/>
      <c r="G351" s="12" t="b">
        <v>0</v>
      </c>
      <c r="H351" s="8" t="s">
        <v>9757</v>
      </c>
      <c r="I351" s="8" t="s">
        <v>9758</v>
      </c>
      <c r="J351" s="12"/>
      <c r="K351" s="8" t="s">
        <v>8192</v>
      </c>
      <c r="L351" s="8">
        <v>15.0</v>
      </c>
      <c r="M351" s="8" t="s">
        <v>9759</v>
      </c>
      <c r="N351" s="12"/>
      <c r="O351" s="8" t="s">
        <v>9760</v>
      </c>
      <c r="P351" s="28" t="s">
        <v>9761</v>
      </c>
    </row>
    <row r="352">
      <c r="A352" s="8" t="s">
        <v>9762</v>
      </c>
      <c r="B352" s="12"/>
      <c r="C352" s="12"/>
      <c r="D352" s="12"/>
      <c r="E352" s="12"/>
      <c r="F352" s="12"/>
      <c r="G352" s="12" t="b">
        <v>0</v>
      </c>
      <c r="H352" s="8" t="s">
        <v>9763</v>
      </c>
      <c r="I352" s="8" t="s">
        <v>9764</v>
      </c>
      <c r="J352" s="12"/>
      <c r="K352" s="8" t="s">
        <v>8141</v>
      </c>
      <c r="L352" s="8">
        <v>11.0</v>
      </c>
      <c r="M352" s="8" t="s">
        <v>9765</v>
      </c>
      <c r="N352" s="12"/>
      <c r="O352" s="8" t="s">
        <v>9766</v>
      </c>
      <c r="P352" s="28" t="s">
        <v>9767</v>
      </c>
    </row>
    <row r="353">
      <c r="A353" s="8" t="s">
        <v>9768</v>
      </c>
      <c r="B353" s="12"/>
      <c r="C353" s="12"/>
      <c r="D353" s="12"/>
      <c r="E353" s="12"/>
      <c r="F353" s="12"/>
      <c r="G353" s="12" t="b">
        <v>0</v>
      </c>
      <c r="H353" s="8" t="s">
        <v>9769</v>
      </c>
      <c r="I353" s="8" t="s">
        <v>9770</v>
      </c>
      <c r="J353" s="12"/>
      <c r="K353" s="8" t="s">
        <v>8150</v>
      </c>
      <c r="L353" s="8">
        <v>10.0</v>
      </c>
      <c r="M353" s="8" t="s">
        <v>9771</v>
      </c>
      <c r="N353" s="12"/>
      <c r="O353" s="8" t="s">
        <v>9772</v>
      </c>
      <c r="P353" s="28" t="s">
        <v>9773</v>
      </c>
    </row>
    <row r="354">
      <c r="A354" s="8" t="s">
        <v>9774</v>
      </c>
      <c r="B354" s="12"/>
      <c r="C354" s="12"/>
      <c r="D354" s="12"/>
      <c r="E354" s="12"/>
      <c r="F354" s="12"/>
      <c r="G354" s="12" t="b">
        <v>0</v>
      </c>
      <c r="H354" s="8" t="s">
        <v>9775</v>
      </c>
      <c r="I354" s="8" t="s">
        <v>9776</v>
      </c>
      <c r="J354" s="12"/>
      <c r="K354" s="8" t="s">
        <v>8304</v>
      </c>
      <c r="L354" s="8">
        <v>12.0</v>
      </c>
      <c r="M354" s="8" t="s">
        <v>9777</v>
      </c>
      <c r="N354" s="12"/>
      <c r="O354" s="8" t="s">
        <v>9778</v>
      </c>
      <c r="P354" s="28" t="s">
        <v>9779</v>
      </c>
    </row>
    <row r="355">
      <c r="A355" s="8" t="s">
        <v>9780</v>
      </c>
      <c r="B355" s="12"/>
      <c r="C355" s="12"/>
      <c r="D355" s="12"/>
      <c r="E355" s="12"/>
      <c r="F355" s="12"/>
      <c r="G355" s="12" t="b">
        <v>0</v>
      </c>
      <c r="H355" s="8" t="s">
        <v>9781</v>
      </c>
      <c r="I355" s="8" t="s">
        <v>9782</v>
      </c>
      <c r="J355" s="12"/>
      <c r="K355" s="8" t="s">
        <v>8752</v>
      </c>
      <c r="L355" s="8">
        <v>35.0</v>
      </c>
      <c r="M355" s="8" t="s">
        <v>9783</v>
      </c>
      <c r="N355" s="12"/>
      <c r="O355" s="8" t="s">
        <v>9784</v>
      </c>
      <c r="P355" s="28" t="s">
        <v>9785</v>
      </c>
    </row>
    <row r="356">
      <c r="A356" s="8" t="s">
        <v>9786</v>
      </c>
      <c r="B356" s="12"/>
      <c r="C356" s="12"/>
      <c r="D356" s="12"/>
      <c r="E356" s="12"/>
      <c r="F356" s="12"/>
      <c r="G356" s="12" t="b">
        <v>0</v>
      </c>
      <c r="H356" s="8" t="s">
        <v>9787</v>
      </c>
      <c r="I356" s="8" t="s">
        <v>9788</v>
      </c>
      <c r="J356" s="12"/>
      <c r="K356" s="8" t="s">
        <v>9789</v>
      </c>
      <c r="L356" s="8">
        <v>10.0</v>
      </c>
      <c r="M356" s="8" t="s">
        <v>9790</v>
      </c>
      <c r="N356" s="8" t="s">
        <v>9791</v>
      </c>
      <c r="O356" s="8" t="s">
        <v>9792</v>
      </c>
      <c r="P356" s="28" t="s">
        <v>9793</v>
      </c>
    </row>
    <row r="357">
      <c r="A357" s="8" t="s">
        <v>9794</v>
      </c>
      <c r="B357" s="12"/>
      <c r="C357" s="12"/>
      <c r="D357" s="12"/>
      <c r="E357" s="12"/>
      <c r="F357" s="12"/>
      <c r="G357" s="12" t="b">
        <v>0</v>
      </c>
      <c r="H357" s="8" t="s">
        <v>9795</v>
      </c>
      <c r="I357" s="12"/>
      <c r="J357" s="12"/>
      <c r="K357" s="8" t="s">
        <v>8648</v>
      </c>
      <c r="L357" s="8">
        <v>11.0</v>
      </c>
      <c r="M357" s="8" t="s">
        <v>1295</v>
      </c>
      <c r="N357" s="12"/>
      <c r="O357" s="12"/>
      <c r="P357" s="12"/>
    </row>
    <row r="358">
      <c r="A358" s="8" t="s">
        <v>9796</v>
      </c>
      <c r="B358" s="12"/>
      <c r="C358" s="12"/>
      <c r="D358" s="12"/>
      <c r="E358" s="12"/>
      <c r="F358" s="12"/>
      <c r="G358" s="12" t="b">
        <v>0</v>
      </c>
      <c r="H358" s="8" t="s">
        <v>9797</v>
      </c>
      <c r="I358" s="8" t="s">
        <v>9798</v>
      </c>
      <c r="J358" s="12"/>
      <c r="K358" s="8" t="s">
        <v>7722</v>
      </c>
      <c r="L358" s="8">
        <v>10.0</v>
      </c>
      <c r="M358" s="8" t="s">
        <v>9799</v>
      </c>
      <c r="N358" s="12"/>
      <c r="O358" s="8" t="s">
        <v>9800</v>
      </c>
      <c r="P358" s="28" t="s">
        <v>9801</v>
      </c>
    </row>
    <row r="359">
      <c r="A359" s="8" t="s">
        <v>9802</v>
      </c>
      <c r="B359" s="12"/>
      <c r="C359" s="12"/>
      <c r="D359" s="12"/>
      <c r="E359" s="12"/>
      <c r="F359" s="12"/>
      <c r="G359" s="12" t="b">
        <v>0</v>
      </c>
      <c r="H359" s="8" t="s">
        <v>9803</v>
      </c>
      <c r="I359" s="8" t="s">
        <v>9804</v>
      </c>
      <c r="J359" s="12"/>
      <c r="K359" s="8" t="s">
        <v>7722</v>
      </c>
      <c r="L359" s="8">
        <v>47.0</v>
      </c>
      <c r="M359" s="8" t="s">
        <v>1295</v>
      </c>
      <c r="N359" s="12"/>
      <c r="O359" s="12"/>
      <c r="P359" s="28" t="s">
        <v>9805</v>
      </c>
    </row>
    <row r="360">
      <c r="A360" s="8" t="s">
        <v>9806</v>
      </c>
      <c r="B360" s="12"/>
      <c r="C360" s="12"/>
      <c r="D360" s="12"/>
      <c r="E360" s="12"/>
      <c r="F360" s="12"/>
      <c r="G360" s="12" t="b">
        <v>0</v>
      </c>
      <c r="H360" s="8" t="s">
        <v>9807</v>
      </c>
      <c r="I360" s="8" t="s">
        <v>9808</v>
      </c>
      <c r="J360" s="12"/>
      <c r="K360" s="8" t="s">
        <v>7722</v>
      </c>
      <c r="L360" s="8">
        <v>60.0</v>
      </c>
      <c r="M360" s="8" t="s">
        <v>1295</v>
      </c>
      <c r="N360" s="12"/>
      <c r="O360" s="12"/>
      <c r="P360" s="28" t="s">
        <v>9809</v>
      </c>
    </row>
    <row r="361">
      <c r="A361" s="8" t="s">
        <v>9810</v>
      </c>
      <c r="B361" s="12"/>
      <c r="C361" s="12"/>
      <c r="D361" s="12"/>
      <c r="E361" s="12"/>
      <c r="F361" s="12"/>
      <c r="G361" s="12" t="b">
        <v>0</v>
      </c>
      <c r="H361" s="8" t="s">
        <v>9811</v>
      </c>
      <c r="I361" s="8" t="s">
        <v>9812</v>
      </c>
      <c r="J361" s="12"/>
      <c r="K361" s="8" t="s">
        <v>9813</v>
      </c>
      <c r="L361" s="8">
        <v>15.0</v>
      </c>
      <c r="M361" s="8" t="s">
        <v>9814</v>
      </c>
      <c r="N361" s="12"/>
      <c r="O361" s="8" t="s">
        <v>9815</v>
      </c>
      <c r="P361" s="28" t="s">
        <v>9816</v>
      </c>
    </row>
    <row r="362">
      <c r="A362" s="8" t="s">
        <v>9817</v>
      </c>
      <c r="B362" s="12"/>
      <c r="C362" s="12"/>
      <c r="D362" s="12"/>
      <c r="E362" s="12"/>
      <c r="F362" s="12"/>
      <c r="G362" s="12" t="b">
        <v>0</v>
      </c>
      <c r="H362" s="8" t="s">
        <v>9818</v>
      </c>
      <c r="I362" s="8" t="s">
        <v>9819</v>
      </c>
      <c r="J362" s="12"/>
      <c r="K362" s="8" t="s">
        <v>9820</v>
      </c>
      <c r="L362" s="8">
        <v>60.0</v>
      </c>
      <c r="M362" s="8" t="s">
        <v>9821</v>
      </c>
      <c r="N362" s="12"/>
      <c r="O362" s="8" t="s">
        <v>9822</v>
      </c>
      <c r="P362" s="28" t="s">
        <v>9823</v>
      </c>
    </row>
    <row r="363">
      <c r="A363" s="8" t="s">
        <v>9824</v>
      </c>
      <c r="B363" s="12"/>
      <c r="C363" s="12"/>
      <c r="D363" s="12"/>
      <c r="E363" s="12"/>
      <c r="F363" s="12"/>
      <c r="G363" s="12" t="b">
        <v>0</v>
      </c>
      <c r="H363" s="8" t="s">
        <v>9825</v>
      </c>
      <c r="I363" s="8" t="s">
        <v>9826</v>
      </c>
      <c r="J363" s="12"/>
      <c r="K363" s="8" t="s">
        <v>7804</v>
      </c>
      <c r="L363" s="8">
        <v>50.0</v>
      </c>
      <c r="M363" s="8" t="s">
        <v>9827</v>
      </c>
      <c r="N363" s="12"/>
      <c r="O363" s="8" t="s">
        <v>9828</v>
      </c>
      <c r="P363" s="28" t="s">
        <v>9829</v>
      </c>
    </row>
    <row r="364">
      <c r="A364" s="8" t="s">
        <v>9830</v>
      </c>
      <c r="B364" s="12"/>
      <c r="C364" s="12"/>
      <c r="D364" s="12"/>
      <c r="E364" s="12"/>
      <c r="F364" s="12"/>
      <c r="G364" s="12" t="b">
        <v>0</v>
      </c>
      <c r="H364" s="8" t="s">
        <v>9831</v>
      </c>
      <c r="I364" s="8" t="s">
        <v>9832</v>
      </c>
      <c r="J364" s="12"/>
      <c r="K364" s="12"/>
      <c r="L364" s="8">
        <v>10.0</v>
      </c>
      <c r="M364" s="8" t="s">
        <v>9833</v>
      </c>
      <c r="N364" s="8" t="s">
        <v>9834</v>
      </c>
      <c r="O364" s="8" t="s">
        <v>7750</v>
      </c>
      <c r="P364" s="28" t="s">
        <v>9835</v>
      </c>
    </row>
    <row r="365">
      <c r="A365" s="8" t="s">
        <v>9836</v>
      </c>
      <c r="B365" s="12"/>
      <c r="C365" s="12"/>
      <c r="D365" s="12"/>
      <c r="E365" s="12"/>
      <c r="F365" s="12"/>
      <c r="G365" s="12" t="b">
        <v>0</v>
      </c>
      <c r="H365" s="8" t="s">
        <v>9837</v>
      </c>
      <c r="I365" s="8" t="s">
        <v>9838</v>
      </c>
      <c r="J365" s="12"/>
      <c r="K365" s="8" t="s">
        <v>7894</v>
      </c>
      <c r="L365" s="8">
        <v>12.0</v>
      </c>
      <c r="M365" s="8" t="s">
        <v>9839</v>
      </c>
      <c r="N365" s="12"/>
      <c r="O365" s="8" t="s">
        <v>8945</v>
      </c>
      <c r="P365" s="28" t="s">
        <v>9840</v>
      </c>
    </row>
    <row r="366">
      <c r="A366" s="8" t="s">
        <v>9841</v>
      </c>
      <c r="B366" s="12"/>
      <c r="C366" s="12"/>
      <c r="D366" s="12"/>
      <c r="E366" s="12"/>
      <c r="F366" s="12"/>
      <c r="G366" s="12" t="b">
        <v>0</v>
      </c>
      <c r="H366" s="8" t="s">
        <v>9842</v>
      </c>
      <c r="I366" s="8" t="s">
        <v>9843</v>
      </c>
      <c r="J366" s="12"/>
      <c r="K366" s="8" t="s">
        <v>9844</v>
      </c>
      <c r="L366" s="8">
        <v>20.0</v>
      </c>
      <c r="M366" s="8" t="s">
        <v>9845</v>
      </c>
      <c r="N366" s="12"/>
      <c r="O366" s="8" t="s">
        <v>9846</v>
      </c>
      <c r="P366" s="28" t="s">
        <v>9847</v>
      </c>
    </row>
    <row r="367">
      <c r="A367" s="8" t="s">
        <v>9848</v>
      </c>
      <c r="B367" s="12"/>
      <c r="C367" s="12"/>
      <c r="D367" s="12"/>
      <c r="E367" s="12"/>
      <c r="F367" s="12"/>
      <c r="G367" s="12" t="b">
        <v>0</v>
      </c>
      <c r="H367" s="8" t="s">
        <v>9849</v>
      </c>
      <c r="I367" s="8" t="s">
        <v>9850</v>
      </c>
      <c r="J367" s="12"/>
      <c r="K367" s="8" t="s">
        <v>9851</v>
      </c>
      <c r="L367" s="8">
        <v>51.0</v>
      </c>
      <c r="M367" s="8" t="s">
        <v>9852</v>
      </c>
      <c r="N367" s="12"/>
      <c r="O367" s="8" t="s">
        <v>9373</v>
      </c>
      <c r="P367" s="28" t="s">
        <v>9853</v>
      </c>
    </row>
    <row r="368">
      <c r="A368" s="8" t="s">
        <v>9854</v>
      </c>
      <c r="B368" s="12"/>
      <c r="C368" s="12"/>
      <c r="D368" s="12"/>
      <c r="E368" s="12"/>
      <c r="F368" s="12"/>
      <c r="G368" s="12" t="b">
        <v>0</v>
      </c>
      <c r="H368" s="8" t="s">
        <v>9855</v>
      </c>
      <c r="I368" s="8" t="s">
        <v>9856</v>
      </c>
      <c r="J368" s="12"/>
      <c r="K368" s="8" t="s">
        <v>9857</v>
      </c>
      <c r="L368" s="8">
        <v>35.0</v>
      </c>
      <c r="M368" s="8" t="s">
        <v>9858</v>
      </c>
      <c r="N368" s="8" t="s">
        <v>9859</v>
      </c>
      <c r="O368" s="8" t="s">
        <v>9860</v>
      </c>
      <c r="P368" s="28" t="s">
        <v>9861</v>
      </c>
    </row>
    <row r="369">
      <c r="A369" s="8" t="s">
        <v>9862</v>
      </c>
      <c r="B369" s="12"/>
      <c r="C369" s="12"/>
      <c r="D369" s="12"/>
      <c r="E369" s="12"/>
      <c r="F369" s="12"/>
      <c r="G369" s="12" t="b">
        <v>0</v>
      </c>
      <c r="H369" s="8" t="s">
        <v>9863</v>
      </c>
      <c r="I369" s="8" t="s">
        <v>9864</v>
      </c>
      <c r="J369" s="12"/>
      <c r="K369" s="8" t="s">
        <v>9865</v>
      </c>
      <c r="L369" s="8">
        <v>50.0</v>
      </c>
      <c r="M369" s="8" t="s">
        <v>1295</v>
      </c>
      <c r="N369" s="12"/>
      <c r="O369" s="12"/>
      <c r="P369" s="28" t="s">
        <v>9866</v>
      </c>
    </row>
    <row r="370">
      <c r="A370" s="8" t="s">
        <v>9867</v>
      </c>
      <c r="B370" s="12"/>
      <c r="C370" s="12"/>
      <c r="D370" s="12"/>
      <c r="E370" s="12"/>
      <c r="F370" s="12"/>
      <c r="G370" s="12" t="b">
        <v>0</v>
      </c>
      <c r="H370" s="8" t="s">
        <v>9868</v>
      </c>
      <c r="I370" s="8" t="s">
        <v>9869</v>
      </c>
      <c r="J370" s="12"/>
      <c r="K370" s="8" t="s">
        <v>8133</v>
      </c>
      <c r="L370" s="8">
        <v>48.0</v>
      </c>
      <c r="M370" s="8" t="s">
        <v>9870</v>
      </c>
      <c r="N370" s="12"/>
      <c r="O370" s="8" t="s">
        <v>8226</v>
      </c>
      <c r="P370" s="28" t="s">
        <v>9871</v>
      </c>
    </row>
    <row r="371">
      <c r="A371" s="8" t="s">
        <v>9872</v>
      </c>
      <c r="B371" s="12"/>
      <c r="C371" s="12"/>
      <c r="D371" s="12"/>
      <c r="E371" s="12"/>
      <c r="F371" s="12"/>
      <c r="G371" s="12" t="b">
        <v>0</v>
      </c>
      <c r="H371" s="8" t="s">
        <v>9873</v>
      </c>
      <c r="I371" s="8" t="s">
        <v>9874</v>
      </c>
      <c r="J371" s="12"/>
      <c r="K371" s="8" t="s">
        <v>9875</v>
      </c>
      <c r="L371" s="8">
        <v>15.0</v>
      </c>
      <c r="M371" s="8" t="s">
        <v>9876</v>
      </c>
      <c r="N371" s="12"/>
      <c r="O371" s="8" t="s">
        <v>9877</v>
      </c>
      <c r="P371" s="28" t="s">
        <v>9878</v>
      </c>
    </row>
    <row r="372">
      <c r="A372" s="8" t="s">
        <v>9879</v>
      </c>
      <c r="B372" s="12"/>
      <c r="C372" s="12"/>
      <c r="D372" s="12"/>
      <c r="E372" s="12"/>
      <c r="F372" s="12"/>
      <c r="G372" s="12" t="b">
        <v>0</v>
      </c>
      <c r="H372" s="8" t="s">
        <v>9880</v>
      </c>
      <c r="I372" s="8" t="s">
        <v>9881</v>
      </c>
      <c r="J372" s="12"/>
      <c r="K372" s="8" t="s">
        <v>7722</v>
      </c>
      <c r="L372" s="8">
        <v>11.0</v>
      </c>
      <c r="M372" s="8" t="s">
        <v>1295</v>
      </c>
      <c r="N372" s="12"/>
      <c r="O372" s="12"/>
      <c r="P372" s="12"/>
    </row>
    <row r="373">
      <c r="A373" s="8" t="s">
        <v>9882</v>
      </c>
      <c r="B373" s="12"/>
      <c r="C373" s="12"/>
      <c r="D373" s="12"/>
      <c r="E373" s="12"/>
      <c r="F373" s="12"/>
      <c r="G373" s="12" t="b">
        <v>0</v>
      </c>
      <c r="H373" s="8" t="s">
        <v>9883</v>
      </c>
      <c r="I373" s="8" t="s">
        <v>9884</v>
      </c>
      <c r="J373" s="12"/>
      <c r="K373" s="8" t="s">
        <v>7920</v>
      </c>
      <c r="L373" s="8">
        <v>30.0</v>
      </c>
      <c r="M373" s="8" t="s">
        <v>9885</v>
      </c>
      <c r="N373" s="12"/>
      <c r="O373" s="8" t="s">
        <v>8661</v>
      </c>
      <c r="P373" s="28" t="s">
        <v>9886</v>
      </c>
    </row>
    <row r="374">
      <c r="A374" s="8" t="s">
        <v>9887</v>
      </c>
      <c r="B374" s="12"/>
      <c r="C374" s="12"/>
      <c r="D374" s="12"/>
      <c r="E374" s="12"/>
      <c r="F374" s="12"/>
      <c r="G374" s="12" t="b">
        <v>0</v>
      </c>
      <c r="H374" s="8" t="s">
        <v>9888</v>
      </c>
      <c r="I374" s="8" t="s">
        <v>9889</v>
      </c>
      <c r="J374" s="12"/>
      <c r="K374" s="8" t="s">
        <v>7903</v>
      </c>
      <c r="L374" s="8">
        <v>20.0</v>
      </c>
      <c r="M374" s="8" t="s">
        <v>9890</v>
      </c>
      <c r="N374" s="12"/>
      <c r="O374" s="8" t="s">
        <v>8921</v>
      </c>
      <c r="P374" s="28" t="s">
        <v>9891</v>
      </c>
    </row>
    <row r="375">
      <c r="A375" s="8" t="s">
        <v>9892</v>
      </c>
      <c r="B375" s="12"/>
      <c r="C375" s="12"/>
      <c r="D375" s="12"/>
      <c r="E375" s="12"/>
      <c r="F375" s="12"/>
      <c r="G375" s="12" t="b">
        <v>0</v>
      </c>
      <c r="H375" s="28" t="s">
        <v>9893</v>
      </c>
      <c r="I375" s="8" t="s">
        <v>9894</v>
      </c>
      <c r="J375" s="12"/>
      <c r="K375" s="8" t="s">
        <v>9895</v>
      </c>
      <c r="L375" s="8">
        <v>35.0</v>
      </c>
      <c r="M375" s="8" t="s">
        <v>9896</v>
      </c>
      <c r="N375" s="12"/>
      <c r="O375" s="8" t="s">
        <v>9897</v>
      </c>
      <c r="P375" s="28" t="s">
        <v>9898</v>
      </c>
    </row>
    <row r="376">
      <c r="A376" s="8" t="s">
        <v>9899</v>
      </c>
      <c r="B376" s="12"/>
      <c r="C376" s="12"/>
      <c r="D376" s="12"/>
      <c r="E376" s="12"/>
      <c r="F376" s="12"/>
      <c r="G376" s="12" t="b">
        <v>0</v>
      </c>
      <c r="H376" s="8" t="s">
        <v>9900</v>
      </c>
      <c r="I376" s="8" t="s">
        <v>9901</v>
      </c>
      <c r="J376" s="12"/>
      <c r="K376" s="8" t="s">
        <v>8141</v>
      </c>
      <c r="L376" s="8">
        <v>19.0</v>
      </c>
      <c r="M376" s="8" t="s">
        <v>9902</v>
      </c>
      <c r="N376" s="12"/>
      <c r="O376" s="8" t="s">
        <v>9903</v>
      </c>
      <c r="P376" s="28" t="s">
        <v>9904</v>
      </c>
    </row>
    <row r="377">
      <c r="A377" s="8" t="s">
        <v>9905</v>
      </c>
      <c r="B377" s="12"/>
      <c r="C377" s="12"/>
      <c r="D377" s="12"/>
      <c r="E377" s="12"/>
      <c r="F377" s="12"/>
      <c r="G377" s="12" t="b">
        <v>0</v>
      </c>
      <c r="H377" s="8" t="s">
        <v>9906</v>
      </c>
      <c r="I377" s="8" t="s">
        <v>9907</v>
      </c>
      <c r="J377" s="12"/>
      <c r="K377" s="8" t="s">
        <v>8109</v>
      </c>
      <c r="L377" s="8">
        <v>23.0</v>
      </c>
      <c r="M377" s="8" t="s">
        <v>9908</v>
      </c>
      <c r="N377" s="12"/>
      <c r="O377" s="8" t="s">
        <v>9909</v>
      </c>
      <c r="P377" s="28" t="s">
        <v>9910</v>
      </c>
    </row>
    <row r="378">
      <c r="A378" s="8" t="s">
        <v>9911</v>
      </c>
      <c r="B378" s="12"/>
      <c r="C378" s="12"/>
      <c r="D378" s="12"/>
      <c r="E378" s="12"/>
      <c r="F378" s="12"/>
      <c r="G378" s="12" t="b">
        <v>0</v>
      </c>
      <c r="H378" s="8" t="s">
        <v>9912</v>
      </c>
      <c r="I378" s="8" t="s">
        <v>9913</v>
      </c>
      <c r="J378" s="12"/>
      <c r="K378" s="8" t="s">
        <v>7722</v>
      </c>
      <c r="L378" s="8">
        <v>15.0</v>
      </c>
      <c r="M378" s="8" t="s">
        <v>9914</v>
      </c>
      <c r="N378" s="12"/>
      <c r="O378" s="8" t="s">
        <v>9915</v>
      </c>
      <c r="P378" s="28" t="s">
        <v>9916</v>
      </c>
    </row>
    <row r="379">
      <c r="A379" s="8" t="s">
        <v>9917</v>
      </c>
      <c r="B379" s="12"/>
      <c r="C379" s="12"/>
      <c r="D379" s="12"/>
      <c r="E379" s="12"/>
      <c r="F379" s="12"/>
      <c r="G379" s="12" t="b">
        <v>0</v>
      </c>
      <c r="H379" s="8" t="s">
        <v>9918</v>
      </c>
      <c r="I379" s="8" t="s">
        <v>9919</v>
      </c>
      <c r="J379" s="12"/>
      <c r="K379" s="8" t="s">
        <v>8271</v>
      </c>
      <c r="L379" s="8">
        <v>12.0</v>
      </c>
      <c r="M379" s="8" t="s">
        <v>9920</v>
      </c>
      <c r="N379" s="12"/>
      <c r="O379" s="8" t="s">
        <v>9921</v>
      </c>
      <c r="P379" s="28" t="s">
        <v>9922</v>
      </c>
    </row>
    <row r="380">
      <c r="A380" s="8" t="s">
        <v>9923</v>
      </c>
      <c r="B380" s="12"/>
      <c r="C380" s="12"/>
      <c r="D380" s="12"/>
      <c r="E380" s="12"/>
      <c r="F380" s="12"/>
      <c r="G380" s="12" t="b">
        <v>0</v>
      </c>
      <c r="H380" s="8" t="s">
        <v>9924</v>
      </c>
      <c r="I380" s="8" t="s">
        <v>9925</v>
      </c>
      <c r="J380" s="12"/>
      <c r="K380" s="8" t="s">
        <v>9926</v>
      </c>
      <c r="L380" s="8">
        <v>50.0</v>
      </c>
      <c r="M380" s="8" t="s">
        <v>9927</v>
      </c>
      <c r="N380" s="12"/>
      <c r="O380" s="8" t="s">
        <v>9928</v>
      </c>
      <c r="P380" s="12"/>
    </row>
    <row r="381">
      <c r="A381" s="8" t="s">
        <v>9929</v>
      </c>
      <c r="B381" s="12"/>
      <c r="C381" s="12"/>
      <c r="D381" s="12"/>
      <c r="E381" s="12"/>
      <c r="F381" s="12"/>
      <c r="G381" s="12" t="b">
        <v>0</v>
      </c>
      <c r="H381" s="8" t="s">
        <v>9930</v>
      </c>
      <c r="I381" s="8" t="s">
        <v>9931</v>
      </c>
      <c r="J381" s="12"/>
      <c r="K381" s="8" t="s">
        <v>7722</v>
      </c>
      <c r="L381" s="8">
        <v>10.0</v>
      </c>
      <c r="M381" s="8" t="s">
        <v>9932</v>
      </c>
      <c r="N381" s="12"/>
      <c r="O381" s="8" t="s">
        <v>9933</v>
      </c>
      <c r="P381" s="28" t="s">
        <v>9934</v>
      </c>
    </row>
    <row r="382">
      <c r="A382" s="8" t="s">
        <v>9935</v>
      </c>
      <c r="B382" s="12"/>
      <c r="C382" s="12"/>
      <c r="D382" s="12"/>
      <c r="E382" s="12"/>
      <c r="F382" s="12"/>
      <c r="G382" s="12" t="b">
        <v>0</v>
      </c>
      <c r="H382" s="28" t="s">
        <v>9936</v>
      </c>
      <c r="I382" s="8" t="s">
        <v>9937</v>
      </c>
      <c r="J382" s="12"/>
      <c r="K382" s="8" t="s">
        <v>8337</v>
      </c>
      <c r="L382" s="8">
        <v>18.0</v>
      </c>
      <c r="M382" s="8" t="s">
        <v>9938</v>
      </c>
      <c r="N382" s="12"/>
      <c r="O382" s="8" t="s">
        <v>9939</v>
      </c>
      <c r="P382" s="28" t="s">
        <v>9940</v>
      </c>
    </row>
    <row r="383">
      <c r="A383" s="8" t="s">
        <v>9941</v>
      </c>
      <c r="B383" s="12"/>
      <c r="C383" s="12"/>
      <c r="D383" s="12"/>
      <c r="E383" s="12"/>
      <c r="F383" s="12"/>
      <c r="G383" s="12" t="b">
        <v>0</v>
      </c>
      <c r="H383" s="8" t="s">
        <v>9942</v>
      </c>
      <c r="I383" s="8" t="s">
        <v>9943</v>
      </c>
      <c r="J383" s="12"/>
      <c r="K383" s="8" t="s">
        <v>9174</v>
      </c>
      <c r="L383" s="8">
        <v>12.0</v>
      </c>
      <c r="M383" s="8" t="s">
        <v>9944</v>
      </c>
      <c r="N383" s="12"/>
      <c r="O383" s="8" t="s">
        <v>8019</v>
      </c>
      <c r="P383" s="28" t="s">
        <v>9945</v>
      </c>
    </row>
    <row r="384">
      <c r="A384" s="8" t="s">
        <v>9946</v>
      </c>
      <c r="B384" s="12"/>
      <c r="C384" s="12"/>
      <c r="D384" s="12"/>
      <c r="E384" s="12"/>
      <c r="F384" s="12"/>
      <c r="G384" s="12" t="b">
        <v>0</v>
      </c>
      <c r="H384" s="8" t="s">
        <v>9947</v>
      </c>
      <c r="I384" s="8" t="s">
        <v>9948</v>
      </c>
      <c r="J384" s="12"/>
      <c r="K384" s="8" t="s">
        <v>7722</v>
      </c>
      <c r="L384" s="8">
        <v>11.0</v>
      </c>
      <c r="M384" s="8" t="s">
        <v>1295</v>
      </c>
      <c r="N384" s="12"/>
      <c r="O384" s="12"/>
      <c r="P384" s="12"/>
    </row>
    <row r="385">
      <c r="A385" s="8" t="s">
        <v>9949</v>
      </c>
      <c r="B385" s="12"/>
      <c r="C385" s="12"/>
      <c r="D385" s="12"/>
      <c r="E385" s="12"/>
      <c r="F385" s="12"/>
      <c r="G385" s="12" t="b">
        <v>0</v>
      </c>
      <c r="H385" s="8" t="s">
        <v>9950</v>
      </c>
      <c r="I385" s="8" t="s">
        <v>9951</v>
      </c>
      <c r="J385" s="12"/>
      <c r="K385" s="8" t="s">
        <v>8337</v>
      </c>
      <c r="L385" s="8">
        <v>18.0</v>
      </c>
      <c r="M385" s="8" t="s">
        <v>9952</v>
      </c>
      <c r="N385" s="12"/>
      <c r="O385" s="8" t="s">
        <v>9953</v>
      </c>
      <c r="P385" s="28" t="s">
        <v>9954</v>
      </c>
    </row>
    <row r="386">
      <c r="A386" s="8" t="s">
        <v>9955</v>
      </c>
      <c r="B386" s="12"/>
      <c r="C386" s="12"/>
      <c r="D386" s="12"/>
      <c r="E386" s="12"/>
      <c r="F386" s="12"/>
      <c r="G386" s="12" t="b">
        <v>0</v>
      </c>
      <c r="H386" s="8" t="s">
        <v>9956</v>
      </c>
      <c r="I386" s="8" t="s">
        <v>9957</v>
      </c>
      <c r="J386" s="12"/>
      <c r="K386" s="8" t="s">
        <v>7804</v>
      </c>
      <c r="L386" s="8">
        <v>47.0</v>
      </c>
      <c r="M386" s="8" t="s">
        <v>9958</v>
      </c>
      <c r="N386" s="12"/>
      <c r="O386" s="8" t="s">
        <v>9959</v>
      </c>
      <c r="P386" s="28" t="s">
        <v>9960</v>
      </c>
    </row>
    <row r="387">
      <c r="A387" s="8" t="s">
        <v>9961</v>
      </c>
      <c r="B387" s="12"/>
      <c r="C387" s="12"/>
      <c r="D387" s="12"/>
      <c r="E387" s="12"/>
      <c r="F387" s="12"/>
      <c r="G387" s="12" t="b">
        <v>0</v>
      </c>
      <c r="H387" s="8" t="s">
        <v>9962</v>
      </c>
      <c r="I387" s="8" t="s">
        <v>9963</v>
      </c>
      <c r="J387" s="12"/>
      <c r="K387" s="8" t="s">
        <v>9964</v>
      </c>
      <c r="L387" s="8">
        <v>45.0</v>
      </c>
      <c r="M387" s="8" t="s">
        <v>9965</v>
      </c>
      <c r="N387" s="12"/>
      <c r="O387" s="8" t="s">
        <v>9966</v>
      </c>
      <c r="P387" s="28" t="s">
        <v>9967</v>
      </c>
    </row>
    <row r="388">
      <c r="A388" s="8" t="s">
        <v>9968</v>
      </c>
      <c r="B388" s="12"/>
      <c r="C388" s="12"/>
      <c r="D388" s="12"/>
      <c r="E388" s="12"/>
      <c r="F388" s="12"/>
      <c r="G388" s="12" t="b">
        <v>0</v>
      </c>
      <c r="H388" s="8" t="s">
        <v>9969</v>
      </c>
      <c r="I388" s="8" t="s">
        <v>9970</v>
      </c>
      <c r="J388" s="12"/>
      <c r="K388" s="8" t="s">
        <v>8388</v>
      </c>
      <c r="L388" s="8">
        <v>11.0</v>
      </c>
      <c r="M388" s="8" t="s">
        <v>9971</v>
      </c>
      <c r="N388" s="12"/>
      <c r="O388" s="8" t="s">
        <v>8661</v>
      </c>
      <c r="P388" s="12"/>
    </row>
    <row r="389">
      <c r="A389" s="8" t="s">
        <v>9972</v>
      </c>
      <c r="B389" s="12"/>
      <c r="C389" s="12"/>
      <c r="D389" s="12"/>
      <c r="E389" s="12"/>
      <c r="F389" s="12"/>
      <c r="G389" s="12" t="b">
        <v>0</v>
      </c>
      <c r="H389" s="8" t="s">
        <v>9973</v>
      </c>
      <c r="I389" s="8" t="s">
        <v>9974</v>
      </c>
      <c r="J389" s="12"/>
      <c r="K389" s="8" t="s">
        <v>8271</v>
      </c>
      <c r="L389" s="8">
        <v>67.0</v>
      </c>
      <c r="M389" s="8" t="s">
        <v>9975</v>
      </c>
      <c r="N389" s="12"/>
      <c r="O389" s="8" t="s">
        <v>9976</v>
      </c>
      <c r="P389" s="28" t="s">
        <v>9977</v>
      </c>
    </row>
    <row r="390">
      <c r="A390" s="8" t="s">
        <v>9978</v>
      </c>
      <c r="B390" s="12"/>
      <c r="C390" s="12"/>
      <c r="D390" s="12"/>
      <c r="E390" s="12"/>
      <c r="F390" s="12"/>
      <c r="G390" s="12" t="b">
        <v>0</v>
      </c>
      <c r="H390" s="8" t="s">
        <v>9979</v>
      </c>
      <c r="I390" s="8" t="s">
        <v>9980</v>
      </c>
      <c r="J390" s="12"/>
      <c r="K390" s="8" t="s">
        <v>8150</v>
      </c>
      <c r="L390" s="8">
        <v>12.0</v>
      </c>
      <c r="M390" s="8" t="s">
        <v>9981</v>
      </c>
      <c r="N390" s="12"/>
      <c r="O390" s="8" t="s">
        <v>9982</v>
      </c>
      <c r="P390" s="28" t="s">
        <v>9983</v>
      </c>
    </row>
    <row r="391">
      <c r="A391" s="8" t="s">
        <v>9984</v>
      </c>
      <c r="B391" s="12"/>
      <c r="C391" s="12"/>
      <c r="D391" s="12"/>
      <c r="E391" s="12"/>
      <c r="F391" s="12"/>
      <c r="G391" s="12" t="b">
        <v>0</v>
      </c>
      <c r="H391" s="8" t="s">
        <v>9985</v>
      </c>
      <c r="I391" s="8" t="s">
        <v>9986</v>
      </c>
      <c r="J391" s="12"/>
      <c r="K391" s="8" t="s">
        <v>7722</v>
      </c>
      <c r="L391" s="8">
        <v>31.0</v>
      </c>
      <c r="M391" s="8" t="s">
        <v>9987</v>
      </c>
      <c r="N391" s="12"/>
      <c r="O391" s="8" t="s">
        <v>9988</v>
      </c>
      <c r="P391" s="28" t="s">
        <v>9989</v>
      </c>
    </row>
    <row r="392">
      <c r="A392" s="8" t="s">
        <v>9990</v>
      </c>
      <c r="B392" s="12"/>
      <c r="C392" s="12"/>
      <c r="D392" s="12"/>
      <c r="E392" s="12"/>
      <c r="F392" s="12"/>
      <c r="G392" s="12" t="b">
        <v>0</v>
      </c>
      <c r="H392" s="8" t="s">
        <v>9991</v>
      </c>
      <c r="I392" s="8" t="s">
        <v>9992</v>
      </c>
      <c r="J392" s="12"/>
      <c r="K392" s="8" t="s">
        <v>8740</v>
      </c>
      <c r="L392" s="8">
        <v>13.0</v>
      </c>
      <c r="M392" s="8" t="s">
        <v>9993</v>
      </c>
      <c r="N392" s="12"/>
      <c r="O392" s="8" t="s">
        <v>9994</v>
      </c>
      <c r="P392" s="12"/>
    </row>
    <row r="393">
      <c r="A393" s="8" t="s">
        <v>9995</v>
      </c>
      <c r="B393" s="12"/>
      <c r="C393" s="12"/>
      <c r="D393" s="12"/>
      <c r="E393" s="12"/>
      <c r="F393" s="12"/>
      <c r="G393" s="12" t="b">
        <v>0</v>
      </c>
      <c r="H393" s="8" t="s">
        <v>9996</v>
      </c>
      <c r="I393" s="8" t="s">
        <v>9997</v>
      </c>
      <c r="J393" s="12"/>
      <c r="K393" s="8" t="s">
        <v>7722</v>
      </c>
      <c r="L393" s="8">
        <v>15.0</v>
      </c>
      <c r="M393" s="8" t="s">
        <v>9998</v>
      </c>
      <c r="N393" s="12"/>
      <c r="O393" s="8" t="s">
        <v>8921</v>
      </c>
      <c r="P393" s="28" t="s">
        <v>9999</v>
      </c>
    </row>
    <row r="394">
      <c r="A394" s="8" t="s">
        <v>10000</v>
      </c>
      <c r="B394" s="12"/>
      <c r="C394" s="12"/>
      <c r="D394" s="12"/>
      <c r="E394" s="12"/>
      <c r="F394" s="12"/>
      <c r="G394" s="12" t="b">
        <v>0</v>
      </c>
      <c r="H394" s="8" t="s">
        <v>10001</v>
      </c>
      <c r="I394" s="8" t="s">
        <v>10002</v>
      </c>
      <c r="J394" s="12"/>
      <c r="K394" s="8" t="s">
        <v>8489</v>
      </c>
      <c r="L394" s="8">
        <v>51.0</v>
      </c>
      <c r="M394" s="8" t="s">
        <v>10003</v>
      </c>
      <c r="N394" s="12"/>
      <c r="O394" s="8" t="s">
        <v>10004</v>
      </c>
      <c r="P394" s="12"/>
    </row>
    <row r="395">
      <c r="A395" s="8" t="s">
        <v>10005</v>
      </c>
      <c r="B395" s="12"/>
      <c r="C395" s="12"/>
      <c r="D395" s="12"/>
      <c r="E395" s="12"/>
      <c r="F395" s="12"/>
      <c r="G395" s="12" t="b">
        <v>0</v>
      </c>
      <c r="H395" s="8" t="s">
        <v>10006</v>
      </c>
      <c r="I395" s="8" t="s">
        <v>10007</v>
      </c>
      <c r="J395" s="12"/>
      <c r="K395" s="8" t="s">
        <v>8041</v>
      </c>
      <c r="L395" s="8">
        <v>18.0</v>
      </c>
      <c r="M395" s="8" t="s">
        <v>1295</v>
      </c>
      <c r="N395" s="12"/>
      <c r="O395" s="12"/>
      <c r="P395" s="28" t="s">
        <v>10008</v>
      </c>
    </row>
    <row r="396">
      <c r="A396" s="8" t="s">
        <v>10009</v>
      </c>
      <c r="B396" s="12"/>
      <c r="C396" s="12"/>
      <c r="D396" s="12"/>
      <c r="E396" s="12"/>
      <c r="F396" s="12"/>
      <c r="G396" s="12" t="b">
        <v>0</v>
      </c>
      <c r="H396" s="8" t="s">
        <v>10010</v>
      </c>
      <c r="I396" s="8" t="s">
        <v>10011</v>
      </c>
      <c r="J396" s="12"/>
      <c r="K396" s="8" t="s">
        <v>7722</v>
      </c>
      <c r="L396" s="8">
        <v>51.0</v>
      </c>
      <c r="M396" s="8" t="s">
        <v>10012</v>
      </c>
      <c r="N396" s="12"/>
      <c r="O396" s="8" t="s">
        <v>10013</v>
      </c>
      <c r="P396" s="12"/>
    </row>
    <row r="397">
      <c r="A397" s="8" t="s">
        <v>10014</v>
      </c>
      <c r="B397" s="12"/>
      <c r="C397" s="12"/>
      <c r="D397" s="12"/>
      <c r="E397" s="12"/>
      <c r="F397" s="12"/>
      <c r="G397" s="12" t="b">
        <v>0</v>
      </c>
      <c r="H397" s="8" t="s">
        <v>10015</v>
      </c>
      <c r="I397" s="8" t="s">
        <v>10016</v>
      </c>
      <c r="J397" s="12"/>
      <c r="K397" s="8" t="s">
        <v>7804</v>
      </c>
      <c r="L397" s="8">
        <v>19.0</v>
      </c>
      <c r="M397" s="8" t="s">
        <v>10017</v>
      </c>
      <c r="N397" s="12"/>
      <c r="O397" s="8" t="s">
        <v>10018</v>
      </c>
      <c r="P397" s="28" t="s">
        <v>10019</v>
      </c>
    </row>
    <row r="398">
      <c r="A398" s="8" t="s">
        <v>10020</v>
      </c>
      <c r="B398" s="12"/>
      <c r="C398" s="12"/>
      <c r="D398" s="12"/>
      <c r="E398" s="12"/>
      <c r="F398" s="12"/>
      <c r="G398" s="12" t="b">
        <v>0</v>
      </c>
      <c r="H398" s="8" t="s">
        <v>10021</v>
      </c>
      <c r="I398" s="8" t="s">
        <v>10022</v>
      </c>
      <c r="J398" s="12"/>
      <c r="K398" s="8" t="s">
        <v>9926</v>
      </c>
      <c r="L398" s="8">
        <v>10.0</v>
      </c>
      <c r="M398" s="8" t="s">
        <v>10023</v>
      </c>
      <c r="N398" s="12"/>
      <c r="O398" s="8" t="s">
        <v>10024</v>
      </c>
      <c r="P398" s="28" t="s">
        <v>10025</v>
      </c>
    </row>
    <row r="399">
      <c r="A399" s="8" t="s">
        <v>10026</v>
      </c>
      <c r="B399" s="12"/>
      <c r="C399" s="12"/>
      <c r="D399" s="12"/>
      <c r="E399" s="12"/>
      <c r="F399" s="12"/>
      <c r="G399" s="12" t="b">
        <v>0</v>
      </c>
      <c r="H399" s="8" t="s">
        <v>10027</v>
      </c>
      <c r="I399" s="8" t="s">
        <v>10028</v>
      </c>
      <c r="J399" s="12"/>
      <c r="K399" s="8" t="s">
        <v>7854</v>
      </c>
      <c r="L399" s="8">
        <v>12.0</v>
      </c>
      <c r="M399" s="8" t="s">
        <v>1295</v>
      </c>
      <c r="N399" s="8" t="s">
        <v>10029</v>
      </c>
      <c r="O399" s="12"/>
      <c r="P399" s="28" t="s">
        <v>10030</v>
      </c>
    </row>
    <row r="400">
      <c r="A400" s="8" t="s">
        <v>10031</v>
      </c>
      <c r="B400" s="12"/>
      <c r="C400" s="12"/>
      <c r="D400" s="12"/>
      <c r="E400" s="12"/>
      <c r="F400" s="12"/>
      <c r="G400" s="12" t="b">
        <v>0</v>
      </c>
      <c r="H400" s="8" t="s">
        <v>10032</v>
      </c>
      <c r="I400" s="8" t="s">
        <v>10033</v>
      </c>
      <c r="J400" s="12"/>
      <c r="K400" s="8" t="s">
        <v>8317</v>
      </c>
      <c r="L400" s="8">
        <v>75.0</v>
      </c>
      <c r="M400" s="8" t="s">
        <v>1295</v>
      </c>
      <c r="N400" s="8" t="s">
        <v>10034</v>
      </c>
      <c r="O400" s="12"/>
      <c r="P400" s="28" t="s">
        <v>10035</v>
      </c>
    </row>
    <row r="401">
      <c r="A401" s="8" t="s">
        <v>10036</v>
      </c>
      <c r="B401" s="12"/>
      <c r="C401" s="12"/>
      <c r="D401" s="12"/>
      <c r="E401" s="12"/>
      <c r="F401" s="12"/>
      <c r="G401" s="12" t="b">
        <v>0</v>
      </c>
      <c r="H401" s="8" t="s">
        <v>10037</v>
      </c>
      <c r="I401" s="8" t="s">
        <v>10038</v>
      </c>
      <c r="J401" s="12"/>
      <c r="K401" s="8" t="s">
        <v>8553</v>
      </c>
      <c r="L401" s="8">
        <v>65.0</v>
      </c>
      <c r="M401" s="8" t="s">
        <v>10039</v>
      </c>
      <c r="N401" s="12"/>
      <c r="O401" s="8" t="s">
        <v>10040</v>
      </c>
      <c r="P401" s="28" t="s">
        <v>10041</v>
      </c>
    </row>
    <row r="402">
      <c r="A402" s="8" t="s">
        <v>10042</v>
      </c>
      <c r="B402" s="12"/>
      <c r="C402" s="12"/>
      <c r="D402" s="12"/>
      <c r="E402" s="12"/>
      <c r="F402" s="12"/>
      <c r="G402" s="12" t="b">
        <v>0</v>
      </c>
      <c r="H402" s="8" t="s">
        <v>10043</v>
      </c>
      <c r="I402" s="8" t="s">
        <v>10044</v>
      </c>
      <c r="J402" s="12"/>
      <c r="K402" s="8" t="s">
        <v>8271</v>
      </c>
      <c r="L402" s="8">
        <v>11.0</v>
      </c>
      <c r="M402" s="8" t="s">
        <v>10045</v>
      </c>
      <c r="N402" s="8" t="s">
        <v>10046</v>
      </c>
      <c r="O402" s="8" t="s">
        <v>10047</v>
      </c>
      <c r="P402" s="28" t="s">
        <v>10048</v>
      </c>
    </row>
    <row r="403">
      <c r="A403" s="8" t="s">
        <v>10049</v>
      </c>
      <c r="B403" s="12"/>
      <c r="C403" s="12"/>
      <c r="D403" s="12"/>
      <c r="E403" s="12"/>
      <c r="F403" s="12"/>
      <c r="G403" s="12" t="b">
        <v>0</v>
      </c>
      <c r="H403" s="8" t="s">
        <v>10050</v>
      </c>
      <c r="I403" s="8" t="s">
        <v>10051</v>
      </c>
      <c r="J403" s="12"/>
      <c r="K403" s="8" t="s">
        <v>7722</v>
      </c>
      <c r="L403" s="8">
        <v>11.0</v>
      </c>
      <c r="M403" s="8" t="s">
        <v>10052</v>
      </c>
      <c r="N403" s="12"/>
      <c r="O403" s="8" t="s">
        <v>10053</v>
      </c>
      <c r="P403" s="12"/>
    </row>
    <row r="404">
      <c r="A404" s="8" t="s">
        <v>10054</v>
      </c>
      <c r="B404" s="12"/>
      <c r="C404" s="12"/>
      <c r="D404" s="12"/>
      <c r="E404" s="12"/>
      <c r="F404" s="12"/>
      <c r="G404" s="12" t="b">
        <v>0</v>
      </c>
      <c r="H404" s="8" t="s">
        <v>10055</v>
      </c>
      <c r="I404" s="8" t="s">
        <v>10056</v>
      </c>
      <c r="J404" s="12"/>
      <c r="K404" s="8" t="s">
        <v>9599</v>
      </c>
      <c r="L404" s="8">
        <v>40.0</v>
      </c>
      <c r="M404" s="8" t="s">
        <v>10057</v>
      </c>
      <c r="N404" s="12"/>
      <c r="O404" s="8" t="s">
        <v>8127</v>
      </c>
      <c r="P404" s="28" t="s">
        <v>10058</v>
      </c>
    </row>
    <row r="405">
      <c r="A405" s="8" t="s">
        <v>10059</v>
      </c>
      <c r="B405" s="12"/>
      <c r="C405" s="12"/>
      <c r="D405" s="12"/>
      <c r="E405" s="12"/>
      <c r="F405" s="12"/>
      <c r="G405" s="12" t="b">
        <v>0</v>
      </c>
      <c r="H405" s="8" t="s">
        <v>10060</v>
      </c>
      <c r="I405" s="8" t="s">
        <v>10061</v>
      </c>
      <c r="J405" s="12"/>
      <c r="K405" s="8" t="s">
        <v>7722</v>
      </c>
      <c r="L405" s="8">
        <v>14.0</v>
      </c>
      <c r="M405" s="8" t="s">
        <v>10062</v>
      </c>
      <c r="N405" s="12"/>
      <c r="O405" s="8" t="s">
        <v>10063</v>
      </c>
      <c r="P405" s="28" t="s">
        <v>10064</v>
      </c>
    </row>
    <row r="406">
      <c r="A406" s="8" t="s">
        <v>10065</v>
      </c>
      <c r="B406" s="12"/>
      <c r="C406" s="12"/>
      <c r="D406" s="12"/>
      <c r="E406" s="12"/>
      <c r="F406" s="12"/>
      <c r="G406" s="12" t="b">
        <v>0</v>
      </c>
      <c r="H406" s="8" t="s">
        <v>10066</v>
      </c>
      <c r="I406" s="8" t="s">
        <v>10067</v>
      </c>
      <c r="J406" s="12"/>
      <c r="K406" s="8" t="s">
        <v>7722</v>
      </c>
      <c r="L406" s="8">
        <v>80.0</v>
      </c>
      <c r="M406" s="8" t="s">
        <v>1295</v>
      </c>
      <c r="N406" s="12"/>
      <c r="O406" s="12"/>
      <c r="P406" s="28" t="s">
        <v>10068</v>
      </c>
    </row>
    <row r="407">
      <c r="A407" s="8" t="s">
        <v>10069</v>
      </c>
      <c r="B407" s="12"/>
      <c r="C407" s="12"/>
      <c r="D407" s="12"/>
      <c r="E407" s="12"/>
      <c r="F407" s="12"/>
      <c r="G407" s="12" t="b">
        <v>0</v>
      </c>
      <c r="H407" s="8" t="s">
        <v>10070</v>
      </c>
      <c r="I407" s="8" t="s">
        <v>10071</v>
      </c>
      <c r="J407" s="12"/>
      <c r="K407" s="8" t="s">
        <v>7722</v>
      </c>
      <c r="L407" s="8">
        <v>15.0</v>
      </c>
      <c r="M407" s="8" t="s">
        <v>10072</v>
      </c>
      <c r="N407" s="12"/>
      <c r="O407" s="8" t="s">
        <v>10073</v>
      </c>
      <c r="P407" s="28" t="s">
        <v>10074</v>
      </c>
    </row>
    <row r="408">
      <c r="A408" s="8" t="s">
        <v>10075</v>
      </c>
      <c r="B408" s="12"/>
      <c r="C408" s="12"/>
      <c r="D408" s="12"/>
      <c r="E408" s="12"/>
      <c r="F408" s="12"/>
      <c r="G408" s="12" t="b">
        <v>0</v>
      </c>
      <c r="H408" s="28" t="s">
        <v>10076</v>
      </c>
      <c r="I408" s="8" t="s">
        <v>10077</v>
      </c>
      <c r="J408" s="12"/>
      <c r="K408" s="8" t="s">
        <v>8358</v>
      </c>
      <c r="L408" s="8">
        <v>70.0</v>
      </c>
      <c r="M408" s="8" t="s">
        <v>10078</v>
      </c>
      <c r="N408" s="12"/>
      <c r="O408" s="8" t="s">
        <v>10079</v>
      </c>
      <c r="P408" s="28" t="s">
        <v>10080</v>
      </c>
    </row>
    <row r="409">
      <c r="A409" s="8" t="s">
        <v>10081</v>
      </c>
      <c r="B409" s="12"/>
      <c r="C409" s="12"/>
      <c r="D409" s="12"/>
      <c r="E409" s="12"/>
      <c r="F409" s="12"/>
      <c r="G409" s="12" t="b">
        <v>0</v>
      </c>
      <c r="H409" s="8" t="s">
        <v>10082</v>
      </c>
      <c r="I409" s="8" t="s">
        <v>10083</v>
      </c>
      <c r="J409" s="12"/>
      <c r="K409" s="8" t="s">
        <v>8412</v>
      </c>
      <c r="L409" s="8">
        <v>50.0</v>
      </c>
      <c r="M409" s="8" t="s">
        <v>10084</v>
      </c>
      <c r="N409" s="12"/>
      <c r="O409" s="8" t="s">
        <v>10085</v>
      </c>
      <c r="P409" s="28" t="s">
        <v>10086</v>
      </c>
    </row>
    <row r="410">
      <c r="A410" s="8" t="s">
        <v>10087</v>
      </c>
      <c r="B410" s="12"/>
      <c r="C410" s="12"/>
      <c r="D410" s="12"/>
      <c r="E410" s="12"/>
      <c r="F410" s="12"/>
      <c r="G410" s="12" t="b">
        <v>0</v>
      </c>
      <c r="H410" s="8" t="s">
        <v>10088</v>
      </c>
      <c r="I410" s="8" t="s">
        <v>10089</v>
      </c>
      <c r="J410" s="12"/>
      <c r="K410" s="12"/>
      <c r="L410" s="8">
        <v>14.0</v>
      </c>
      <c r="M410" s="8" t="s">
        <v>10090</v>
      </c>
      <c r="N410" s="12"/>
      <c r="O410" s="8" t="s">
        <v>10091</v>
      </c>
      <c r="P410" s="28" t="s">
        <v>10092</v>
      </c>
    </row>
    <row r="411">
      <c r="A411" s="8" t="s">
        <v>10093</v>
      </c>
      <c r="B411" s="12"/>
      <c r="C411" s="12"/>
      <c r="D411" s="12"/>
      <c r="E411" s="12"/>
      <c r="F411" s="12"/>
      <c r="G411" s="12" t="b">
        <v>0</v>
      </c>
      <c r="H411" s="8" t="s">
        <v>10094</v>
      </c>
      <c r="I411" s="8" t="s">
        <v>10095</v>
      </c>
      <c r="J411" s="12"/>
      <c r="K411" s="8" t="s">
        <v>7920</v>
      </c>
      <c r="L411" s="8">
        <v>12.0</v>
      </c>
      <c r="M411" s="8" t="s">
        <v>10096</v>
      </c>
      <c r="N411" s="12"/>
      <c r="O411" s="8" t="s">
        <v>10097</v>
      </c>
      <c r="P411" s="28" t="s">
        <v>10098</v>
      </c>
    </row>
    <row r="412">
      <c r="A412" s="8" t="s">
        <v>10099</v>
      </c>
      <c r="B412" s="12"/>
      <c r="C412" s="12"/>
      <c r="D412" s="12"/>
      <c r="E412" s="12"/>
      <c r="F412" s="12"/>
      <c r="G412" s="12" t="b">
        <v>0</v>
      </c>
      <c r="H412" s="8" t="s">
        <v>10100</v>
      </c>
      <c r="I412" s="8" t="s">
        <v>10101</v>
      </c>
      <c r="J412" s="12"/>
      <c r="K412" s="8" t="s">
        <v>7722</v>
      </c>
      <c r="L412" s="8">
        <v>85.0</v>
      </c>
      <c r="M412" s="8" t="s">
        <v>1295</v>
      </c>
      <c r="N412" s="12"/>
      <c r="O412" s="12"/>
      <c r="P412" s="28" t="s">
        <v>10102</v>
      </c>
    </row>
    <row r="413">
      <c r="A413" s="8" t="s">
        <v>10103</v>
      </c>
      <c r="B413" s="12"/>
      <c r="C413" s="12"/>
      <c r="D413" s="12"/>
      <c r="E413" s="12"/>
      <c r="F413" s="12"/>
      <c r="G413" s="12" t="b">
        <v>0</v>
      </c>
      <c r="H413" s="8" t="s">
        <v>10104</v>
      </c>
      <c r="I413" s="8" t="s">
        <v>10105</v>
      </c>
      <c r="J413" s="12"/>
      <c r="K413" s="8" t="s">
        <v>7722</v>
      </c>
      <c r="L413" s="8">
        <v>40.0</v>
      </c>
      <c r="M413" s="8" t="s">
        <v>10106</v>
      </c>
      <c r="N413" s="8" t="s">
        <v>10107</v>
      </c>
      <c r="O413" s="8" t="s">
        <v>10108</v>
      </c>
      <c r="P413" s="28" t="s">
        <v>10109</v>
      </c>
    </row>
    <row r="414">
      <c r="A414" s="8" t="s">
        <v>10110</v>
      </c>
      <c r="B414" s="12"/>
      <c r="C414" s="12"/>
      <c r="D414" s="12"/>
      <c r="E414" s="12"/>
      <c r="F414" s="12"/>
      <c r="G414" s="12" t="b">
        <v>0</v>
      </c>
      <c r="H414" s="8" t="s">
        <v>10111</v>
      </c>
      <c r="I414" s="8" t="s">
        <v>10112</v>
      </c>
      <c r="J414" s="12"/>
      <c r="K414" s="8" t="s">
        <v>8337</v>
      </c>
      <c r="L414" s="8">
        <v>20.0</v>
      </c>
      <c r="M414" s="8" t="s">
        <v>10113</v>
      </c>
      <c r="N414" s="12"/>
      <c r="O414" s="8" t="s">
        <v>8963</v>
      </c>
      <c r="P414" s="28" t="s">
        <v>10114</v>
      </c>
    </row>
    <row r="415">
      <c r="A415" s="8" t="s">
        <v>10115</v>
      </c>
      <c r="B415" s="12"/>
      <c r="C415" s="12"/>
      <c r="D415" s="12"/>
      <c r="E415" s="12"/>
      <c r="F415" s="12"/>
      <c r="G415" s="12" t="b">
        <v>0</v>
      </c>
      <c r="H415" s="8" t="s">
        <v>10116</v>
      </c>
      <c r="I415" s="8" t="s">
        <v>10117</v>
      </c>
      <c r="J415" s="12"/>
      <c r="K415" s="8" t="s">
        <v>8150</v>
      </c>
      <c r="L415" s="8">
        <v>25.0</v>
      </c>
      <c r="M415" s="8" t="s">
        <v>10118</v>
      </c>
      <c r="N415" s="12"/>
      <c r="O415" s="8" t="s">
        <v>10119</v>
      </c>
      <c r="P415" s="28" t="s">
        <v>10120</v>
      </c>
    </row>
    <row r="416">
      <c r="A416" s="8" t="s">
        <v>10121</v>
      </c>
      <c r="B416" s="12"/>
      <c r="C416" s="12"/>
      <c r="D416" s="12"/>
      <c r="E416" s="12"/>
      <c r="F416" s="12"/>
      <c r="G416" s="12" t="b">
        <v>0</v>
      </c>
      <c r="H416" s="8" t="s">
        <v>10122</v>
      </c>
      <c r="I416" s="8" t="s">
        <v>10123</v>
      </c>
      <c r="J416" s="12"/>
      <c r="K416" s="8" t="s">
        <v>8109</v>
      </c>
      <c r="L416" s="8">
        <v>60.0</v>
      </c>
      <c r="M416" s="8" t="s">
        <v>10124</v>
      </c>
      <c r="N416" s="12"/>
      <c r="O416" s="8" t="s">
        <v>8507</v>
      </c>
      <c r="P416" s="28" t="s">
        <v>10125</v>
      </c>
    </row>
    <row r="417">
      <c r="A417" s="8" t="s">
        <v>10126</v>
      </c>
      <c r="B417" s="12"/>
      <c r="C417" s="12"/>
      <c r="D417" s="12"/>
      <c r="E417" s="12"/>
      <c r="F417" s="12"/>
      <c r="G417" s="12" t="b">
        <v>0</v>
      </c>
      <c r="H417" s="8" t="s">
        <v>10127</v>
      </c>
      <c r="I417" s="8" t="s">
        <v>10128</v>
      </c>
      <c r="J417" s="12"/>
      <c r="K417" s="8" t="s">
        <v>7722</v>
      </c>
      <c r="L417" s="8">
        <v>33.0</v>
      </c>
      <c r="M417" s="8" t="s">
        <v>10129</v>
      </c>
      <c r="N417" s="12"/>
      <c r="O417" s="8" t="s">
        <v>8258</v>
      </c>
      <c r="P417" s="28" t="s">
        <v>10130</v>
      </c>
    </row>
    <row r="418">
      <c r="A418" s="8" t="s">
        <v>10131</v>
      </c>
      <c r="B418" s="12"/>
      <c r="C418" s="12"/>
      <c r="D418" s="12"/>
      <c r="E418" s="12"/>
      <c r="F418" s="12"/>
      <c r="G418" s="12" t="b">
        <v>0</v>
      </c>
      <c r="H418" s="8" t="s">
        <v>10132</v>
      </c>
      <c r="I418" s="8" t="s">
        <v>10133</v>
      </c>
      <c r="J418" s="12"/>
      <c r="K418" s="8" t="s">
        <v>7722</v>
      </c>
      <c r="L418" s="8">
        <v>15.0</v>
      </c>
      <c r="M418" s="8" t="s">
        <v>10134</v>
      </c>
      <c r="N418" s="12"/>
      <c r="O418" s="8" t="s">
        <v>10135</v>
      </c>
      <c r="P418" s="28" t="s">
        <v>10136</v>
      </c>
    </row>
    <row r="419">
      <c r="A419" s="8" t="s">
        <v>10137</v>
      </c>
      <c r="B419" s="12"/>
      <c r="C419" s="12"/>
      <c r="D419" s="12"/>
      <c r="E419" s="12"/>
      <c r="F419" s="12"/>
      <c r="G419" s="12" t="b">
        <v>0</v>
      </c>
      <c r="H419" s="8" t="s">
        <v>10138</v>
      </c>
      <c r="I419" s="8" t="s">
        <v>10139</v>
      </c>
      <c r="J419" s="12"/>
      <c r="K419" s="8" t="s">
        <v>8133</v>
      </c>
      <c r="L419" s="8">
        <v>12.0</v>
      </c>
      <c r="M419" s="8" t="s">
        <v>10140</v>
      </c>
      <c r="N419" s="12"/>
      <c r="O419" s="8" t="s">
        <v>8928</v>
      </c>
      <c r="P419" s="28" t="s">
        <v>10141</v>
      </c>
    </row>
    <row r="420">
      <c r="A420" s="8" t="s">
        <v>10142</v>
      </c>
      <c r="B420" s="12"/>
      <c r="C420" s="12"/>
      <c r="D420" s="12"/>
      <c r="E420" s="12"/>
      <c r="F420" s="12"/>
      <c r="G420" s="12" t="b">
        <v>0</v>
      </c>
      <c r="H420" s="8" t="s">
        <v>10143</v>
      </c>
      <c r="I420" s="8" t="s">
        <v>10144</v>
      </c>
      <c r="J420" s="12"/>
      <c r="K420" s="8" t="s">
        <v>7722</v>
      </c>
      <c r="L420" s="8">
        <v>31.0</v>
      </c>
      <c r="M420" s="8" t="s">
        <v>10145</v>
      </c>
      <c r="N420" s="12"/>
      <c r="O420" s="8" t="s">
        <v>10146</v>
      </c>
      <c r="P420" s="28" t="s">
        <v>10147</v>
      </c>
    </row>
    <row r="421">
      <c r="A421" s="8" t="s">
        <v>10148</v>
      </c>
      <c r="B421" s="12"/>
      <c r="C421" s="12"/>
      <c r="D421" s="12"/>
      <c r="E421" s="12"/>
      <c r="F421" s="12"/>
      <c r="G421" s="12" t="b">
        <v>0</v>
      </c>
      <c r="H421" s="8" t="s">
        <v>10149</v>
      </c>
      <c r="I421" s="8" t="s">
        <v>10150</v>
      </c>
      <c r="J421" s="12"/>
      <c r="K421" s="8" t="s">
        <v>7722</v>
      </c>
      <c r="L421" s="8">
        <v>15.0</v>
      </c>
      <c r="M421" s="8" t="s">
        <v>10151</v>
      </c>
      <c r="N421" s="12"/>
      <c r="O421" s="8" t="s">
        <v>8153</v>
      </c>
      <c r="P421" s="28" t="s">
        <v>10152</v>
      </c>
    </row>
    <row r="422">
      <c r="A422" s="8" t="s">
        <v>10153</v>
      </c>
      <c r="B422" s="12"/>
      <c r="C422" s="12"/>
      <c r="D422" s="12"/>
      <c r="E422" s="12"/>
      <c r="F422" s="12"/>
      <c r="G422" s="12" t="b">
        <v>0</v>
      </c>
      <c r="H422" s="8" t="s">
        <v>10154</v>
      </c>
      <c r="I422" s="8" t="s">
        <v>10155</v>
      </c>
      <c r="J422" s="12"/>
      <c r="K422" s="8" t="s">
        <v>7804</v>
      </c>
      <c r="L422" s="8">
        <v>40.0</v>
      </c>
      <c r="M422" s="8" t="s">
        <v>1295</v>
      </c>
      <c r="N422" s="12"/>
      <c r="O422" s="12"/>
      <c r="P422" s="28" t="s">
        <v>10156</v>
      </c>
    </row>
    <row r="423">
      <c r="A423" s="8" t="s">
        <v>10157</v>
      </c>
      <c r="B423" s="12"/>
      <c r="C423" s="12"/>
      <c r="D423" s="12"/>
      <c r="E423" s="12"/>
      <c r="F423" s="12"/>
      <c r="G423" s="12" t="b">
        <v>0</v>
      </c>
      <c r="H423" s="8" t="s">
        <v>10158</v>
      </c>
      <c r="I423" s="8" t="s">
        <v>10159</v>
      </c>
      <c r="J423" s="12"/>
      <c r="K423" s="8" t="s">
        <v>8133</v>
      </c>
      <c r="L423" s="8">
        <v>10.0</v>
      </c>
      <c r="M423" s="8" t="s">
        <v>10160</v>
      </c>
      <c r="N423" s="12"/>
      <c r="O423" s="8" t="s">
        <v>8299</v>
      </c>
      <c r="P423" s="28" t="s">
        <v>10161</v>
      </c>
    </row>
    <row r="424">
      <c r="A424" s="8" t="s">
        <v>10162</v>
      </c>
      <c r="B424" s="12"/>
      <c r="C424" s="12"/>
      <c r="D424" s="12"/>
      <c r="E424" s="12"/>
      <c r="F424" s="12"/>
      <c r="G424" s="12" t="b">
        <v>0</v>
      </c>
      <c r="H424" s="8" t="s">
        <v>10163</v>
      </c>
      <c r="I424" s="8" t="s">
        <v>10164</v>
      </c>
      <c r="J424" s="12"/>
      <c r="K424" s="8" t="s">
        <v>7722</v>
      </c>
      <c r="L424" s="8">
        <v>18.0</v>
      </c>
      <c r="M424" s="8" t="s">
        <v>1295</v>
      </c>
      <c r="N424" s="12"/>
      <c r="O424" s="12"/>
      <c r="P424" s="28" t="s">
        <v>10165</v>
      </c>
    </row>
    <row r="425">
      <c r="A425" s="8" t="s">
        <v>10166</v>
      </c>
      <c r="B425" s="12"/>
      <c r="C425" s="12"/>
      <c r="D425" s="12"/>
      <c r="E425" s="12"/>
      <c r="F425" s="12"/>
      <c r="G425" s="12" t="b">
        <v>0</v>
      </c>
      <c r="H425" s="8" t="s">
        <v>10167</v>
      </c>
      <c r="I425" s="8" t="s">
        <v>10168</v>
      </c>
      <c r="J425" s="12"/>
      <c r="K425" s="8" t="s">
        <v>8489</v>
      </c>
      <c r="L425" s="8">
        <v>15.0</v>
      </c>
      <c r="M425" s="8" t="s">
        <v>10169</v>
      </c>
      <c r="N425" s="12"/>
      <c r="O425" s="8" t="s">
        <v>10170</v>
      </c>
      <c r="P425" s="28" t="s">
        <v>10171</v>
      </c>
    </row>
    <row r="426">
      <c r="A426" s="8" t="s">
        <v>10172</v>
      </c>
      <c r="B426" s="12"/>
      <c r="C426" s="12"/>
      <c r="D426" s="12"/>
      <c r="E426" s="12"/>
      <c r="F426" s="12"/>
      <c r="G426" s="12" t="b">
        <v>0</v>
      </c>
      <c r="H426" s="8" t="s">
        <v>10173</v>
      </c>
      <c r="I426" s="8" t="s">
        <v>10174</v>
      </c>
      <c r="J426" s="12"/>
      <c r="K426" s="8" t="s">
        <v>7920</v>
      </c>
      <c r="L426" s="8">
        <v>32.0</v>
      </c>
      <c r="M426" s="8" t="s">
        <v>10175</v>
      </c>
      <c r="N426" s="12"/>
      <c r="O426" s="8" t="s">
        <v>8258</v>
      </c>
      <c r="P426" s="28" t="s">
        <v>10176</v>
      </c>
    </row>
    <row r="427">
      <c r="A427" s="8" t="s">
        <v>10177</v>
      </c>
      <c r="B427" s="12"/>
      <c r="C427" s="12"/>
      <c r="D427" s="12"/>
      <c r="E427" s="12"/>
      <c r="F427" s="12"/>
      <c r="G427" s="12" t="b">
        <v>0</v>
      </c>
      <c r="H427" s="8" t="s">
        <v>10178</v>
      </c>
      <c r="I427" s="8" t="s">
        <v>10179</v>
      </c>
      <c r="J427" s="12"/>
      <c r="K427" s="8" t="s">
        <v>7722</v>
      </c>
      <c r="L427" s="8">
        <v>30.0</v>
      </c>
      <c r="M427" s="8" t="s">
        <v>10180</v>
      </c>
      <c r="N427" s="8" t="s">
        <v>10181</v>
      </c>
      <c r="O427" s="8" t="s">
        <v>10182</v>
      </c>
      <c r="P427" s="28" t="s">
        <v>10183</v>
      </c>
    </row>
    <row r="428">
      <c r="A428" s="8" t="s">
        <v>10184</v>
      </c>
      <c r="B428" s="12"/>
      <c r="C428" s="12"/>
      <c r="D428" s="12"/>
      <c r="E428" s="12"/>
      <c r="F428" s="12"/>
      <c r="G428" s="12" t="b">
        <v>0</v>
      </c>
      <c r="H428" s="8" t="s">
        <v>10185</v>
      </c>
      <c r="I428" s="8" t="s">
        <v>10186</v>
      </c>
      <c r="J428" s="12"/>
      <c r="K428" s="8" t="s">
        <v>8109</v>
      </c>
      <c r="L428" s="8">
        <v>11.0</v>
      </c>
      <c r="M428" s="8" t="s">
        <v>10187</v>
      </c>
      <c r="N428" s="12"/>
      <c r="O428" s="8" t="s">
        <v>10188</v>
      </c>
      <c r="P428" s="12"/>
    </row>
    <row r="429">
      <c r="A429" s="8" t="s">
        <v>10189</v>
      </c>
      <c r="B429" s="12"/>
      <c r="C429" s="12"/>
      <c r="D429" s="12"/>
      <c r="E429" s="12"/>
      <c r="F429" s="12"/>
      <c r="G429" s="12" t="b">
        <v>0</v>
      </c>
      <c r="H429" s="8" t="s">
        <v>10190</v>
      </c>
      <c r="I429" s="8" t="s">
        <v>10191</v>
      </c>
      <c r="J429" s="12"/>
      <c r="K429" s="8" t="s">
        <v>8412</v>
      </c>
      <c r="L429" s="8">
        <v>11.0</v>
      </c>
      <c r="M429" s="8" t="s">
        <v>1295</v>
      </c>
      <c r="N429" s="12"/>
      <c r="O429" s="12"/>
      <c r="P429" s="12"/>
    </row>
    <row r="430">
      <c r="A430" s="8" t="s">
        <v>10192</v>
      </c>
      <c r="B430" s="12"/>
      <c r="C430" s="12"/>
      <c r="D430" s="12"/>
      <c r="E430" s="12"/>
      <c r="F430" s="12"/>
      <c r="G430" s="12" t="b">
        <v>0</v>
      </c>
      <c r="H430" s="8" t="s">
        <v>10193</v>
      </c>
      <c r="I430" s="8" t="s">
        <v>10194</v>
      </c>
      <c r="J430" s="12"/>
      <c r="K430" s="8" t="s">
        <v>10195</v>
      </c>
      <c r="L430" s="8">
        <v>30.0</v>
      </c>
      <c r="M430" s="8" t="s">
        <v>10196</v>
      </c>
      <c r="N430" s="12"/>
      <c r="O430" s="8" t="s">
        <v>10197</v>
      </c>
      <c r="P430" s="28" t="s">
        <v>10198</v>
      </c>
    </row>
    <row r="431">
      <c r="A431" s="8" t="s">
        <v>10199</v>
      </c>
      <c r="B431" s="12"/>
      <c r="C431" s="12"/>
      <c r="D431" s="12"/>
      <c r="E431" s="12"/>
      <c r="F431" s="12"/>
      <c r="G431" s="12" t="b">
        <v>0</v>
      </c>
      <c r="H431" s="8" t="s">
        <v>10200</v>
      </c>
      <c r="I431" s="8" t="s">
        <v>10201</v>
      </c>
      <c r="J431" s="12"/>
      <c r="K431" s="8" t="s">
        <v>7722</v>
      </c>
      <c r="L431" s="8">
        <v>81.0</v>
      </c>
      <c r="M431" s="8" t="s">
        <v>1295</v>
      </c>
      <c r="N431" s="12"/>
      <c r="O431" s="12"/>
      <c r="P431" s="28" t="s">
        <v>10202</v>
      </c>
    </row>
    <row r="432">
      <c r="A432" s="8" t="s">
        <v>10203</v>
      </c>
      <c r="B432" s="12"/>
      <c r="C432" s="12"/>
      <c r="D432" s="12"/>
      <c r="E432" s="12"/>
      <c r="F432" s="12"/>
      <c r="G432" s="12" t="b">
        <v>0</v>
      </c>
      <c r="H432" s="8" t="s">
        <v>10204</v>
      </c>
      <c r="I432" s="8" t="s">
        <v>10205</v>
      </c>
      <c r="J432" s="12"/>
      <c r="K432" s="8" t="s">
        <v>7722</v>
      </c>
      <c r="L432" s="8">
        <v>95.0</v>
      </c>
      <c r="M432" s="8" t="s">
        <v>10206</v>
      </c>
      <c r="N432" s="8" t="s">
        <v>10207</v>
      </c>
      <c r="O432" s="8" t="s">
        <v>8258</v>
      </c>
      <c r="P432" s="28" t="s">
        <v>10208</v>
      </c>
    </row>
    <row r="433">
      <c r="A433" s="8" t="s">
        <v>10209</v>
      </c>
      <c r="B433" s="12"/>
      <c r="C433" s="12"/>
      <c r="D433" s="12"/>
      <c r="E433" s="12"/>
      <c r="F433" s="12"/>
      <c r="G433" s="12" t="b">
        <v>0</v>
      </c>
      <c r="H433" s="8" t="s">
        <v>10210</v>
      </c>
      <c r="I433" s="8" t="s">
        <v>10211</v>
      </c>
      <c r="J433" s="12"/>
      <c r="K433" s="8" t="s">
        <v>7854</v>
      </c>
      <c r="L433" s="8">
        <v>42.0</v>
      </c>
      <c r="M433" s="8" t="s">
        <v>10212</v>
      </c>
      <c r="N433" s="12"/>
      <c r="O433" s="8" t="s">
        <v>10213</v>
      </c>
      <c r="P433" s="28" t="s">
        <v>10214</v>
      </c>
    </row>
    <row r="434">
      <c r="A434" s="8" t="s">
        <v>10215</v>
      </c>
      <c r="B434" s="12"/>
      <c r="C434" s="12"/>
      <c r="D434" s="12"/>
      <c r="E434" s="12"/>
      <c r="F434" s="12"/>
      <c r="G434" s="12" t="b">
        <v>0</v>
      </c>
      <c r="H434" s="8" t="s">
        <v>10216</v>
      </c>
      <c r="I434" s="8" t="s">
        <v>10217</v>
      </c>
      <c r="J434" s="12"/>
      <c r="K434" s="8" t="s">
        <v>8141</v>
      </c>
      <c r="L434" s="8">
        <v>11.0</v>
      </c>
      <c r="M434" s="8" t="s">
        <v>10218</v>
      </c>
      <c r="N434" s="12"/>
      <c r="O434" s="8" t="s">
        <v>10219</v>
      </c>
      <c r="P434" s="28" t="s">
        <v>10220</v>
      </c>
    </row>
    <row r="435">
      <c r="A435" s="8" t="s">
        <v>10221</v>
      </c>
      <c r="B435" s="12"/>
      <c r="C435" s="12"/>
      <c r="D435" s="12"/>
      <c r="E435" s="12"/>
      <c r="F435" s="12"/>
      <c r="G435" s="12" t="b">
        <v>0</v>
      </c>
      <c r="H435" s="8" t="s">
        <v>10222</v>
      </c>
      <c r="I435" s="8" t="s">
        <v>10223</v>
      </c>
      <c r="J435" s="12"/>
      <c r="K435" s="8" t="s">
        <v>7854</v>
      </c>
      <c r="L435" s="8">
        <v>15.0</v>
      </c>
      <c r="M435" s="8" t="s">
        <v>1295</v>
      </c>
      <c r="N435" s="12"/>
      <c r="O435" s="12"/>
      <c r="P435" s="28" t="s">
        <v>10224</v>
      </c>
    </row>
    <row r="436">
      <c r="A436" s="8" t="s">
        <v>10225</v>
      </c>
      <c r="B436" s="12"/>
      <c r="C436" s="12"/>
      <c r="D436" s="12"/>
      <c r="E436" s="12"/>
      <c r="F436" s="12"/>
      <c r="G436" s="12" t="b">
        <v>0</v>
      </c>
      <c r="H436" s="8" t="s">
        <v>10226</v>
      </c>
      <c r="I436" s="8" t="s">
        <v>10227</v>
      </c>
      <c r="J436" s="12"/>
      <c r="K436" s="8" t="s">
        <v>8317</v>
      </c>
      <c r="L436" s="8">
        <v>20.0</v>
      </c>
      <c r="M436" s="8" t="s">
        <v>10228</v>
      </c>
      <c r="N436" s="12"/>
      <c r="O436" s="8" t="s">
        <v>10219</v>
      </c>
      <c r="P436" s="28" t="s">
        <v>10229</v>
      </c>
    </row>
    <row r="437">
      <c r="A437" s="8" t="s">
        <v>10230</v>
      </c>
      <c r="B437" s="12"/>
      <c r="C437" s="12"/>
      <c r="D437" s="12"/>
      <c r="E437" s="12"/>
      <c r="F437" s="12"/>
      <c r="G437" s="12" t="b">
        <v>0</v>
      </c>
      <c r="H437" s="8" t="s">
        <v>10231</v>
      </c>
      <c r="I437" s="8" t="s">
        <v>10232</v>
      </c>
      <c r="J437" s="12"/>
      <c r="K437" s="8" t="s">
        <v>7722</v>
      </c>
      <c r="L437" s="8">
        <v>31.0</v>
      </c>
      <c r="M437" s="8" t="s">
        <v>10233</v>
      </c>
      <c r="N437" s="12"/>
      <c r="O437" s="8" t="s">
        <v>9822</v>
      </c>
      <c r="P437" s="28" t="s">
        <v>10234</v>
      </c>
    </row>
    <row r="438">
      <c r="A438" s="8" t="s">
        <v>10235</v>
      </c>
      <c r="B438" s="12"/>
      <c r="C438" s="12"/>
      <c r="D438" s="12"/>
      <c r="E438" s="12"/>
      <c r="F438" s="12"/>
      <c r="G438" s="12" t="b">
        <v>0</v>
      </c>
      <c r="H438" s="8" t="s">
        <v>10236</v>
      </c>
      <c r="I438" s="8" t="s">
        <v>10237</v>
      </c>
      <c r="J438" s="12"/>
      <c r="K438" s="8" t="s">
        <v>8304</v>
      </c>
      <c r="L438" s="8">
        <v>11.0</v>
      </c>
      <c r="M438" s="8" t="s">
        <v>10238</v>
      </c>
      <c r="N438" s="12"/>
      <c r="O438" s="8" t="s">
        <v>10239</v>
      </c>
      <c r="P438" s="12"/>
    </row>
    <row r="439">
      <c r="A439" s="8" t="s">
        <v>10240</v>
      </c>
      <c r="B439" s="12"/>
      <c r="C439" s="12"/>
      <c r="D439" s="12"/>
      <c r="E439" s="12"/>
      <c r="F439" s="12"/>
      <c r="G439" s="12" t="b">
        <v>0</v>
      </c>
      <c r="H439" s="8" t="s">
        <v>10241</v>
      </c>
      <c r="I439" s="8" t="s">
        <v>10242</v>
      </c>
      <c r="J439" s="12"/>
      <c r="K439" s="8" t="s">
        <v>7804</v>
      </c>
      <c r="L439" s="8">
        <v>25.0</v>
      </c>
      <c r="M439" s="8" t="s">
        <v>10243</v>
      </c>
      <c r="N439" s="12"/>
      <c r="O439" s="8" t="s">
        <v>10244</v>
      </c>
      <c r="P439" s="28" t="s">
        <v>10245</v>
      </c>
    </row>
    <row r="440">
      <c r="A440" s="8" t="s">
        <v>10246</v>
      </c>
      <c r="B440" s="12"/>
      <c r="C440" s="12"/>
      <c r="D440" s="12"/>
      <c r="E440" s="12"/>
      <c r="F440" s="12"/>
      <c r="G440" s="12" t="b">
        <v>0</v>
      </c>
      <c r="H440" s="28" t="s">
        <v>10247</v>
      </c>
      <c r="I440" s="8" t="s">
        <v>10248</v>
      </c>
      <c r="J440" s="12"/>
      <c r="K440" s="8" t="s">
        <v>8489</v>
      </c>
      <c r="L440" s="8">
        <v>11.0</v>
      </c>
      <c r="M440" s="8" t="s">
        <v>10249</v>
      </c>
      <c r="N440" s="12"/>
      <c r="O440" s="8" t="s">
        <v>10250</v>
      </c>
      <c r="P440" s="28" t="s">
        <v>10251</v>
      </c>
    </row>
    <row r="441">
      <c r="A441" s="8" t="s">
        <v>10252</v>
      </c>
      <c r="B441" s="12"/>
      <c r="C441" s="12"/>
      <c r="D441" s="12"/>
      <c r="E441" s="12"/>
      <c r="F441" s="12"/>
      <c r="G441" s="12" t="b">
        <v>0</v>
      </c>
      <c r="H441" s="8" t="s">
        <v>10253</v>
      </c>
      <c r="I441" s="8" t="s">
        <v>10254</v>
      </c>
      <c r="J441" s="12"/>
      <c r="K441" s="8" t="s">
        <v>8412</v>
      </c>
      <c r="L441" s="8">
        <v>20.0</v>
      </c>
      <c r="M441" s="8" t="s">
        <v>10255</v>
      </c>
      <c r="N441" s="12"/>
      <c r="O441" s="8" t="s">
        <v>10256</v>
      </c>
      <c r="P441" s="28" t="s">
        <v>10257</v>
      </c>
    </row>
    <row r="442">
      <c r="A442" s="8" t="s">
        <v>10258</v>
      </c>
      <c r="B442" s="12"/>
      <c r="C442" s="12"/>
      <c r="D442" s="12"/>
      <c r="E442" s="12"/>
      <c r="F442" s="12"/>
      <c r="G442" s="12" t="b">
        <v>0</v>
      </c>
      <c r="H442" s="8" t="s">
        <v>10259</v>
      </c>
      <c r="I442" s="8" t="s">
        <v>10260</v>
      </c>
      <c r="J442" s="12"/>
      <c r="K442" s="8" t="s">
        <v>10261</v>
      </c>
      <c r="L442" s="8">
        <v>12.0</v>
      </c>
      <c r="M442" s="8" t="s">
        <v>10262</v>
      </c>
      <c r="N442" s="8" t="s">
        <v>10263</v>
      </c>
      <c r="O442" s="8" t="s">
        <v>10264</v>
      </c>
      <c r="P442" s="28" t="s">
        <v>10265</v>
      </c>
    </row>
    <row r="443">
      <c r="A443" s="8" t="s">
        <v>10266</v>
      </c>
      <c r="B443" s="12"/>
      <c r="C443" s="12"/>
      <c r="D443" s="12"/>
      <c r="E443" s="12"/>
      <c r="F443" s="12"/>
      <c r="G443" s="12" t="b">
        <v>0</v>
      </c>
      <c r="H443" s="8" t="s">
        <v>10267</v>
      </c>
      <c r="I443" s="8" t="s">
        <v>10268</v>
      </c>
      <c r="J443" s="12"/>
      <c r="K443" s="8" t="s">
        <v>8278</v>
      </c>
      <c r="L443" s="8">
        <v>18.0</v>
      </c>
      <c r="M443" s="8" t="s">
        <v>10269</v>
      </c>
      <c r="N443" s="8" t="s">
        <v>10270</v>
      </c>
      <c r="O443" s="8" t="s">
        <v>10271</v>
      </c>
      <c r="P443" s="28" t="s">
        <v>10272</v>
      </c>
    </row>
    <row r="444">
      <c r="A444" s="8" t="s">
        <v>10273</v>
      </c>
      <c r="B444" s="12"/>
      <c r="C444" s="12"/>
      <c r="D444" s="12"/>
      <c r="E444" s="12"/>
      <c r="F444" s="12"/>
      <c r="G444" s="12" t="b">
        <v>0</v>
      </c>
      <c r="H444" s="8" t="s">
        <v>10274</v>
      </c>
      <c r="I444" s="8" t="s">
        <v>10275</v>
      </c>
      <c r="J444" s="12"/>
      <c r="K444" s="8" t="s">
        <v>7722</v>
      </c>
      <c r="L444" s="8">
        <v>17.0</v>
      </c>
      <c r="M444" s="8" t="s">
        <v>10276</v>
      </c>
      <c r="N444" s="12"/>
      <c r="O444" s="8" t="s">
        <v>10277</v>
      </c>
      <c r="P444" s="28" t="s">
        <v>10278</v>
      </c>
    </row>
    <row r="445">
      <c r="A445" s="8" t="s">
        <v>10279</v>
      </c>
      <c r="B445" s="12"/>
      <c r="C445" s="12"/>
      <c r="D445" s="12"/>
      <c r="E445" s="12"/>
      <c r="F445" s="12"/>
      <c r="G445" s="12" t="b">
        <v>0</v>
      </c>
      <c r="H445" s="8" t="s">
        <v>10280</v>
      </c>
      <c r="I445" s="8" t="s">
        <v>10281</v>
      </c>
      <c r="J445" s="12"/>
      <c r="K445" s="8" t="s">
        <v>7804</v>
      </c>
      <c r="L445" s="8">
        <v>20.0</v>
      </c>
      <c r="M445" s="8" t="s">
        <v>1295</v>
      </c>
      <c r="N445" s="12"/>
      <c r="O445" s="12"/>
      <c r="P445" s="12"/>
    </row>
    <row r="446">
      <c r="A446" s="8" t="s">
        <v>10282</v>
      </c>
      <c r="B446" s="12"/>
      <c r="C446" s="12"/>
      <c r="D446" s="12"/>
      <c r="E446" s="12"/>
      <c r="F446" s="12"/>
      <c r="G446" s="12" t="b">
        <v>0</v>
      </c>
      <c r="H446" s="8" t="s">
        <v>10283</v>
      </c>
      <c r="I446" s="8" t="s">
        <v>10284</v>
      </c>
      <c r="J446" s="12"/>
      <c r="K446" s="8" t="s">
        <v>9350</v>
      </c>
      <c r="L446" s="8">
        <v>22.0</v>
      </c>
      <c r="M446" s="8" t="s">
        <v>10285</v>
      </c>
      <c r="N446" s="12"/>
      <c r="O446" s="8" t="s">
        <v>10286</v>
      </c>
      <c r="P446" s="28" t="s">
        <v>10287</v>
      </c>
    </row>
    <row r="447">
      <c r="A447" s="8" t="s">
        <v>10288</v>
      </c>
      <c r="B447" s="12"/>
      <c r="C447" s="12"/>
      <c r="D447" s="12"/>
      <c r="E447" s="12"/>
      <c r="F447" s="12"/>
      <c r="G447" s="12" t="b">
        <v>0</v>
      </c>
      <c r="H447" s="8" t="s">
        <v>10289</v>
      </c>
      <c r="I447" s="8" t="s">
        <v>10290</v>
      </c>
      <c r="J447" s="12"/>
      <c r="K447" s="8" t="s">
        <v>9058</v>
      </c>
      <c r="L447" s="8">
        <v>12.0</v>
      </c>
      <c r="M447" s="8" t="s">
        <v>10291</v>
      </c>
      <c r="N447" s="12"/>
      <c r="O447" s="8" t="s">
        <v>10292</v>
      </c>
      <c r="P447" s="28" t="s">
        <v>10293</v>
      </c>
    </row>
    <row r="448">
      <c r="A448" s="8" t="s">
        <v>10294</v>
      </c>
      <c r="B448" s="12"/>
      <c r="C448" s="12"/>
      <c r="D448" s="12"/>
      <c r="E448" s="12"/>
      <c r="F448" s="12"/>
      <c r="G448" s="12" t="b">
        <v>0</v>
      </c>
      <c r="H448" s="8" t="s">
        <v>10295</v>
      </c>
      <c r="I448" s="8" t="s">
        <v>10296</v>
      </c>
      <c r="J448" s="12"/>
      <c r="K448" s="8" t="s">
        <v>7804</v>
      </c>
      <c r="L448" s="8">
        <v>33.0</v>
      </c>
      <c r="M448" s="8" t="s">
        <v>10297</v>
      </c>
      <c r="N448" s="12"/>
      <c r="O448" s="8" t="s">
        <v>10298</v>
      </c>
      <c r="P448" s="28" t="s">
        <v>10299</v>
      </c>
    </row>
    <row r="449">
      <c r="A449" s="8" t="s">
        <v>10300</v>
      </c>
      <c r="B449" s="12"/>
      <c r="C449" s="12"/>
      <c r="D449" s="12"/>
      <c r="E449" s="12"/>
      <c r="F449" s="12"/>
      <c r="G449" s="12" t="b">
        <v>0</v>
      </c>
      <c r="H449" s="8" t="s">
        <v>2271</v>
      </c>
      <c r="I449" s="8" t="s">
        <v>10301</v>
      </c>
      <c r="J449" s="12"/>
      <c r="K449" s="8" t="s">
        <v>7722</v>
      </c>
      <c r="L449" s="8">
        <v>11.0</v>
      </c>
      <c r="M449" s="8" t="s">
        <v>1295</v>
      </c>
      <c r="N449" s="12"/>
      <c r="O449" s="12"/>
      <c r="P449" s="28" t="s">
        <v>10302</v>
      </c>
    </row>
    <row r="450">
      <c r="A450" s="8" t="s">
        <v>10303</v>
      </c>
      <c r="B450" s="12"/>
      <c r="C450" s="12"/>
      <c r="D450" s="12"/>
      <c r="E450" s="12"/>
      <c r="F450" s="12"/>
      <c r="G450" s="12" t="b">
        <v>0</v>
      </c>
      <c r="H450" s="8" t="s">
        <v>10304</v>
      </c>
      <c r="I450" s="8" t="s">
        <v>10305</v>
      </c>
      <c r="J450" s="12"/>
      <c r="K450" s="8" t="s">
        <v>7722</v>
      </c>
      <c r="L450" s="8">
        <v>25.0</v>
      </c>
      <c r="M450" s="8" t="s">
        <v>10306</v>
      </c>
      <c r="N450" s="8" t="s">
        <v>10307</v>
      </c>
      <c r="O450" s="8" t="s">
        <v>10308</v>
      </c>
      <c r="P450" s="28" t="s">
        <v>10309</v>
      </c>
    </row>
    <row r="451">
      <c r="A451" s="8" t="s">
        <v>10310</v>
      </c>
      <c r="B451" s="12"/>
      <c r="C451" s="12"/>
      <c r="D451" s="12"/>
      <c r="E451" s="12"/>
      <c r="F451" s="12"/>
      <c r="G451" s="12" t="b">
        <v>0</v>
      </c>
      <c r="H451" s="8" t="s">
        <v>10311</v>
      </c>
      <c r="I451" s="8" t="s">
        <v>10312</v>
      </c>
      <c r="J451" s="12"/>
      <c r="K451" s="8" t="s">
        <v>10313</v>
      </c>
      <c r="L451" s="8">
        <v>21.0</v>
      </c>
      <c r="M451" s="8" t="s">
        <v>10314</v>
      </c>
      <c r="N451" s="12"/>
      <c r="O451" s="8" t="s">
        <v>10315</v>
      </c>
      <c r="P451" s="28" t="s">
        <v>10316</v>
      </c>
    </row>
    <row r="452">
      <c r="A452" s="8" t="s">
        <v>10317</v>
      </c>
      <c r="B452" s="12"/>
      <c r="C452" s="12"/>
      <c r="D452" s="12"/>
      <c r="E452" s="12"/>
      <c r="F452" s="12"/>
      <c r="G452" s="12" t="b">
        <v>0</v>
      </c>
      <c r="H452" s="8" t="s">
        <v>10318</v>
      </c>
      <c r="I452" s="8" t="s">
        <v>10319</v>
      </c>
      <c r="J452" s="12"/>
      <c r="K452" s="8" t="s">
        <v>8141</v>
      </c>
      <c r="L452" s="8">
        <v>11.0</v>
      </c>
      <c r="M452" s="8" t="s">
        <v>1295</v>
      </c>
      <c r="N452" s="12"/>
      <c r="O452" s="12"/>
      <c r="P452" s="28" t="s">
        <v>10320</v>
      </c>
    </row>
    <row r="453">
      <c r="A453" s="8" t="s">
        <v>10321</v>
      </c>
      <c r="B453" s="12"/>
      <c r="C453" s="12"/>
      <c r="D453" s="12"/>
      <c r="E453" s="12"/>
      <c r="F453" s="12"/>
      <c r="G453" s="12" t="b">
        <v>0</v>
      </c>
      <c r="H453" s="8" t="s">
        <v>10322</v>
      </c>
      <c r="I453" s="8" t="s">
        <v>10323</v>
      </c>
      <c r="J453" s="12"/>
      <c r="K453" s="8" t="s">
        <v>8337</v>
      </c>
      <c r="L453" s="8">
        <v>35.0</v>
      </c>
      <c r="M453" s="8" t="s">
        <v>10324</v>
      </c>
      <c r="N453" s="12"/>
      <c r="O453" s="8" t="s">
        <v>9939</v>
      </c>
      <c r="P453" s="28" t="s">
        <v>10325</v>
      </c>
    </row>
    <row r="454">
      <c r="A454" s="8" t="s">
        <v>10326</v>
      </c>
      <c r="B454" s="12"/>
      <c r="C454" s="12"/>
      <c r="D454" s="12"/>
      <c r="E454" s="12"/>
      <c r="F454" s="12"/>
      <c r="G454" s="12" t="b">
        <v>0</v>
      </c>
      <c r="H454" s="8" t="s">
        <v>10327</v>
      </c>
      <c r="I454" s="8" t="s">
        <v>10328</v>
      </c>
      <c r="J454" s="12"/>
      <c r="K454" s="8" t="s">
        <v>7722</v>
      </c>
      <c r="L454" s="8">
        <v>30.0</v>
      </c>
      <c r="M454" s="8" t="s">
        <v>10329</v>
      </c>
      <c r="N454" s="12"/>
      <c r="O454" s="8" t="s">
        <v>10330</v>
      </c>
      <c r="P454" s="28" t="s">
        <v>10331</v>
      </c>
    </row>
    <row r="455">
      <c r="A455" s="8" t="s">
        <v>10332</v>
      </c>
      <c r="B455" s="12"/>
      <c r="C455" s="12"/>
      <c r="D455" s="12"/>
      <c r="E455" s="12"/>
      <c r="F455" s="12"/>
      <c r="G455" s="12" t="b">
        <v>0</v>
      </c>
      <c r="H455" s="8" t="s">
        <v>10333</v>
      </c>
      <c r="I455" s="8" t="s">
        <v>10334</v>
      </c>
      <c r="J455" s="12"/>
      <c r="K455" s="8" t="s">
        <v>10335</v>
      </c>
      <c r="L455" s="8">
        <v>28.0</v>
      </c>
      <c r="M455" s="8" t="s">
        <v>1295</v>
      </c>
      <c r="N455" s="12"/>
      <c r="O455" s="12"/>
      <c r="P455" s="28" t="s">
        <v>10336</v>
      </c>
    </row>
    <row r="456">
      <c r="A456" s="8" t="s">
        <v>10337</v>
      </c>
      <c r="B456" s="12"/>
      <c r="C456" s="12"/>
      <c r="D456" s="12"/>
      <c r="E456" s="12"/>
      <c r="F456" s="12"/>
      <c r="G456" s="12" t="b">
        <v>0</v>
      </c>
      <c r="H456" s="8" t="s">
        <v>10338</v>
      </c>
      <c r="I456" s="8" t="s">
        <v>10339</v>
      </c>
      <c r="J456" s="12"/>
      <c r="K456" s="8" t="s">
        <v>7722</v>
      </c>
      <c r="L456" s="8">
        <v>15.0</v>
      </c>
      <c r="M456" s="8" t="s">
        <v>1295</v>
      </c>
      <c r="N456" s="12"/>
      <c r="O456" s="12"/>
      <c r="P456" s="12"/>
    </row>
    <row r="457">
      <c r="A457" s="8" t="s">
        <v>10340</v>
      </c>
      <c r="B457" s="12"/>
      <c r="C457" s="12"/>
      <c r="D457" s="12"/>
      <c r="E457" s="12"/>
      <c r="F457" s="12"/>
      <c r="G457" s="12" t="b">
        <v>0</v>
      </c>
      <c r="H457" s="8" t="s">
        <v>10341</v>
      </c>
      <c r="I457" s="8" t="s">
        <v>10342</v>
      </c>
      <c r="J457" s="12"/>
      <c r="K457" s="8" t="s">
        <v>8192</v>
      </c>
      <c r="L457" s="8">
        <v>90.0</v>
      </c>
      <c r="M457" s="8" t="s">
        <v>1295</v>
      </c>
      <c r="N457" s="12"/>
      <c r="O457" s="12"/>
      <c r="P457" s="28" t="s">
        <v>10343</v>
      </c>
    </row>
    <row r="458">
      <c r="A458" s="8" t="s">
        <v>10344</v>
      </c>
      <c r="B458" s="12"/>
      <c r="C458" s="12"/>
      <c r="D458" s="12"/>
      <c r="E458" s="12"/>
      <c r="F458" s="12"/>
      <c r="G458" s="12" t="b">
        <v>0</v>
      </c>
      <c r="H458" s="8" t="s">
        <v>10345</v>
      </c>
      <c r="I458" s="8" t="s">
        <v>10346</v>
      </c>
      <c r="J458" s="12"/>
      <c r="K458" s="8" t="s">
        <v>8133</v>
      </c>
      <c r="L458" s="8">
        <v>11.0</v>
      </c>
      <c r="M458" s="8" t="s">
        <v>10347</v>
      </c>
      <c r="N458" s="12"/>
      <c r="O458" s="8" t="s">
        <v>10348</v>
      </c>
      <c r="P458" s="28" t="s">
        <v>10349</v>
      </c>
    </row>
    <row r="459">
      <c r="A459" s="8" t="s">
        <v>10350</v>
      </c>
      <c r="B459" s="12"/>
      <c r="C459" s="12"/>
      <c r="D459" s="12"/>
      <c r="E459" s="12"/>
      <c r="F459" s="12"/>
      <c r="G459" s="12" t="b">
        <v>0</v>
      </c>
      <c r="H459" s="8" t="s">
        <v>10351</v>
      </c>
      <c r="I459" s="8" t="s">
        <v>10352</v>
      </c>
      <c r="J459" s="12"/>
      <c r="K459" s="8" t="s">
        <v>8109</v>
      </c>
      <c r="L459" s="8">
        <v>11.0</v>
      </c>
      <c r="M459" s="8" t="s">
        <v>10353</v>
      </c>
      <c r="N459" s="12"/>
      <c r="O459" s="8" t="s">
        <v>9527</v>
      </c>
      <c r="P459" s="28" t="s">
        <v>10354</v>
      </c>
    </row>
    <row r="460">
      <c r="A460" s="8" t="s">
        <v>10355</v>
      </c>
      <c r="B460" s="12"/>
      <c r="C460" s="12"/>
      <c r="D460" s="12"/>
      <c r="E460" s="12"/>
      <c r="F460" s="12"/>
      <c r="G460" s="12" t="b">
        <v>0</v>
      </c>
      <c r="H460" s="8" t="s">
        <v>10356</v>
      </c>
      <c r="I460" s="8" t="s">
        <v>10357</v>
      </c>
      <c r="J460" s="12"/>
      <c r="K460" s="8" t="s">
        <v>10358</v>
      </c>
      <c r="L460" s="8">
        <v>20.0</v>
      </c>
      <c r="M460" s="8" t="s">
        <v>10359</v>
      </c>
      <c r="N460" s="12"/>
      <c r="O460" s="8" t="s">
        <v>10360</v>
      </c>
      <c r="P460" s="28" t="s">
        <v>10361</v>
      </c>
    </row>
    <row r="461">
      <c r="A461" s="8" t="s">
        <v>10362</v>
      </c>
      <c r="B461" s="12"/>
      <c r="C461" s="12"/>
      <c r="D461" s="12"/>
      <c r="E461" s="12"/>
      <c r="F461" s="12"/>
      <c r="G461" s="12" t="b">
        <v>0</v>
      </c>
      <c r="H461" s="8" t="s">
        <v>10363</v>
      </c>
      <c r="I461" s="8" t="s">
        <v>10364</v>
      </c>
      <c r="J461" s="12"/>
      <c r="K461" s="8" t="s">
        <v>8412</v>
      </c>
      <c r="L461" s="8">
        <v>11.0</v>
      </c>
      <c r="M461" s="8" t="s">
        <v>10365</v>
      </c>
      <c r="N461" s="12"/>
      <c r="O461" s="8" t="s">
        <v>10366</v>
      </c>
      <c r="P461" s="12"/>
    </row>
    <row r="462">
      <c r="A462" s="8" t="s">
        <v>10367</v>
      </c>
      <c r="B462" s="12"/>
      <c r="C462" s="12"/>
      <c r="D462" s="12"/>
      <c r="E462" s="12"/>
      <c r="F462" s="12"/>
      <c r="G462" s="12" t="b">
        <v>0</v>
      </c>
      <c r="H462" s="8" t="s">
        <v>10368</v>
      </c>
      <c r="I462" s="8" t="s">
        <v>10369</v>
      </c>
      <c r="J462" s="12"/>
      <c r="K462" s="12"/>
      <c r="L462" s="8">
        <v>14.0</v>
      </c>
      <c r="M462" s="8" t="s">
        <v>10370</v>
      </c>
      <c r="N462" s="12"/>
      <c r="O462" s="8" t="s">
        <v>10371</v>
      </c>
      <c r="P462" s="28" t="s">
        <v>10372</v>
      </c>
    </row>
    <row r="463">
      <c r="A463" s="8" t="s">
        <v>10373</v>
      </c>
      <c r="B463" s="12"/>
      <c r="C463" s="12"/>
      <c r="D463" s="12"/>
      <c r="E463" s="12"/>
      <c r="F463" s="12"/>
      <c r="G463" s="12" t="b">
        <v>0</v>
      </c>
      <c r="H463" s="8" t="s">
        <v>10374</v>
      </c>
      <c r="I463" s="8" t="s">
        <v>10375</v>
      </c>
      <c r="J463" s="12"/>
      <c r="K463" s="8" t="s">
        <v>7722</v>
      </c>
      <c r="L463" s="8">
        <v>15.0</v>
      </c>
      <c r="M463" s="8" t="s">
        <v>10376</v>
      </c>
      <c r="N463" s="12"/>
      <c r="O463" s="8" t="s">
        <v>43</v>
      </c>
      <c r="P463" s="28" t="s">
        <v>10377</v>
      </c>
    </row>
    <row r="464">
      <c r="A464" s="8" t="s">
        <v>10378</v>
      </c>
      <c r="B464" s="12"/>
      <c r="C464" s="12"/>
      <c r="D464" s="12"/>
      <c r="E464" s="12"/>
      <c r="F464" s="12"/>
      <c r="G464" s="12" t="b">
        <v>0</v>
      </c>
      <c r="H464" s="8" t="s">
        <v>10379</v>
      </c>
      <c r="I464" s="8" t="s">
        <v>10380</v>
      </c>
      <c r="J464" s="12"/>
      <c r="K464" s="8" t="s">
        <v>7722</v>
      </c>
      <c r="L464" s="8">
        <v>12.0</v>
      </c>
      <c r="M464" s="8" t="s">
        <v>10381</v>
      </c>
      <c r="N464" s="8" t="s">
        <v>10382</v>
      </c>
      <c r="O464" s="8" t="s">
        <v>10383</v>
      </c>
      <c r="P464" s="28" t="s">
        <v>10384</v>
      </c>
    </row>
    <row r="465">
      <c r="A465" s="8" t="s">
        <v>10385</v>
      </c>
      <c r="B465" s="12"/>
      <c r="C465" s="12"/>
      <c r="D465" s="12"/>
      <c r="E465" s="12"/>
      <c r="F465" s="12"/>
      <c r="G465" s="12" t="b">
        <v>0</v>
      </c>
      <c r="H465" s="8" t="s">
        <v>10386</v>
      </c>
      <c r="I465" s="8" t="s">
        <v>10387</v>
      </c>
      <c r="J465" s="12"/>
      <c r="K465" s="8" t="s">
        <v>8133</v>
      </c>
      <c r="L465" s="8">
        <v>45.0</v>
      </c>
      <c r="M465" s="8" t="s">
        <v>1295</v>
      </c>
      <c r="N465" s="12"/>
      <c r="O465" s="12"/>
      <c r="P465" s="28" t="s">
        <v>10388</v>
      </c>
    </row>
    <row r="466">
      <c r="A466" s="8" t="s">
        <v>10389</v>
      </c>
      <c r="B466" s="12"/>
      <c r="C466" s="12"/>
      <c r="D466" s="12"/>
      <c r="E466" s="12"/>
      <c r="F466" s="12"/>
      <c r="G466" s="12" t="b">
        <v>0</v>
      </c>
      <c r="H466" s="8" t="s">
        <v>10390</v>
      </c>
      <c r="I466" s="8" t="s">
        <v>10391</v>
      </c>
      <c r="J466" s="12"/>
      <c r="K466" s="8" t="s">
        <v>7722</v>
      </c>
      <c r="L466" s="8">
        <v>60.0</v>
      </c>
      <c r="M466" s="8" t="s">
        <v>1295</v>
      </c>
      <c r="N466" s="12"/>
      <c r="O466" s="12"/>
      <c r="P466" s="28" t="s">
        <v>10392</v>
      </c>
    </row>
    <row r="467">
      <c r="A467" s="8" t="s">
        <v>10393</v>
      </c>
      <c r="B467" s="12"/>
      <c r="C467" s="12"/>
      <c r="D467" s="12"/>
      <c r="E467" s="12"/>
      <c r="F467" s="12"/>
      <c r="G467" s="12" t="b">
        <v>0</v>
      </c>
      <c r="H467" s="8" t="s">
        <v>10394</v>
      </c>
      <c r="I467" s="8" t="s">
        <v>10395</v>
      </c>
      <c r="J467" s="12"/>
      <c r="K467" s="8" t="s">
        <v>7722</v>
      </c>
      <c r="L467" s="8">
        <v>40.0</v>
      </c>
      <c r="M467" s="8" t="s">
        <v>1295</v>
      </c>
      <c r="N467" s="12"/>
      <c r="O467" s="12"/>
      <c r="P467" s="28" t="s">
        <v>10396</v>
      </c>
    </row>
    <row r="468">
      <c r="A468" s="8" t="s">
        <v>10397</v>
      </c>
      <c r="B468" s="12"/>
      <c r="C468" s="12"/>
      <c r="D468" s="12"/>
      <c r="E468" s="12"/>
      <c r="F468" s="12"/>
      <c r="G468" s="12" t="b">
        <v>0</v>
      </c>
      <c r="H468" s="8" t="s">
        <v>10398</v>
      </c>
      <c r="I468" s="8" t="s">
        <v>10399</v>
      </c>
      <c r="J468" s="12"/>
      <c r="K468" s="8" t="s">
        <v>7722</v>
      </c>
      <c r="L468" s="8">
        <v>11.0</v>
      </c>
      <c r="M468" s="8" t="s">
        <v>10400</v>
      </c>
      <c r="N468" s="12"/>
      <c r="O468" s="8" t="s">
        <v>10401</v>
      </c>
      <c r="P468" s="12"/>
    </row>
    <row r="469">
      <c r="A469" s="8" t="s">
        <v>10402</v>
      </c>
      <c r="B469" s="12"/>
      <c r="C469" s="12"/>
      <c r="D469" s="12"/>
      <c r="E469" s="12"/>
      <c r="F469" s="12"/>
      <c r="G469" s="12" t="b">
        <v>0</v>
      </c>
      <c r="H469" s="8" t="s">
        <v>10403</v>
      </c>
      <c r="I469" s="8" t="s">
        <v>10404</v>
      </c>
      <c r="J469" s="12"/>
      <c r="K469" s="8" t="s">
        <v>8337</v>
      </c>
      <c r="L469" s="8">
        <v>25.0</v>
      </c>
      <c r="M469" s="8" t="s">
        <v>10405</v>
      </c>
      <c r="N469" s="12"/>
      <c r="O469" s="8" t="s">
        <v>10406</v>
      </c>
      <c r="P469" s="28" t="s">
        <v>10407</v>
      </c>
    </row>
    <row r="470">
      <c r="A470" s="8" t="s">
        <v>10408</v>
      </c>
      <c r="B470" s="12"/>
      <c r="C470" s="12"/>
      <c r="D470" s="12"/>
      <c r="E470" s="12"/>
      <c r="F470" s="12"/>
      <c r="G470" s="12" t="b">
        <v>0</v>
      </c>
      <c r="H470" s="8" t="s">
        <v>10409</v>
      </c>
      <c r="I470" s="8" t="s">
        <v>10410</v>
      </c>
      <c r="J470" s="12"/>
      <c r="K470" s="8" t="s">
        <v>8109</v>
      </c>
      <c r="L470" s="8">
        <v>14.0</v>
      </c>
      <c r="M470" s="8" t="s">
        <v>10411</v>
      </c>
      <c r="N470" s="12"/>
      <c r="O470" s="8" t="s">
        <v>10412</v>
      </c>
      <c r="P470" s="28" t="s">
        <v>10413</v>
      </c>
    </row>
    <row r="471">
      <c r="A471" s="8" t="s">
        <v>10414</v>
      </c>
      <c r="B471" s="12"/>
      <c r="C471" s="12"/>
      <c r="D471" s="12"/>
      <c r="E471" s="12"/>
      <c r="F471" s="12"/>
      <c r="G471" s="12" t="b">
        <v>0</v>
      </c>
      <c r="H471" s="8" t="s">
        <v>10415</v>
      </c>
      <c r="I471" s="8" t="s">
        <v>10416</v>
      </c>
      <c r="J471" s="12"/>
      <c r="K471" s="8" t="s">
        <v>10417</v>
      </c>
      <c r="L471" s="8">
        <v>50.0</v>
      </c>
      <c r="M471" s="8" t="s">
        <v>10418</v>
      </c>
      <c r="N471" s="12"/>
      <c r="O471" s="8" t="s">
        <v>10419</v>
      </c>
      <c r="P471" s="28" t="s">
        <v>10420</v>
      </c>
    </row>
    <row r="472">
      <c r="A472" s="8" t="s">
        <v>10421</v>
      </c>
      <c r="B472" s="12"/>
      <c r="C472" s="12"/>
      <c r="D472" s="12"/>
      <c r="E472" s="12"/>
      <c r="F472" s="12"/>
      <c r="G472" s="12" t="b">
        <v>0</v>
      </c>
      <c r="H472" s="8" t="s">
        <v>10422</v>
      </c>
      <c r="I472" s="8" t="s">
        <v>10423</v>
      </c>
      <c r="J472" s="12"/>
      <c r="K472" s="8" t="s">
        <v>8271</v>
      </c>
      <c r="L472" s="8">
        <v>22.0</v>
      </c>
      <c r="M472" s="8" t="s">
        <v>10424</v>
      </c>
      <c r="N472" s="12"/>
      <c r="O472" s="8" t="s">
        <v>10425</v>
      </c>
      <c r="P472" s="28" t="s">
        <v>10426</v>
      </c>
    </row>
    <row r="473">
      <c r="A473" s="8" t="s">
        <v>10427</v>
      </c>
      <c r="B473" s="12"/>
      <c r="C473" s="12"/>
      <c r="D473" s="12"/>
      <c r="E473" s="12"/>
      <c r="F473" s="12"/>
      <c r="G473" s="12" t="b">
        <v>0</v>
      </c>
      <c r="H473" s="8" t="s">
        <v>10428</v>
      </c>
      <c r="I473" s="8" t="s">
        <v>10429</v>
      </c>
      <c r="J473" s="12"/>
      <c r="K473" s="8" t="s">
        <v>9895</v>
      </c>
      <c r="L473" s="8">
        <v>40.0</v>
      </c>
      <c r="M473" s="8" t="s">
        <v>10430</v>
      </c>
      <c r="N473" s="12"/>
      <c r="O473" s="8" t="s">
        <v>8529</v>
      </c>
      <c r="P473" s="28" t="s">
        <v>10431</v>
      </c>
    </row>
    <row r="474">
      <c r="A474" s="8" t="s">
        <v>10432</v>
      </c>
      <c r="B474" s="12"/>
      <c r="C474" s="12"/>
      <c r="D474" s="12"/>
      <c r="E474" s="12"/>
      <c r="F474" s="12"/>
      <c r="G474" s="12" t="b">
        <v>0</v>
      </c>
      <c r="H474" s="8" t="s">
        <v>10433</v>
      </c>
      <c r="I474" s="8" t="s">
        <v>10434</v>
      </c>
      <c r="J474" s="12"/>
      <c r="K474" s="8" t="s">
        <v>10435</v>
      </c>
      <c r="L474" s="8">
        <v>11.0</v>
      </c>
      <c r="M474" s="8" t="s">
        <v>1295</v>
      </c>
      <c r="N474" s="12"/>
      <c r="O474" s="12"/>
      <c r="P474" s="12"/>
    </row>
    <row r="475">
      <c r="A475" s="12"/>
      <c r="B475" s="12"/>
      <c r="C475" s="12"/>
      <c r="D475" s="12"/>
      <c r="E475" s="12"/>
      <c r="F475" s="12"/>
      <c r="G475" s="12" t="b">
        <v>0</v>
      </c>
      <c r="H475" s="8" t="s">
        <v>10436</v>
      </c>
      <c r="I475" s="8" t="s">
        <v>10437</v>
      </c>
      <c r="J475" s="12"/>
      <c r="K475" s="8" t="s">
        <v>7722</v>
      </c>
      <c r="L475" s="8">
        <v>11.0</v>
      </c>
      <c r="M475" s="8" t="s">
        <v>10438</v>
      </c>
      <c r="N475" s="12"/>
      <c r="O475" s="8" t="s">
        <v>8529</v>
      </c>
      <c r="P475" s="12"/>
    </row>
    <row r="476">
      <c r="A476" s="28"/>
      <c r="B476" s="12"/>
      <c r="C476" s="12"/>
      <c r="D476" s="12"/>
      <c r="E476" s="12"/>
      <c r="F476" s="12"/>
      <c r="G476" s="12" t="b">
        <v>0</v>
      </c>
      <c r="H476" s="8" t="s">
        <v>10439</v>
      </c>
      <c r="I476" s="8" t="s">
        <v>10440</v>
      </c>
      <c r="J476" s="12"/>
      <c r="K476" s="8" t="s">
        <v>7722</v>
      </c>
      <c r="L476" s="8">
        <v>15.0</v>
      </c>
      <c r="M476" s="8" t="s">
        <v>10441</v>
      </c>
      <c r="N476" s="12"/>
      <c r="O476" s="8" t="s">
        <v>8865</v>
      </c>
      <c r="P476" s="28" t="s">
        <v>10442</v>
      </c>
    </row>
    <row r="477">
      <c r="A477" s="28"/>
      <c r="B477" s="12"/>
      <c r="C477" s="12"/>
      <c r="D477" s="12"/>
      <c r="E477" s="12"/>
      <c r="F477" s="12"/>
      <c r="G477" s="12" t="b">
        <v>0</v>
      </c>
      <c r="H477" s="8" t="s">
        <v>10443</v>
      </c>
      <c r="I477" s="8" t="s">
        <v>10444</v>
      </c>
      <c r="J477" s="12"/>
      <c r="K477" s="8" t="s">
        <v>8091</v>
      </c>
      <c r="L477" s="8">
        <v>50.0</v>
      </c>
      <c r="M477" s="8" t="s">
        <v>10445</v>
      </c>
      <c r="N477" s="12"/>
      <c r="O477" s="8" t="s">
        <v>10446</v>
      </c>
      <c r="P477" s="28" t="s">
        <v>10447</v>
      </c>
    </row>
    <row r="478">
      <c r="A478" s="28"/>
      <c r="B478" s="12"/>
      <c r="C478" s="12"/>
      <c r="D478" s="12"/>
      <c r="E478" s="12"/>
      <c r="F478" s="12"/>
      <c r="G478" s="12" t="b">
        <v>0</v>
      </c>
      <c r="H478" s="8" t="s">
        <v>10448</v>
      </c>
      <c r="I478" s="8" t="s">
        <v>10449</v>
      </c>
      <c r="J478" s="12"/>
      <c r="K478" s="8" t="s">
        <v>8317</v>
      </c>
      <c r="L478" s="8">
        <v>11.0</v>
      </c>
      <c r="M478" s="8" t="s">
        <v>10450</v>
      </c>
      <c r="N478" s="12"/>
      <c r="O478" s="8" t="s">
        <v>10451</v>
      </c>
      <c r="P478" s="28" t="s">
        <v>10452</v>
      </c>
    </row>
    <row r="479">
      <c r="A479" s="28"/>
      <c r="B479" s="12"/>
      <c r="C479" s="12"/>
      <c r="D479" s="12"/>
      <c r="E479" s="12"/>
      <c r="F479" s="12"/>
      <c r="G479" s="12" t="b">
        <v>0</v>
      </c>
      <c r="H479" s="8" t="s">
        <v>10453</v>
      </c>
      <c r="I479" s="8" t="s">
        <v>10454</v>
      </c>
      <c r="J479" s="12"/>
      <c r="K479" s="8" t="s">
        <v>7722</v>
      </c>
      <c r="L479" s="8">
        <v>35.0</v>
      </c>
      <c r="M479" s="8" t="s">
        <v>10455</v>
      </c>
      <c r="N479" s="12"/>
      <c r="O479" s="8" t="s">
        <v>10456</v>
      </c>
      <c r="P479" s="28" t="s">
        <v>10457</v>
      </c>
    </row>
    <row r="480">
      <c r="A480" s="28"/>
      <c r="B480" s="12"/>
      <c r="C480" s="12"/>
      <c r="D480" s="12"/>
      <c r="E480" s="12"/>
      <c r="F480" s="12"/>
      <c r="G480" s="12" t="b">
        <v>0</v>
      </c>
      <c r="H480" s="8" t="s">
        <v>10458</v>
      </c>
      <c r="I480" s="8" t="s">
        <v>10459</v>
      </c>
      <c r="J480" s="12"/>
      <c r="K480" s="8" t="s">
        <v>7804</v>
      </c>
      <c r="L480" s="8">
        <v>15.0</v>
      </c>
      <c r="M480" s="8" t="s">
        <v>10460</v>
      </c>
      <c r="N480" s="12"/>
      <c r="O480" s="8" t="s">
        <v>10292</v>
      </c>
      <c r="P480" s="28" t="s">
        <v>10461</v>
      </c>
    </row>
    <row r="481">
      <c r="A481" s="28"/>
      <c r="B481" s="12"/>
      <c r="C481" s="12"/>
      <c r="D481" s="12"/>
      <c r="E481" s="12"/>
      <c r="F481" s="12"/>
      <c r="G481" s="12" t="b">
        <v>0</v>
      </c>
      <c r="H481" s="8" t="s">
        <v>10462</v>
      </c>
      <c r="I481" s="8" t="s">
        <v>10463</v>
      </c>
      <c r="J481" s="12"/>
      <c r="K481" s="8" t="s">
        <v>7722</v>
      </c>
      <c r="L481" s="8">
        <v>11.0</v>
      </c>
      <c r="M481" s="8" t="s">
        <v>10464</v>
      </c>
      <c r="N481" s="12"/>
      <c r="O481" s="8" t="s">
        <v>10465</v>
      </c>
      <c r="P481" s="12"/>
    </row>
    <row r="482">
      <c r="A482" s="28"/>
      <c r="B482" s="12"/>
      <c r="C482" s="12"/>
      <c r="D482" s="12"/>
      <c r="E482" s="12"/>
      <c r="F482" s="12"/>
      <c r="G482" s="12" t="b">
        <v>0</v>
      </c>
      <c r="H482" s="8" t="s">
        <v>10466</v>
      </c>
      <c r="I482" s="8" t="s">
        <v>10467</v>
      </c>
      <c r="J482" s="12"/>
      <c r="K482" s="8" t="s">
        <v>8489</v>
      </c>
      <c r="L482" s="8">
        <v>10.0</v>
      </c>
      <c r="M482" s="8" t="s">
        <v>10468</v>
      </c>
      <c r="N482" s="12"/>
      <c r="O482" s="8" t="s">
        <v>10469</v>
      </c>
      <c r="P482" s="28" t="s">
        <v>10470</v>
      </c>
    </row>
    <row r="483">
      <c r="A483" s="28"/>
      <c r="B483" s="12"/>
      <c r="C483" s="12"/>
      <c r="D483" s="12"/>
      <c r="E483" s="12"/>
      <c r="F483" s="12"/>
      <c r="G483" s="12" t="b">
        <v>0</v>
      </c>
      <c r="H483" s="28" t="s">
        <v>10471</v>
      </c>
      <c r="I483" s="8" t="s">
        <v>10472</v>
      </c>
      <c r="J483" s="12"/>
      <c r="K483" s="8" t="s">
        <v>8317</v>
      </c>
      <c r="L483" s="8">
        <v>30.0</v>
      </c>
      <c r="M483" s="8" t="s">
        <v>10473</v>
      </c>
      <c r="N483" s="12"/>
      <c r="O483" s="8" t="s">
        <v>10474</v>
      </c>
      <c r="P483" s="28" t="s">
        <v>10475</v>
      </c>
    </row>
    <row r="484">
      <c r="A484" s="28"/>
      <c r="B484" s="12"/>
      <c r="C484" s="12"/>
      <c r="D484" s="12"/>
      <c r="E484" s="12"/>
      <c r="F484" s="12"/>
      <c r="G484" s="12" t="b">
        <v>0</v>
      </c>
      <c r="H484" s="8" t="s">
        <v>10476</v>
      </c>
      <c r="I484" s="8" t="s">
        <v>10477</v>
      </c>
      <c r="J484" s="12"/>
      <c r="K484" s="8" t="s">
        <v>7722</v>
      </c>
      <c r="L484" s="8">
        <v>12.0</v>
      </c>
      <c r="M484" s="8" t="s">
        <v>10478</v>
      </c>
      <c r="N484" s="8" t="s">
        <v>10479</v>
      </c>
      <c r="O484" s="8" t="s">
        <v>10480</v>
      </c>
      <c r="P484" s="28" t="s">
        <v>10481</v>
      </c>
    </row>
    <row r="485">
      <c r="A485" s="28"/>
      <c r="B485" s="12"/>
      <c r="C485" s="12"/>
      <c r="D485" s="12"/>
      <c r="E485" s="12"/>
      <c r="F485" s="12"/>
      <c r="G485" s="12" t="b">
        <v>0</v>
      </c>
      <c r="H485" s="8" t="s">
        <v>10482</v>
      </c>
      <c r="I485" s="8" t="s">
        <v>10483</v>
      </c>
      <c r="J485" s="12"/>
      <c r="K485" s="8" t="s">
        <v>9561</v>
      </c>
      <c r="L485" s="8">
        <v>20.0</v>
      </c>
      <c r="M485" s="8" t="s">
        <v>10484</v>
      </c>
      <c r="N485" s="12"/>
      <c r="O485" s="8" t="s">
        <v>10040</v>
      </c>
      <c r="P485" s="28" t="s">
        <v>10485</v>
      </c>
    </row>
    <row r="486">
      <c r="A486" s="28"/>
      <c r="B486" s="12"/>
      <c r="C486" s="12"/>
      <c r="D486" s="12"/>
      <c r="E486" s="12"/>
      <c r="F486" s="12"/>
      <c r="G486" s="12" t="b">
        <v>0</v>
      </c>
      <c r="H486" s="8" t="s">
        <v>4305</v>
      </c>
      <c r="I486" s="8" t="s">
        <v>10486</v>
      </c>
      <c r="J486" s="12"/>
      <c r="K486" s="8" t="s">
        <v>8317</v>
      </c>
      <c r="L486" s="8">
        <v>10.0</v>
      </c>
      <c r="M486" s="8" t="s">
        <v>10487</v>
      </c>
      <c r="N486" s="12"/>
      <c r="O486" s="8" t="s">
        <v>10219</v>
      </c>
      <c r="P486" s="28" t="s">
        <v>10488</v>
      </c>
    </row>
    <row r="487">
      <c r="A487" s="28"/>
      <c r="B487" s="12"/>
      <c r="C487" s="12"/>
      <c r="D487" s="12"/>
      <c r="E487" s="12"/>
      <c r="F487" s="12"/>
      <c r="G487" s="12" t="b">
        <v>0</v>
      </c>
      <c r="H487" s="8" t="s">
        <v>10489</v>
      </c>
      <c r="I487" s="8" t="s">
        <v>10490</v>
      </c>
      <c r="J487" s="12"/>
      <c r="K487" s="8" t="s">
        <v>8271</v>
      </c>
      <c r="L487" s="8">
        <v>11.0</v>
      </c>
      <c r="M487" s="8" t="s">
        <v>10491</v>
      </c>
      <c r="N487" s="12"/>
      <c r="O487" s="8" t="s">
        <v>10492</v>
      </c>
      <c r="P487" s="28" t="s">
        <v>10493</v>
      </c>
    </row>
    <row r="488">
      <c r="A488" s="28"/>
      <c r="B488" s="12"/>
      <c r="C488" s="12"/>
      <c r="D488" s="12"/>
      <c r="E488" s="12"/>
      <c r="F488" s="12"/>
      <c r="G488" s="12" t="b">
        <v>0</v>
      </c>
      <c r="H488" s="8" t="s">
        <v>10494</v>
      </c>
      <c r="I488" s="8" t="s">
        <v>10495</v>
      </c>
      <c r="J488" s="12"/>
      <c r="K488" s="8" t="s">
        <v>7722</v>
      </c>
      <c r="L488" s="8">
        <v>30.0</v>
      </c>
      <c r="M488" s="8" t="s">
        <v>10496</v>
      </c>
      <c r="N488" s="12"/>
      <c r="O488" s="8" t="s">
        <v>8661</v>
      </c>
      <c r="P488" s="28" t="s">
        <v>10497</v>
      </c>
    </row>
    <row r="489">
      <c r="A489" s="28"/>
      <c r="B489" s="12"/>
      <c r="C489" s="12"/>
      <c r="D489" s="12"/>
      <c r="E489" s="12"/>
      <c r="F489" s="12"/>
      <c r="G489" s="12" t="b">
        <v>0</v>
      </c>
      <c r="H489" s="8" t="s">
        <v>10498</v>
      </c>
      <c r="I489" s="8" t="s">
        <v>10499</v>
      </c>
      <c r="J489" s="12"/>
      <c r="K489" s="8" t="s">
        <v>7722</v>
      </c>
      <c r="L489" s="8">
        <v>26.0</v>
      </c>
      <c r="M489" s="8" t="s">
        <v>1295</v>
      </c>
      <c r="N489" s="12"/>
      <c r="O489" s="12"/>
      <c r="P489" s="28" t="s">
        <v>10500</v>
      </c>
    </row>
    <row r="490">
      <c r="A490" s="28"/>
      <c r="B490" s="12"/>
      <c r="C490" s="12"/>
      <c r="D490" s="12"/>
      <c r="E490" s="12"/>
      <c r="F490" s="12"/>
      <c r="G490" s="12" t="b">
        <v>0</v>
      </c>
      <c r="H490" s="8" t="s">
        <v>10501</v>
      </c>
      <c r="I490" s="8" t="s">
        <v>10502</v>
      </c>
      <c r="J490" s="12"/>
      <c r="K490" s="8" t="s">
        <v>8304</v>
      </c>
      <c r="L490" s="8">
        <v>35.0</v>
      </c>
      <c r="M490" s="8" t="s">
        <v>10503</v>
      </c>
      <c r="N490" s="8" t="s">
        <v>10504</v>
      </c>
      <c r="O490" s="8" t="s">
        <v>10505</v>
      </c>
      <c r="P490" s="28" t="s">
        <v>10506</v>
      </c>
    </row>
    <row r="491">
      <c r="A491" s="28"/>
      <c r="B491" s="12"/>
      <c r="C491" s="12"/>
      <c r="D491" s="12"/>
      <c r="E491" s="12"/>
      <c r="F491" s="12"/>
      <c r="G491" s="12" t="b">
        <v>0</v>
      </c>
      <c r="H491" s="8" t="s">
        <v>10507</v>
      </c>
      <c r="I491" s="8" t="s">
        <v>10508</v>
      </c>
      <c r="J491" s="12"/>
      <c r="K491" s="8" t="s">
        <v>7854</v>
      </c>
      <c r="L491" s="8">
        <v>50.0</v>
      </c>
      <c r="M491" s="8" t="s">
        <v>1295</v>
      </c>
      <c r="N491" s="12"/>
      <c r="O491" s="12"/>
      <c r="P491" s="28" t="s">
        <v>10509</v>
      </c>
    </row>
    <row r="492">
      <c r="A492" s="28"/>
      <c r="B492" s="12"/>
      <c r="C492" s="12"/>
      <c r="D492" s="12"/>
      <c r="E492" s="12"/>
      <c r="F492" s="12"/>
      <c r="G492" s="12" t="b">
        <v>0</v>
      </c>
      <c r="H492" s="8" t="s">
        <v>10510</v>
      </c>
      <c r="I492" s="8" t="s">
        <v>10511</v>
      </c>
      <c r="J492" s="12"/>
      <c r="K492" s="8" t="s">
        <v>9964</v>
      </c>
      <c r="L492" s="8">
        <v>28.0</v>
      </c>
      <c r="M492" s="8" t="s">
        <v>10512</v>
      </c>
      <c r="N492" s="12"/>
      <c r="O492" s="8" t="s">
        <v>10513</v>
      </c>
      <c r="P492" s="28" t="s">
        <v>10514</v>
      </c>
    </row>
    <row r="493">
      <c r="A493" s="28"/>
      <c r="B493" s="12"/>
      <c r="C493" s="12"/>
      <c r="D493" s="12"/>
      <c r="E493" s="12"/>
      <c r="F493" s="12"/>
      <c r="G493" s="12" t="b">
        <v>0</v>
      </c>
      <c r="H493" s="8" t="s">
        <v>10515</v>
      </c>
      <c r="I493" s="8" t="s">
        <v>10516</v>
      </c>
      <c r="J493" s="12"/>
      <c r="K493" s="8" t="s">
        <v>8337</v>
      </c>
      <c r="L493" s="8">
        <v>31.0</v>
      </c>
      <c r="M493" s="8" t="s">
        <v>10517</v>
      </c>
      <c r="N493" s="12"/>
      <c r="O493" s="8" t="s">
        <v>10518</v>
      </c>
      <c r="P493" s="28" t="s">
        <v>10519</v>
      </c>
    </row>
    <row r="494">
      <c r="A494" s="28"/>
      <c r="B494" s="12"/>
      <c r="C494" s="12"/>
      <c r="D494" s="12"/>
      <c r="E494" s="12"/>
      <c r="F494" s="12"/>
      <c r="G494" s="12" t="b">
        <v>0</v>
      </c>
      <c r="H494" s="8" t="s">
        <v>10520</v>
      </c>
      <c r="I494" s="8" t="s">
        <v>10521</v>
      </c>
      <c r="J494" s="12"/>
      <c r="K494" s="8" t="s">
        <v>8330</v>
      </c>
      <c r="L494" s="8">
        <v>12.0</v>
      </c>
      <c r="M494" s="8" t="s">
        <v>10522</v>
      </c>
      <c r="N494" s="8" t="s">
        <v>10523</v>
      </c>
      <c r="O494" s="8" t="s">
        <v>10524</v>
      </c>
      <c r="P494" s="28" t="s">
        <v>10525</v>
      </c>
    </row>
    <row r="495">
      <c r="A495" s="28"/>
      <c r="B495" s="12"/>
      <c r="C495" s="12"/>
      <c r="D495" s="12"/>
      <c r="E495" s="12"/>
      <c r="F495" s="12"/>
      <c r="G495" s="12" t="b">
        <v>0</v>
      </c>
      <c r="H495" s="8" t="s">
        <v>10526</v>
      </c>
      <c r="I495" s="8" t="s">
        <v>10527</v>
      </c>
      <c r="J495" s="12"/>
      <c r="K495" s="8" t="s">
        <v>7722</v>
      </c>
      <c r="L495" s="8">
        <v>40.0</v>
      </c>
      <c r="M495" s="8" t="s">
        <v>1295</v>
      </c>
      <c r="N495" s="8" t="s">
        <v>10528</v>
      </c>
      <c r="O495" s="12"/>
      <c r="P495" s="28" t="s">
        <v>10529</v>
      </c>
    </row>
    <row r="496">
      <c r="A496" s="28"/>
      <c r="B496" s="12"/>
      <c r="C496" s="12"/>
      <c r="D496" s="12"/>
      <c r="E496" s="12"/>
      <c r="F496" s="12"/>
      <c r="G496" s="12" t="b">
        <v>0</v>
      </c>
      <c r="H496" s="8" t="s">
        <v>10530</v>
      </c>
      <c r="I496" s="8" t="s">
        <v>10531</v>
      </c>
      <c r="J496" s="12"/>
      <c r="K496" s="8" t="s">
        <v>7722</v>
      </c>
      <c r="L496" s="8">
        <v>70.0</v>
      </c>
      <c r="M496" s="8" t="s">
        <v>10532</v>
      </c>
      <c r="N496" s="12"/>
      <c r="O496" s="8" t="s">
        <v>7947</v>
      </c>
      <c r="P496" s="28" t="s">
        <v>10533</v>
      </c>
    </row>
    <row r="497">
      <c r="A497" s="28"/>
      <c r="B497" s="12"/>
      <c r="C497" s="12"/>
      <c r="D497" s="12"/>
      <c r="E497" s="12"/>
      <c r="F497" s="12"/>
      <c r="G497" s="12" t="b">
        <v>0</v>
      </c>
      <c r="H497" s="8" t="s">
        <v>10534</v>
      </c>
      <c r="I497" s="8" t="s">
        <v>10535</v>
      </c>
      <c r="J497" s="12"/>
      <c r="K497" s="8" t="s">
        <v>7722</v>
      </c>
      <c r="L497" s="8">
        <v>15.0</v>
      </c>
      <c r="M497" s="8" t="s">
        <v>10536</v>
      </c>
      <c r="N497" s="12"/>
      <c r="O497" s="8" t="s">
        <v>10537</v>
      </c>
      <c r="P497" s="28" t="s">
        <v>10538</v>
      </c>
    </row>
    <row r="498">
      <c r="A498" s="28"/>
      <c r="B498" s="12"/>
      <c r="C498" s="12"/>
      <c r="D498" s="12"/>
      <c r="E498" s="12"/>
      <c r="F498" s="12"/>
      <c r="G498" s="12" t="b">
        <v>0</v>
      </c>
      <c r="H498" s="8" t="s">
        <v>10539</v>
      </c>
      <c r="I498" s="8" t="s">
        <v>10540</v>
      </c>
      <c r="J498" s="12"/>
      <c r="K498" s="8" t="s">
        <v>7804</v>
      </c>
      <c r="L498" s="8">
        <v>45.0</v>
      </c>
      <c r="M498" s="8" t="s">
        <v>10541</v>
      </c>
      <c r="N498" s="12"/>
      <c r="O498" s="8" t="s">
        <v>10542</v>
      </c>
      <c r="P498" s="28" t="s">
        <v>10543</v>
      </c>
    </row>
    <row r="499">
      <c r="A499" s="28"/>
      <c r="B499" s="12"/>
      <c r="C499" s="12"/>
      <c r="D499" s="12"/>
      <c r="E499" s="12"/>
      <c r="F499" s="12"/>
      <c r="G499" s="12" t="b">
        <v>0</v>
      </c>
      <c r="H499" s="8" t="s">
        <v>10544</v>
      </c>
      <c r="I499" s="8" t="s">
        <v>10545</v>
      </c>
      <c r="J499" s="12"/>
      <c r="K499" s="8" t="s">
        <v>8648</v>
      </c>
      <c r="L499" s="8">
        <v>37.0</v>
      </c>
      <c r="M499" s="8" t="s">
        <v>10546</v>
      </c>
      <c r="N499" s="12"/>
      <c r="O499" s="8" t="s">
        <v>10547</v>
      </c>
      <c r="P499" s="28" t="s">
        <v>10548</v>
      </c>
    </row>
    <row r="500">
      <c r="A500" s="28"/>
      <c r="B500" s="12"/>
      <c r="C500" s="12"/>
      <c r="D500" s="12"/>
      <c r="E500" s="12"/>
      <c r="F500" s="12"/>
      <c r="G500" s="12" t="b">
        <v>0</v>
      </c>
      <c r="H500" s="8" t="s">
        <v>10549</v>
      </c>
      <c r="I500" s="8" t="s">
        <v>10550</v>
      </c>
      <c r="J500" s="12"/>
      <c r="K500" s="8" t="s">
        <v>10551</v>
      </c>
      <c r="L500" s="8">
        <v>24.0</v>
      </c>
      <c r="M500" s="8" t="s">
        <v>10552</v>
      </c>
      <c r="N500" s="12"/>
      <c r="O500" s="8" t="s">
        <v>10553</v>
      </c>
      <c r="P500" s="28" t="s">
        <v>10554</v>
      </c>
    </row>
    <row r="501">
      <c r="A501" s="28"/>
      <c r="B501" s="12"/>
      <c r="C501" s="12"/>
      <c r="D501" s="12"/>
      <c r="E501" s="12"/>
      <c r="F501" s="12"/>
      <c r="G501" s="12" t="b">
        <v>0</v>
      </c>
      <c r="H501" s="8" t="s">
        <v>9828</v>
      </c>
      <c r="I501" s="8" t="s">
        <v>10555</v>
      </c>
      <c r="J501" s="12"/>
      <c r="K501" s="8" t="s">
        <v>7804</v>
      </c>
      <c r="L501" s="8">
        <v>10.0</v>
      </c>
      <c r="M501" s="8" t="s">
        <v>1295</v>
      </c>
      <c r="N501" s="12"/>
      <c r="O501" s="12"/>
      <c r="P501" s="28" t="s">
        <v>10556</v>
      </c>
    </row>
    <row r="502">
      <c r="A502" s="28"/>
      <c r="B502" s="12"/>
      <c r="C502" s="12"/>
      <c r="D502" s="12"/>
      <c r="E502" s="12"/>
      <c r="F502" s="12"/>
      <c r="G502" s="12" t="b">
        <v>0</v>
      </c>
      <c r="H502" s="8" t="s">
        <v>10557</v>
      </c>
      <c r="I502" s="8" t="s">
        <v>10558</v>
      </c>
      <c r="J502" s="12"/>
      <c r="K502" s="8" t="s">
        <v>7722</v>
      </c>
      <c r="L502" s="8">
        <v>85.0</v>
      </c>
      <c r="M502" s="8" t="s">
        <v>10559</v>
      </c>
      <c r="N502" s="8" t="s">
        <v>10560</v>
      </c>
      <c r="O502" s="8" t="s">
        <v>8928</v>
      </c>
      <c r="P502" s="28" t="s">
        <v>10561</v>
      </c>
    </row>
    <row r="503">
      <c r="A503" s="28"/>
      <c r="B503" s="12"/>
      <c r="C503" s="12"/>
      <c r="D503" s="12"/>
      <c r="E503" s="12"/>
      <c r="F503" s="12"/>
      <c r="G503" s="12" t="b">
        <v>0</v>
      </c>
      <c r="H503" s="8" t="s">
        <v>10562</v>
      </c>
      <c r="I503" s="8" t="s">
        <v>10563</v>
      </c>
      <c r="J503" s="12"/>
      <c r="K503" s="8" t="s">
        <v>10564</v>
      </c>
      <c r="L503" s="8">
        <v>24.0</v>
      </c>
      <c r="M503" s="8" t="s">
        <v>1295</v>
      </c>
      <c r="N503" s="12"/>
      <c r="O503" s="12"/>
      <c r="P503" s="28" t="s">
        <v>10565</v>
      </c>
    </row>
    <row r="504">
      <c r="A504" s="28"/>
      <c r="B504" s="12"/>
      <c r="C504" s="12"/>
      <c r="D504" s="12"/>
      <c r="E504" s="12"/>
      <c r="F504" s="12"/>
      <c r="G504" s="12" t="b">
        <v>0</v>
      </c>
      <c r="H504" s="8" t="s">
        <v>10566</v>
      </c>
      <c r="I504" s="8" t="s">
        <v>10567</v>
      </c>
      <c r="J504" s="12"/>
      <c r="K504" s="8" t="s">
        <v>10568</v>
      </c>
      <c r="L504" s="8">
        <v>15.0</v>
      </c>
      <c r="M504" s="8" t="s">
        <v>10569</v>
      </c>
      <c r="N504" s="12"/>
      <c r="O504" s="8" t="s">
        <v>9939</v>
      </c>
      <c r="P504" s="28" t="s">
        <v>10570</v>
      </c>
    </row>
    <row r="505">
      <c r="A505" s="28"/>
      <c r="B505" s="12"/>
      <c r="C505" s="12"/>
      <c r="D505" s="12"/>
      <c r="E505" s="12"/>
      <c r="F505" s="12"/>
      <c r="G505" s="12" t="b">
        <v>0</v>
      </c>
      <c r="H505" s="8" t="s">
        <v>10571</v>
      </c>
      <c r="I505" s="8" t="s">
        <v>10572</v>
      </c>
      <c r="J505" s="12"/>
      <c r="K505" s="8" t="s">
        <v>7722</v>
      </c>
      <c r="L505" s="8">
        <v>16.0</v>
      </c>
      <c r="M505" s="8" t="s">
        <v>1295</v>
      </c>
      <c r="N505" s="12"/>
      <c r="O505" s="12"/>
      <c r="P505" s="28" t="s">
        <v>10573</v>
      </c>
    </row>
    <row r="506">
      <c r="A506" s="28"/>
      <c r="B506" s="12"/>
      <c r="C506" s="12"/>
      <c r="D506" s="12"/>
      <c r="E506" s="12"/>
      <c r="F506" s="12"/>
      <c r="G506" s="12" t="b">
        <v>0</v>
      </c>
      <c r="H506" s="8" t="s">
        <v>10574</v>
      </c>
      <c r="I506" s="8" t="s">
        <v>10575</v>
      </c>
      <c r="J506" s="12"/>
      <c r="K506" s="8" t="s">
        <v>8728</v>
      </c>
      <c r="L506" s="8">
        <v>80.0</v>
      </c>
      <c r="M506" s="8" t="s">
        <v>10576</v>
      </c>
      <c r="N506" s="12"/>
      <c r="O506" s="8" t="s">
        <v>10577</v>
      </c>
      <c r="P506" s="28" t="s">
        <v>10578</v>
      </c>
    </row>
    <row r="507">
      <c r="A507" s="28"/>
      <c r="B507" s="12"/>
      <c r="C507" s="12"/>
      <c r="D507" s="12"/>
      <c r="E507" s="12"/>
      <c r="F507" s="12"/>
      <c r="G507" s="12" t="b">
        <v>0</v>
      </c>
      <c r="H507" s="8" t="s">
        <v>10579</v>
      </c>
      <c r="I507" s="8" t="s">
        <v>10580</v>
      </c>
      <c r="J507" s="12"/>
      <c r="K507" s="8" t="s">
        <v>7804</v>
      </c>
      <c r="L507" s="8">
        <v>14.0</v>
      </c>
      <c r="M507" s="8" t="s">
        <v>10581</v>
      </c>
      <c r="N507" s="12"/>
      <c r="O507" s="8" t="s">
        <v>9616</v>
      </c>
      <c r="P507" s="28" t="s">
        <v>10582</v>
      </c>
    </row>
    <row r="508">
      <c r="A508" s="28"/>
      <c r="B508" s="12"/>
      <c r="C508" s="12"/>
      <c r="D508" s="12"/>
      <c r="E508" s="12"/>
      <c r="F508" s="12"/>
      <c r="G508" s="12" t="b">
        <v>0</v>
      </c>
      <c r="H508" s="28" t="s">
        <v>10583</v>
      </c>
      <c r="I508" s="8" t="s">
        <v>10584</v>
      </c>
      <c r="J508" s="12"/>
      <c r="K508" s="8" t="s">
        <v>7722</v>
      </c>
      <c r="L508" s="8">
        <v>12.0</v>
      </c>
      <c r="M508" s="8" t="s">
        <v>10585</v>
      </c>
      <c r="N508" s="12"/>
      <c r="O508" s="8" t="s">
        <v>8052</v>
      </c>
      <c r="P508" s="28" t="s">
        <v>10586</v>
      </c>
    </row>
    <row r="509">
      <c r="A509" s="28"/>
      <c r="B509" s="12"/>
      <c r="C509" s="12"/>
      <c r="D509" s="12"/>
      <c r="E509" s="12"/>
      <c r="F509" s="12"/>
      <c r="G509" s="12" t="b">
        <v>0</v>
      </c>
      <c r="H509" s="8" t="s">
        <v>10587</v>
      </c>
      <c r="I509" s="8" t="s">
        <v>10588</v>
      </c>
      <c r="J509" s="12"/>
      <c r="K509" s="8" t="s">
        <v>7722</v>
      </c>
      <c r="L509" s="8">
        <v>10.0</v>
      </c>
      <c r="M509" s="8" t="s">
        <v>10589</v>
      </c>
      <c r="N509" s="12"/>
      <c r="O509" s="8" t="s">
        <v>8742</v>
      </c>
      <c r="P509" s="28" t="s">
        <v>10590</v>
      </c>
    </row>
    <row r="510">
      <c r="A510" s="28"/>
      <c r="B510" s="12"/>
      <c r="C510" s="12"/>
      <c r="D510" s="12"/>
      <c r="E510" s="12"/>
      <c r="F510" s="12"/>
      <c r="G510" s="12" t="b">
        <v>0</v>
      </c>
      <c r="H510" s="8" t="s">
        <v>10591</v>
      </c>
      <c r="I510" s="8" t="s">
        <v>10592</v>
      </c>
      <c r="J510" s="12"/>
      <c r="K510" s="8" t="s">
        <v>8133</v>
      </c>
      <c r="L510" s="8">
        <v>11.0</v>
      </c>
      <c r="M510" s="8" t="s">
        <v>1295</v>
      </c>
      <c r="N510" s="12"/>
      <c r="O510" s="12"/>
      <c r="P510" s="28" t="s">
        <v>10593</v>
      </c>
    </row>
    <row r="511">
      <c r="A511" s="28"/>
      <c r="B511" s="12"/>
      <c r="C511" s="12"/>
      <c r="D511" s="12"/>
      <c r="E511" s="12"/>
      <c r="F511" s="12"/>
      <c r="G511" s="12" t="b">
        <v>0</v>
      </c>
      <c r="H511" s="8" t="s">
        <v>10594</v>
      </c>
      <c r="I511" s="8" t="s">
        <v>10595</v>
      </c>
      <c r="J511" s="12"/>
      <c r="K511" s="8" t="s">
        <v>7722</v>
      </c>
      <c r="L511" s="8">
        <v>68.0</v>
      </c>
      <c r="M511" s="8" t="s">
        <v>10596</v>
      </c>
      <c r="N511" s="8" t="s">
        <v>10597</v>
      </c>
      <c r="O511" s="8" t="s">
        <v>10598</v>
      </c>
      <c r="P511" s="28" t="s">
        <v>10599</v>
      </c>
    </row>
    <row r="512">
      <c r="A512" s="28"/>
      <c r="B512" s="12"/>
      <c r="C512" s="12"/>
      <c r="D512" s="12"/>
      <c r="E512" s="12"/>
      <c r="F512" s="12"/>
      <c r="G512" s="12" t="b">
        <v>0</v>
      </c>
      <c r="H512" s="8" t="s">
        <v>10600</v>
      </c>
      <c r="I512" s="8" t="s">
        <v>10601</v>
      </c>
      <c r="J512" s="12"/>
      <c r="K512" s="8" t="s">
        <v>7804</v>
      </c>
      <c r="L512" s="8">
        <v>15.0</v>
      </c>
      <c r="M512" s="8" t="s">
        <v>10602</v>
      </c>
      <c r="N512" s="12"/>
      <c r="O512" s="8" t="s">
        <v>10603</v>
      </c>
      <c r="P512" s="28" t="s">
        <v>10604</v>
      </c>
    </row>
    <row r="513">
      <c r="A513" s="28"/>
      <c r="B513" s="12"/>
      <c r="C513" s="12"/>
      <c r="D513" s="12"/>
      <c r="E513" s="12"/>
      <c r="F513" s="12"/>
      <c r="G513" s="12" t="b">
        <v>0</v>
      </c>
      <c r="H513" s="8" t="s">
        <v>10605</v>
      </c>
      <c r="I513" s="8" t="s">
        <v>10606</v>
      </c>
      <c r="J513" s="12"/>
      <c r="K513" s="8" t="s">
        <v>7722</v>
      </c>
      <c r="L513" s="8">
        <v>11.0</v>
      </c>
      <c r="M513" s="8" t="s">
        <v>1295</v>
      </c>
      <c r="N513" s="12"/>
      <c r="O513" s="12"/>
      <c r="P513" s="28" t="s">
        <v>10607</v>
      </c>
    </row>
    <row r="514">
      <c r="A514" s="28"/>
      <c r="B514" s="12"/>
      <c r="C514" s="12"/>
      <c r="D514" s="12"/>
      <c r="E514" s="12"/>
      <c r="F514" s="12"/>
      <c r="G514" s="12" t="b">
        <v>0</v>
      </c>
      <c r="H514" s="8" t="s">
        <v>6366</v>
      </c>
      <c r="I514" s="8" t="s">
        <v>10608</v>
      </c>
      <c r="J514" s="12"/>
      <c r="K514" s="8" t="s">
        <v>7722</v>
      </c>
      <c r="L514" s="8">
        <v>20.0</v>
      </c>
      <c r="M514" s="8" t="s">
        <v>10609</v>
      </c>
      <c r="N514" s="12"/>
      <c r="O514" s="8" t="s">
        <v>10610</v>
      </c>
      <c r="P514" s="28" t="s">
        <v>10611</v>
      </c>
    </row>
    <row r="515">
      <c r="A515" s="28"/>
      <c r="B515" s="12"/>
      <c r="C515" s="12"/>
      <c r="D515" s="12"/>
      <c r="E515" s="12"/>
      <c r="F515" s="12"/>
      <c r="G515" s="12" t="b">
        <v>0</v>
      </c>
      <c r="H515" s="8" t="s">
        <v>10612</v>
      </c>
      <c r="I515" s="8" t="s">
        <v>10613</v>
      </c>
      <c r="J515" s="12"/>
      <c r="K515" s="8" t="s">
        <v>10614</v>
      </c>
      <c r="L515" s="8">
        <v>17.0</v>
      </c>
      <c r="M515" s="8" t="s">
        <v>10615</v>
      </c>
      <c r="N515" s="12"/>
      <c r="O515" s="8" t="s">
        <v>10616</v>
      </c>
      <c r="P515" s="28" t="s">
        <v>10617</v>
      </c>
    </row>
    <row r="516">
      <c r="A516" s="28"/>
      <c r="B516" s="12"/>
      <c r="C516" s="12"/>
      <c r="D516" s="12"/>
      <c r="E516" s="12"/>
      <c r="F516" s="12"/>
      <c r="G516" s="12" t="b">
        <v>0</v>
      </c>
      <c r="H516" s="8" t="s">
        <v>10618</v>
      </c>
      <c r="I516" s="8" t="s">
        <v>10619</v>
      </c>
      <c r="J516" s="12"/>
      <c r="K516" s="8" t="s">
        <v>8192</v>
      </c>
      <c r="L516" s="8">
        <v>80.0</v>
      </c>
      <c r="M516" s="8" t="s">
        <v>1295</v>
      </c>
      <c r="N516" s="12"/>
      <c r="O516" s="12"/>
      <c r="P516" s="28" t="s">
        <v>10620</v>
      </c>
    </row>
    <row r="517">
      <c r="A517" s="28"/>
      <c r="B517" s="12"/>
      <c r="C517" s="12"/>
      <c r="D517" s="12"/>
      <c r="E517" s="12"/>
      <c r="F517" s="12"/>
      <c r="G517" s="12" t="b">
        <v>0</v>
      </c>
      <c r="H517" s="8" t="s">
        <v>10621</v>
      </c>
      <c r="I517" s="8" t="s">
        <v>10622</v>
      </c>
      <c r="J517" s="12"/>
      <c r="K517" s="8" t="s">
        <v>8489</v>
      </c>
      <c r="L517" s="8">
        <v>97.0</v>
      </c>
      <c r="M517" s="8" t="s">
        <v>10623</v>
      </c>
      <c r="N517" s="12"/>
      <c r="O517" s="8" t="s">
        <v>10624</v>
      </c>
      <c r="P517" s="28" t="s">
        <v>10625</v>
      </c>
    </row>
    <row r="518">
      <c r="A518" s="28"/>
      <c r="B518" s="12"/>
      <c r="C518" s="12"/>
      <c r="D518" s="12"/>
      <c r="E518" s="12"/>
      <c r="F518" s="12"/>
      <c r="G518" s="12" t="b">
        <v>0</v>
      </c>
      <c r="H518" s="8" t="s">
        <v>10626</v>
      </c>
      <c r="I518" s="8" t="s">
        <v>10627</v>
      </c>
      <c r="J518" s="12"/>
      <c r="K518" s="8" t="s">
        <v>8141</v>
      </c>
      <c r="L518" s="8">
        <v>30.0</v>
      </c>
      <c r="M518" s="8" t="s">
        <v>10628</v>
      </c>
      <c r="N518" s="8" t="s">
        <v>10629</v>
      </c>
      <c r="O518" s="8" t="s">
        <v>10630</v>
      </c>
      <c r="P518" s="28" t="s">
        <v>10631</v>
      </c>
    </row>
    <row r="519">
      <c r="A519" s="28"/>
      <c r="B519" s="12"/>
      <c r="C519" s="12"/>
      <c r="D519" s="12"/>
      <c r="E519" s="12"/>
      <c r="F519" s="12"/>
      <c r="G519" s="12" t="b">
        <v>0</v>
      </c>
      <c r="H519" s="8" t="s">
        <v>10632</v>
      </c>
      <c r="I519" s="8" t="s">
        <v>10633</v>
      </c>
      <c r="J519" s="12"/>
      <c r="K519" s="8" t="s">
        <v>8405</v>
      </c>
      <c r="L519" s="8">
        <v>14.0</v>
      </c>
      <c r="M519" s="8" t="s">
        <v>10634</v>
      </c>
      <c r="N519" s="12"/>
      <c r="O519" s="8" t="s">
        <v>10635</v>
      </c>
      <c r="P519" s="28" t="s">
        <v>10636</v>
      </c>
    </row>
    <row r="520">
      <c r="A520" s="28"/>
      <c r="B520" s="12"/>
      <c r="C520" s="12"/>
      <c r="D520" s="12"/>
      <c r="E520" s="12"/>
      <c r="F520" s="12"/>
      <c r="G520" s="12" t="b">
        <v>0</v>
      </c>
      <c r="H520" s="8" t="s">
        <v>10637</v>
      </c>
      <c r="I520" s="8" t="s">
        <v>10638</v>
      </c>
      <c r="J520" s="12"/>
      <c r="K520" s="8" t="s">
        <v>7722</v>
      </c>
      <c r="L520" s="8">
        <v>70.0</v>
      </c>
      <c r="M520" s="8" t="s">
        <v>10639</v>
      </c>
      <c r="N520" s="12"/>
      <c r="O520" s="8" t="s">
        <v>10640</v>
      </c>
      <c r="P520" s="28" t="s">
        <v>10641</v>
      </c>
    </row>
    <row r="521">
      <c r="A521" s="28"/>
      <c r="B521" s="12"/>
      <c r="C521" s="12"/>
      <c r="D521" s="12"/>
      <c r="E521" s="12"/>
      <c r="F521" s="12"/>
      <c r="G521" s="12" t="b">
        <v>0</v>
      </c>
      <c r="H521" s="8" t="s">
        <v>10642</v>
      </c>
      <c r="I521" s="8" t="s">
        <v>10643</v>
      </c>
      <c r="J521" s="12"/>
      <c r="K521" s="8" t="s">
        <v>10644</v>
      </c>
      <c r="L521" s="8">
        <v>50.0</v>
      </c>
      <c r="M521" s="8" t="s">
        <v>10645</v>
      </c>
      <c r="N521" s="12"/>
      <c r="O521" s="8" t="s">
        <v>8667</v>
      </c>
      <c r="P521" s="28" t="s">
        <v>10646</v>
      </c>
    </row>
    <row r="522">
      <c r="A522" s="28"/>
      <c r="B522" s="12"/>
      <c r="C522" s="12"/>
      <c r="D522" s="12"/>
      <c r="E522" s="12"/>
      <c r="F522" s="12"/>
      <c r="G522" s="12" t="b">
        <v>0</v>
      </c>
      <c r="H522" s="8" t="s">
        <v>10647</v>
      </c>
      <c r="I522" s="8" t="s">
        <v>10648</v>
      </c>
      <c r="J522" s="12"/>
      <c r="K522" s="8" t="s">
        <v>7804</v>
      </c>
      <c r="L522" s="8">
        <v>46.0</v>
      </c>
      <c r="M522" s="8" t="s">
        <v>1295</v>
      </c>
      <c r="N522" s="12"/>
      <c r="O522" s="12"/>
      <c r="P522" s="12"/>
    </row>
    <row r="523">
      <c r="A523" s="28"/>
      <c r="B523" s="12"/>
      <c r="C523" s="12"/>
      <c r="D523" s="12"/>
      <c r="E523" s="12"/>
      <c r="F523" s="12"/>
      <c r="G523" s="12" t="b">
        <v>0</v>
      </c>
      <c r="H523" s="8" t="s">
        <v>10649</v>
      </c>
      <c r="I523" s="8" t="s">
        <v>10650</v>
      </c>
      <c r="J523" s="12"/>
      <c r="K523" s="8" t="s">
        <v>7722</v>
      </c>
      <c r="L523" s="8">
        <v>30.0</v>
      </c>
      <c r="M523" s="8" t="s">
        <v>1295</v>
      </c>
      <c r="N523" s="12"/>
      <c r="O523" s="12"/>
      <c r="P523" s="28" t="s">
        <v>10651</v>
      </c>
    </row>
    <row r="524">
      <c r="A524" s="28"/>
      <c r="B524" s="12"/>
      <c r="C524" s="12"/>
      <c r="D524" s="12"/>
      <c r="E524" s="12"/>
      <c r="F524" s="12"/>
      <c r="G524" s="12" t="b">
        <v>0</v>
      </c>
      <c r="H524" s="8" t="s">
        <v>10652</v>
      </c>
      <c r="I524" s="8" t="s">
        <v>10653</v>
      </c>
      <c r="J524" s="12"/>
      <c r="K524" s="8" t="s">
        <v>7722</v>
      </c>
      <c r="L524" s="8">
        <v>40.0</v>
      </c>
      <c r="M524" s="8" t="s">
        <v>1295</v>
      </c>
      <c r="N524" s="12"/>
      <c r="O524" s="12"/>
      <c r="P524" s="28" t="s">
        <v>10654</v>
      </c>
    </row>
    <row r="525">
      <c r="A525" s="28"/>
      <c r="B525" s="12"/>
      <c r="C525" s="12"/>
      <c r="D525" s="12"/>
      <c r="E525" s="12"/>
      <c r="F525" s="12"/>
      <c r="G525" s="12" t="b">
        <v>0</v>
      </c>
      <c r="H525" s="8" t="s">
        <v>10655</v>
      </c>
      <c r="I525" s="8" t="s">
        <v>10656</v>
      </c>
      <c r="J525" s="12"/>
      <c r="K525" s="8" t="s">
        <v>7804</v>
      </c>
      <c r="L525" s="8">
        <v>13.0</v>
      </c>
      <c r="M525" s="8" t="s">
        <v>10657</v>
      </c>
      <c r="N525" s="12"/>
      <c r="O525" s="8" t="s">
        <v>10658</v>
      </c>
      <c r="P525" s="28" t="s">
        <v>10659</v>
      </c>
    </row>
    <row r="526">
      <c r="A526" s="28"/>
      <c r="B526" s="12"/>
      <c r="C526" s="12"/>
      <c r="D526" s="12"/>
      <c r="E526" s="12"/>
      <c r="F526" s="12"/>
      <c r="G526" s="12" t="b">
        <v>0</v>
      </c>
      <c r="H526" s="8" t="s">
        <v>10660</v>
      </c>
      <c r="I526" s="8" t="s">
        <v>10661</v>
      </c>
      <c r="J526" s="12"/>
      <c r="K526" s="8" t="s">
        <v>10662</v>
      </c>
      <c r="L526" s="8">
        <v>70.0</v>
      </c>
      <c r="M526" s="8" t="s">
        <v>10663</v>
      </c>
      <c r="N526" s="12"/>
      <c r="O526" s="8" t="s">
        <v>10664</v>
      </c>
      <c r="P526" s="28" t="s">
        <v>10665</v>
      </c>
    </row>
    <row r="527">
      <c r="A527" s="28"/>
      <c r="B527" s="12"/>
      <c r="C527" s="12"/>
      <c r="D527" s="12"/>
      <c r="E527" s="12"/>
      <c r="F527" s="12"/>
      <c r="G527" s="12" t="b">
        <v>0</v>
      </c>
      <c r="H527" s="8" t="s">
        <v>10666</v>
      </c>
      <c r="I527" s="8" t="s">
        <v>10667</v>
      </c>
      <c r="J527" s="12"/>
      <c r="K527" s="8" t="s">
        <v>7804</v>
      </c>
      <c r="L527" s="8">
        <v>16.0</v>
      </c>
      <c r="M527" s="8" t="s">
        <v>10668</v>
      </c>
      <c r="N527" s="12"/>
      <c r="O527" s="8" t="s">
        <v>10669</v>
      </c>
      <c r="P527" s="28" t="s">
        <v>10670</v>
      </c>
    </row>
    <row r="528">
      <c r="A528" s="28"/>
      <c r="B528" s="12"/>
      <c r="C528" s="12"/>
      <c r="D528" s="12"/>
      <c r="E528" s="12"/>
      <c r="F528" s="12"/>
      <c r="G528" s="12" t="b">
        <v>0</v>
      </c>
      <c r="H528" s="8" t="s">
        <v>10671</v>
      </c>
      <c r="I528" s="8" t="s">
        <v>10672</v>
      </c>
      <c r="J528" s="12"/>
      <c r="K528" s="8" t="s">
        <v>9844</v>
      </c>
      <c r="L528" s="8">
        <v>11.0</v>
      </c>
      <c r="M528" s="8" t="s">
        <v>1295</v>
      </c>
      <c r="N528" s="12"/>
      <c r="O528" s="12"/>
      <c r="P528" s="28" t="s">
        <v>10673</v>
      </c>
    </row>
    <row r="529">
      <c r="A529" s="28"/>
      <c r="B529" s="12"/>
      <c r="C529" s="12"/>
      <c r="D529" s="12"/>
      <c r="E529" s="12"/>
      <c r="F529" s="12"/>
      <c r="G529" s="12" t="b">
        <v>0</v>
      </c>
      <c r="H529" s="8" t="s">
        <v>10674</v>
      </c>
      <c r="I529" s="8" t="s">
        <v>10675</v>
      </c>
      <c r="J529" s="12"/>
      <c r="K529" s="8" t="s">
        <v>8141</v>
      </c>
      <c r="L529" s="8">
        <v>27.0</v>
      </c>
      <c r="M529" s="8" t="s">
        <v>10676</v>
      </c>
      <c r="N529" s="12"/>
      <c r="O529" s="8" t="s">
        <v>10677</v>
      </c>
      <c r="P529" s="28" t="s">
        <v>10678</v>
      </c>
    </row>
    <row r="530">
      <c r="A530" s="28"/>
      <c r="B530" s="12"/>
      <c r="C530" s="12"/>
      <c r="D530" s="12"/>
      <c r="E530" s="12"/>
      <c r="F530" s="12"/>
      <c r="G530" s="12" t="b">
        <v>0</v>
      </c>
      <c r="H530" s="8" t="s">
        <v>10679</v>
      </c>
      <c r="I530" s="8" t="s">
        <v>10680</v>
      </c>
      <c r="J530" s="12"/>
      <c r="K530" s="8" t="s">
        <v>7722</v>
      </c>
      <c r="L530" s="8">
        <v>52.0</v>
      </c>
      <c r="M530" s="8" t="s">
        <v>1295</v>
      </c>
      <c r="N530" s="12"/>
      <c r="O530" s="12"/>
      <c r="P530" s="28" t="s">
        <v>10681</v>
      </c>
    </row>
    <row r="531">
      <c r="A531" s="28"/>
      <c r="B531" s="12"/>
      <c r="C531" s="12"/>
      <c r="D531" s="12"/>
      <c r="E531" s="12"/>
      <c r="F531" s="12"/>
      <c r="G531" s="12" t="b">
        <v>0</v>
      </c>
      <c r="H531" s="8" t="s">
        <v>10682</v>
      </c>
      <c r="I531" s="8" t="s">
        <v>10683</v>
      </c>
      <c r="J531" s="12"/>
      <c r="K531" s="8" t="s">
        <v>7722</v>
      </c>
      <c r="L531" s="8">
        <v>70.0</v>
      </c>
      <c r="M531" s="8" t="s">
        <v>10684</v>
      </c>
      <c r="N531" s="12"/>
      <c r="O531" s="8" t="s">
        <v>10685</v>
      </c>
      <c r="P531" s="28" t="s">
        <v>10686</v>
      </c>
    </row>
    <row r="532">
      <c r="A532" s="28"/>
      <c r="B532" s="12"/>
      <c r="C532" s="12"/>
      <c r="D532" s="12"/>
      <c r="E532" s="12"/>
      <c r="F532" s="12"/>
      <c r="G532" s="12" t="b">
        <v>0</v>
      </c>
      <c r="H532" s="8" t="s">
        <v>10687</v>
      </c>
      <c r="I532" s="8" t="s">
        <v>10688</v>
      </c>
      <c r="J532" s="12"/>
      <c r="K532" s="8" t="s">
        <v>7804</v>
      </c>
      <c r="L532" s="8">
        <v>35.0</v>
      </c>
      <c r="M532" s="8" t="s">
        <v>10689</v>
      </c>
      <c r="N532" s="12"/>
      <c r="O532" s="8" t="s">
        <v>8226</v>
      </c>
      <c r="P532" s="28" t="s">
        <v>10690</v>
      </c>
    </row>
    <row r="533">
      <c r="A533" s="28"/>
      <c r="B533" s="12"/>
      <c r="C533" s="12"/>
      <c r="D533" s="12"/>
      <c r="E533" s="12"/>
      <c r="F533" s="12"/>
      <c r="G533" s="12" t="b">
        <v>0</v>
      </c>
      <c r="H533" s="8" t="s">
        <v>10691</v>
      </c>
      <c r="I533" s="8" t="s">
        <v>10692</v>
      </c>
      <c r="J533" s="12"/>
      <c r="K533" s="8" t="s">
        <v>7722</v>
      </c>
      <c r="L533" s="8">
        <v>51.0</v>
      </c>
      <c r="M533" s="8" t="s">
        <v>10693</v>
      </c>
      <c r="N533" s="12"/>
      <c r="O533" s="8" t="s">
        <v>10694</v>
      </c>
      <c r="P533" s="28" t="s">
        <v>10695</v>
      </c>
    </row>
    <row r="534">
      <c r="A534" s="28"/>
      <c r="B534" s="12"/>
      <c r="C534" s="12"/>
      <c r="D534" s="12"/>
      <c r="E534" s="12"/>
      <c r="F534" s="12"/>
      <c r="G534" s="12" t="b">
        <v>0</v>
      </c>
      <c r="H534" s="28" t="s">
        <v>10696</v>
      </c>
      <c r="I534" s="8" t="s">
        <v>10697</v>
      </c>
      <c r="J534" s="12"/>
      <c r="K534" s="8" t="s">
        <v>7722</v>
      </c>
      <c r="L534" s="8">
        <v>20.0</v>
      </c>
      <c r="M534" s="8" t="s">
        <v>10698</v>
      </c>
      <c r="N534" s="8" t="s">
        <v>10699</v>
      </c>
      <c r="O534" s="8" t="s">
        <v>8529</v>
      </c>
      <c r="P534" s="28" t="s">
        <v>10700</v>
      </c>
    </row>
    <row r="535">
      <c r="A535" s="28"/>
      <c r="B535" s="12"/>
      <c r="C535" s="12"/>
      <c r="D535" s="12"/>
      <c r="E535" s="12"/>
      <c r="F535" s="12"/>
      <c r="G535" s="12" t="b">
        <v>0</v>
      </c>
      <c r="H535" s="8" t="s">
        <v>10701</v>
      </c>
      <c r="I535" s="8" t="s">
        <v>10702</v>
      </c>
      <c r="J535" s="12"/>
      <c r="K535" s="8" t="s">
        <v>7854</v>
      </c>
      <c r="L535" s="8">
        <v>15.0</v>
      </c>
      <c r="M535" s="8" t="s">
        <v>10703</v>
      </c>
      <c r="N535" s="8" t="s">
        <v>10704</v>
      </c>
      <c r="O535" s="8" t="s">
        <v>8606</v>
      </c>
      <c r="P535" s="28" t="s">
        <v>10705</v>
      </c>
    </row>
    <row r="536">
      <c r="A536" s="28"/>
      <c r="B536" s="12"/>
      <c r="C536" s="12"/>
      <c r="D536" s="12"/>
      <c r="E536" s="12"/>
      <c r="F536" s="12"/>
      <c r="G536" s="12" t="b">
        <v>0</v>
      </c>
      <c r="H536" s="8" t="s">
        <v>10706</v>
      </c>
      <c r="I536" s="8" t="s">
        <v>10707</v>
      </c>
      <c r="J536" s="12"/>
      <c r="K536" s="8" t="s">
        <v>7722</v>
      </c>
      <c r="L536" s="8">
        <v>50.0</v>
      </c>
      <c r="M536" s="8" t="s">
        <v>10708</v>
      </c>
      <c r="N536" s="12"/>
      <c r="O536" s="8" t="s">
        <v>10709</v>
      </c>
      <c r="P536" s="28" t="s">
        <v>10710</v>
      </c>
    </row>
    <row r="537">
      <c r="A537" s="28"/>
      <c r="B537" s="12"/>
      <c r="C537" s="12"/>
      <c r="D537" s="12"/>
      <c r="E537" s="12"/>
      <c r="F537" s="12"/>
      <c r="G537" s="12" t="b">
        <v>0</v>
      </c>
      <c r="H537" s="8" t="s">
        <v>10711</v>
      </c>
      <c r="I537" s="8" t="s">
        <v>10712</v>
      </c>
      <c r="J537" s="12"/>
      <c r="K537" s="8" t="s">
        <v>10713</v>
      </c>
      <c r="L537" s="8">
        <v>13.0</v>
      </c>
      <c r="M537" s="8" t="s">
        <v>10714</v>
      </c>
      <c r="N537" s="12"/>
      <c r="O537" s="8" t="s">
        <v>10715</v>
      </c>
      <c r="P537" s="28" t="s">
        <v>10716</v>
      </c>
    </row>
    <row r="538">
      <c r="A538" s="28"/>
      <c r="B538" s="12"/>
      <c r="C538" s="12"/>
      <c r="D538" s="12"/>
      <c r="E538" s="12"/>
      <c r="F538" s="12"/>
      <c r="G538" s="12" t="b">
        <v>0</v>
      </c>
      <c r="H538" s="8" t="s">
        <v>10717</v>
      </c>
      <c r="I538" s="8" t="s">
        <v>10718</v>
      </c>
      <c r="J538" s="12"/>
      <c r="K538" s="8" t="s">
        <v>8317</v>
      </c>
      <c r="L538" s="8">
        <v>54.0</v>
      </c>
      <c r="M538" s="8" t="s">
        <v>10719</v>
      </c>
      <c r="N538" s="12"/>
      <c r="O538" s="8" t="s">
        <v>10720</v>
      </c>
      <c r="P538" s="28" t="s">
        <v>10721</v>
      </c>
    </row>
    <row r="539">
      <c r="A539" s="28"/>
      <c r="B539" s="12"/>
      <c r="C539" s="12"/>
      <c r="D539" s="12"/>
      <c r="E539" s="12"/>
      <c r="F539" s="12"/>
      <c r="G539" s="12" t="b">
        <v>0</v>
      </c>
      <c r="H539" s="28" t="s">
        <v>10722</v>
      </c>
      <c r="I539" s="8" t="s">
        <v>10723</v>
      </c>
      <c r="J539" s="12"/>
      <c r="K539" s="8" t="s">
        <v>7854</v>
      </c>
      <c r="L539" s="8">
        <v>12.0</v>
      </c>
      <c r="M539" s="8" t="s">
        <v>10724</v>
      </c>
      <c r="N539" s="12"/>
      <c r="O539" s="8" t="s">
        <v>10725</v>
      </c>
      <c r="P539" s="28" t="s">
        <v>10726</v>
      </c>
    </row>
    <row r="540">
      <c r="A540" s="28"/>
      <c r="B540" s="12"/>
      <c r="C540" s="12"/>
      <c r="D540" s="12"/>
      <c r="E540" s="12"/>
      <c r="F540" s="12"/>
      <c r="G540" s="12" t="b">
        <v>0</v>
      </c>
      <c r="H540" s="8" t="s">
        <v>3715</v>
      </c>
      <c r="I540" s="8" t="s">
        <v>10727</v>
      </c>
      <c r="J540" s="12"/>
      <c r="K540" s="8" t="s">
        <v>8271</v>
      </c>
      <c r="L540" s="8">
        <v>26.0</v>
      </c>
      <c r="M540" s="8" t="s">
        <v>1295</v>
      </c>
      <c r="N540" s="8" t="s">
        <v>10728</v>
      </c>
      <c r="O540" s="12"/>
      <c r="P540" s="28" t="s">
        <v>10729</v>
      </c>
    </row>
    <row r="541">
      <c r="A541" s="28"/>
      <c r="B541" s="12"/>
      <c r="C541" s="12"/>
      <c r="D541" s="12"/>
      <c r="E541" s="12"/>
      <c r="F541" s="12"/>
      <c r="G541" s="12" t="b">
        <v>0</v>
      </c>
      <c r="H541" s="8" t="s">
        <v>10730</v>
      </c>
      <c r="I541" s="8" t="s">
        <v>10731</v>
      </c>
      <c r="J541" s="12"/>
      <c r="K541" s="8" t="s">
        <v>7854</v>
      </c>
      <c r="L541" s="8">
        <v>14.0</v>
      </c>
      <c r="M541" s="8" t="s">
        <v>10732</v>
      </c>
      <c r="N541" s="8" t="s">
        <v>10733</v>
      </c>
      <c r="O541" s="8" t="s">
        <v>10734</v>
      </c>
      <c r="P541" s="28" t="s">
        <v>10735</v>
      </c>
    </row>
    <row r="542">
      <c r="A542" s="28"/>
      <c r="B542" s="12"/>
      <c r="C542" s="12"/>
      <c r="D542" s="12"/>
      <c r="E542" s="12"/>
      <c r="F542" s="12"/>
      <c r="G542" s="12" t="b">
        <v>0</v>
      </c>
      <c r="H542" s="8" t="s">
        <v>10736</v>
      </c>
      <c r="I542" s="8" t="s">
        <v>10737</v>
      </c>
      <c r="J542" s="12"/>
      <c r="K542" s="8" t="s">
        <v>9550</v>
      </c>
      <c r="L542" s="8">
        <v>11.0</v>
      </c>
      <c r="M542" s="8" t="s">
        <v>10738</v>
      </c>
      <c r="N542" s="12"/>
      <c r="O542" s="8" t="s">
        <v>10739</v>
      </c>
      <c r="P542" s="28" t="s">
        <v>10740</v>
      </c>
    </row>
    <row r="543">
      <c r="A543" s="28"/>
      <c r="B543" s="12"/>
      <c r="C543" s="12"/>
      <c r="D543" s="12"/>
      <c r="E543" s="12"/>
      <c r="F543" s="12"/>
      <c r="G543" s="12" t="b">
        <v>0</v>
      </c>
      <c r="H543" s="8" t="s">
        <v>3568</v>
      </c>
      <c r="I543" s="8" t="s">
        <v>10741</v>
      </c>
      <c r="J543" s="12"/>
      <c r="K543" s="8" t="s">
        <v>7722</v>
      </c>
      <c r="L543" s="8">
        <v>27.0</v>
      </c>
      <c r="M543" s="8" t="s">
        <v>10742</v>
      </c>
      <c r="N543" s="12"/>
      <c r="O543" s="8" t="s">
        <v>8226</v>
      </c>
      <c r="P543" s="28" t="s">
        <v>10743</v>
      </c>
    </row>
    <row r="544">
      <c r="A544" s="28"/>
      <c r="B544" s="12"/>
      <c r="C544" s="12"/>
      <c r="D544" s="12"/>
      <c r="E544" s="12"/>
      <c r="F544" s="12"/>
      <c r="G544" s="12" t="b">
        <v>0</v>
      </c>
      <c r="H544" s="8" t="s">
        <v>10744</v>
      </c>
      <c r="I544" s="8" t="s">
        <v>10745</v>
      </c>
      <c r="J544" s="12"/>
      <c r="K544" s="8" t="s">
        <v>7722</v>
      </c>
      <c r="L544" s="8">
        <v>20.0</v>
      </c>
      <c r="M544" s="8" t="s">
        <v>10746</v>
      </c>
      <c r="N544" s="12"/>
      <c r="O544" s="8" t="s">
        <v>10747</v>
      </c>
      <c r="P544" s="28" t="s">
        <v>10748</v>
      </c>
    </row>
    <row r="545">
      <c r="A545" s="28"/>
      <c r="B545" s="12"/>
      <c r="C545" s="12"/>
      <c r="D545" s="12"/>
      <c r="E545" s="12"/>
      <c r="F545" s="12"/>
      <c r="G545" s="12" t="b">
        <v>0</v>
      </c>
      <c r="H545" s="8" t="s">
        <v>10749</v>
      </c>
      <c r="I545" s="8" t="s">
        <v>10750</v>
      </c>
      <c r="J545" s="12"/>
      <c r="K545" s="8" t="s">
        <v>8553</v>
      </c>
      <c r="L545" s="8">
        <v>15.0</v>
      </c>
      <c r="M545" s="8" t="s">
        <v>10751</v>
      </c>
      <c r="N545" s="12"/>
      <c r="O545" s="8" t="s">
        <v>9206</v>
      </c>
      <c r="P545" s="28" t="s">
        <v>10752</v>
      </c>
    </row>
    <row r="546">
      <c r="A546" s="28"/>
      <c r="B546" s="12"/>
      <c r="C546" s="12"/>
      <c r="D546" s="12"/>
      <c r="E546" s="12"/>
      <c r="F546" s="12"/>
      <c r="G546" s="12" t="b">
        <v>0</v>
      </c>
      <c r="H546" s="8" t="s">
        <v>10753</v>
      </c>
      <c r="I546" s="8" t="s">
        <v>10754</v>
      </c>
      <c r="J546" s="12"/>
      <c r="K546" s="8" t="s">
        <v>9350</v>
      </c>
      <c r="L546" s="8">
        <v>40.0</v>
      </c>
      <c r="M546" s="8" t="s">
        <v>10755</v>
      </c>
      <c r="N546" s="12"/>
      <c r="O546" s="8" t="s">
        <v>10756</v>
      </c>
      <c r="P546" s="28" t="s">
        <v>10757</v>
      </c>
    </row>
    <row r="547">
      <c r="A547" s="28"/>
      <c r="B547" s="12"/>
      <c r="C547" s="12"/>
      <c r="D547" s="12"/>
      <c r="E547" s="12"/>
      <c r="F547" s="12"/>
      <c r="G547" s="12" t="b">
        <v>0</v>
      </c>
      <c r="H547" s="8" t="s">
        <v>10758</v>
      </c>
      <c r="I547" s="8" t="s">
        <v>10759</v>
      </c>
      <c r="J547" s="12"/>
      <c r="K547" s="8" t="s">
        <v>7722</v>
      </c>
      <c r="L547" s="8">
        <v>11.0</v>
      </c>
      <c r="M547" s="8" t="s">
        <v>10760</v>
      </c>
      <c r="N547" s="12"/>
      <c r="O547" s="8" t="s">
        <v>8472</v>
      </c>
      <c r="P547" s="12"/>
    </row>
    <row r="548">
      <c r="A548" s="28"/>
      <c r="B548" s="12"/>
      <c r="C548" s="12"/>
      <c r="D548" s="12"/>
      <c r="E548" s="12"/>
      <c r="F548" s="12"/>
      <c r="G548" s="12" t="b">
        <v>0</v>
      </c>
      <c r="H548" s="8" t="s">
        <v>2145</v>
      </c>
      <c r="I548" s="8" t="s">
        <v>10761</v>
      </c>
      <c r="J548" s="12"/>
      <c r="K548" s="8" t="s">
        <v>7722</v>
      </c>
      <c r="L548" s="8">
        <v>70.0</v>
      </c>
      <c r="M548" s="8" t="s">
        <v>10762</v>
      </c>
      <c r="N548" s="8" t="s">
        <v>10763</v>
      </c>
      <c r="O548" s="8" t="s">
        <v>10513</v>
      </c>
      <c r="P548" s="28" t="s">
        <v>10764</v>
      </c>
    </row>
    <row r="549">
      <c r="A549" s="28"/>
      <c r="B549" s="12"/>
      <c r="C549" s="12"/>
      <c r="D549" s="12"/>
      <c r="E549" s="12"/>
      <c r="F549" s="12"/>
      <c r="G549" s="12" t="b">
        <v>0</v>
      </c>
      <c r="H549" s="8" t="s">
        <v>10765</v>
      </c>
      <c r="I549" s="8" t="s">
        <v>10766</v>
      </c>
      <c r="J549" s="12"/>
      <c r="K549" s="8" t="s">
        <v>7722</v>
      </c>
      <c r="L549" s="8">
        <v>22.0</v>
      </c>
      <c r="M549" s="8" t="s">
        <v>10767</v>
      </c>
      <c r="N549" s="12"/>
      <c r="O549" s="8" t="s">
        <v>8596</v>
      </c>
      <c r="P549" s="28" t="s">
        <v>10768</v>
      </c>
    </row>
    <row r="550">
      <c r="A550" s="28"/>
      <c r="B550" s="12"/>
      <c r="C550" s="12"/>
      <c r="D550" s="12"/>
      <c r="E550" s="12"/>
      <c r="F550" s="12"/>
      <c r="G550" s="12" t="b">
        <v>0</v>
      </c>
      <c r="H550" s="8" t="s">
        <v>10769</v>
      </c>
      <c r="I550" s="8" t="s">
        <v>10770</v>
      </c>
      <c r="J550" s="12"/>
      <c r="K550" s="8" t="s">
        <v>7722</v>
      </c>
      <c r="L550" s="8">
        <v>11.0</v>
      </c>
      <c r="M550" s="8" t="s">
        <v>10771</v>
      </c>
      <c r="N550" s="12"/>
      <c r="O550" s="8" t="s">
        <v>10772</v>
      </c>
      <c r="P550" s="12"/>
    </row>
    <row r="551">
      <c r="A551" s="28"/>
      <c r="B551" s="12"/>
      <c r="C551" s="12"/>
      <c r="D551" s="12"/>
      <c r="E551" s="12"/>
      <c r="F551" s="12"/>
      <c r="G551" s="12" t="b">
        <v>0</v>
      </c>
      <c r="H551" s="8" t="s">
        <v>10773</v>
      </c>
      <c r="I551" s="8" t="s">
        <v>10774</v>
      </c>
      <c r="J551" s="12"/>
      <c r="K551" s="8" t="s">
        <v>7804</v>
      </c>
      <c r="L551" s="8">
        <v>50.0</v>
      </c>
      <c r="M551" s="8" t="s">
        <v>10775</v>
      </c>
      <c r="N551" s="12"/>
      <c r="O551" s="8" t="s">
        <v>43</v>
      </c>
      <c r="P551" s="28" t="s">
        <v>10776</v>
      </c>
    </row>
    <row r="552">
      <c r="A552" s="28"/>
      <c r="B552" s="12"/>
      <c r="C552" s="12"/>
      <c r="D552" s="12"/>
      <c r="E552" s="12"/>
      <c r="F552" s="12"/>
      <c r="G552" s="12" t="b">
        <v>0</v>
      </c>
      <c r="H552" s="8" t="s">
        <v>10777</v>
      </c>
      <c r="I552" s="8" t="s">
        <v>10778</v>
      </c>
      <c r="J552" s="12"/>
      <c r="K552" s="8" t="s">
        <v>8109</v>
      </c>
      <c r="L552" s="8">
        <v>50.0</v>
      </c>
      <c r="M552" s="8" t="s">
        <v>10779</v>
      </c>
      <c r="N552" s="12"/>
      <c r="O552" s="8" t="s">
        <v>8710</v>
      </c>
      <c r="P552" s="28" t="s">
        <v>10780</v>
      </c>
    </row>
    <row r="553">
      <c r="A553" s="28"/>
      <c r="B553" s="12"/>
      <c r="C553" s="12"/>
      <c r="D553" s="12"/>
      <c r="E553" s="12"/>
      <c r="F553" s="12"/>
      <c r="G553" s="12" t="b">
        <v>0</v>
      </c>
      <c r="H553" s="8" t="s">
        <v>10781</v>
      </c>
      <c r="I553" s="8" t="s">
        <v>10782</v>
      </c>
      <c r="J553" s="12"/>
      <c r="K553" s="8" t="s">
        <v>7722</v>
      </c>
      <c r="L553" s="8">
        <v>50.0</v>
      </c>
      <c r="M553" s="8" t="s">
        <v>10783</v>
      </c>
      <c r="N553" s="8" t="s">
        <v>10784</v>
      </c>
      <c r="O553" s="8" t="s">
        <v>10785</v>
      </c>
      <c r="P553" s="28" t="s">
        <v>10786</v>
      </c>
    </row>
    <row r="554">
      <c r="A554" s="28"/>
      <c r="B554" s="12"/>
      <c r="C554" s="12"/>
      <c r="D554" s="12"/>
      <c r="E554" s="12"/>
      <c r="F554" s="12"/>
      <c r="G554" s="12" t="b">
        <v>0</v>
      </c>
      <c r="H554" s="8" t="s">
        <v>10787</v>
      </c>
      <c r="I554" s="8" t="s">
        <v>10788</v>
      </c>
      <c r="J554" s="12"/>
      <c r="K554" s="8" t="s">
        <v>7804</v>
      </c>
      <c r="L554" s="8">
        <v>68.0</v>
      </c>
      <c r="M554" s="8" t="s">
        <v>10789</v>
      </c>
      <c r="N554" s="12"/>
      <c r="O554" s="8" t="s">
        <v>8273</v>
      </c>
      <c r="P554" s="28" t="s">
        <v>10790</v>
      </c>
    </row>
    <row r="555">
      <c r="A555" s="28"/>
      <c r="B555" s="12"/>
      <c r="C555" s="12"/>
      <c r="D555" s="12"/>
      <c r="E555" s="12"/>
      <c r="F555" s="12"/>
      <c r="G555" s="12" t="b">
        <v>0</v>
      </c>
      <c r="H555" s="8" t="s">
        <v>10791</v>
      </c>
      <c r="I555" s="8" t="s">
        <v>10792</v>
      </c>
      <c r="J555" s="12"/>
      <c r="K555" s="8" t="s">
        <v>7804</v>
      </c>
      <c r="L555" s="8">
        <v>15.0</v>
      </c>
      <c r="M555" s="8" t="s">
        <v>10793</v>
      </c>
      <c r="N555" s="8" t="s">
        <v>10794</v>
      </c>
      <c r="O555" s="8" t="s">
        <v>10795</v>
      </c>
      <c r="P555" s="28" t="s">
        <v>10796</v>
      </c>
    </row>
    <row r="556">
      <c r="A556" s="28"/>
      <c r="B556" s="12"/>
      <c r="C556" s="12"/>
      <c r="D556" s="12"/>
      <c r="E556" s="12"/>
      <c r="F556" s="12"/>
      <c r="G556" s="12" t="b">
        <v>0</v>
      </c>
      <c r="H556" s="8" t="s">
        <v>10797</v>
      </c>
      <c r="I556" s="8" t="s">
        <v>10798</v>
      </c>
      <c r="J556" s="12"/>
      <c r="K556" s="8" t="s">
        <v>7722</v>
      </c>
      <c r="L556" s="8">
        <v>60.0</v>
      </c>
      <c r="M556" s="8" t="s">
        <v>10799</v>
      </c>
      <c r="N556" s="8" t="s">
        <v>10800</v>
      </c>
      <c r="O556" s="8" t="s">
        <v>10801</v>
      </c>
      <c r="P556" s="28" t="s">
        <v>10802</v>
      </c>
    </row>
    <row r="557">
      <c r="A557" s="28"/>
      <c r="B557" s="12"/>
      <c r="C557" s="12"/>
      <c r="D557" s="12"/>
      <c r="E557" s="12"/>
      <c r="F557" s="12"/>
      <c r="G557" s="12" t="b">
        <v>0</v>
      </c>
      <c r="H557" s="8" t="s">
        <v>10803</v>
      </c>
      <c r="I557" s="8" t="s">
        <v>10804</v>
      </c>
      <c r="J557" s="12"/>
      <c r="K557" s="8" t="s">
        <v>8109</v>
      </c>
      <c r="L557" s="8">
        <v>14.0</v>
      </c>
      <c r="M557" s="8" t="s">
        <v>10805</v>
      </c>
      <c r="N557" s="8" t="s">
        <v>10806</v>
      </c>
      <c r="O557" s="8" t="s">
        <v>10807</v>
      </c>
      <c r="P557" s="28" t="s">
        <v>10808</v>
      </c>
    </row>
    <row r="558">
      <c r="A558" s="28"/>
      <c r="B558" s="12"/>
      <c r="C558" s="12"/>
      <c r="D558" s="12"/>
      <c r="E558" s="12"/>
      <c r="F558" s="12"/>
      <c r="G558" s="12" t="b">
        <v>0</v>
      </c>
      <c r="H558" s="8" t="s">
        <v>10809</v>
      </c>
      <c r="I558" s="8" t="s">
        <v>10810</v>
      </c>
      <c r="J558" s="12"/>
      <c r="K558" s="8" t="s">
        <v>8358</v>
      </c>
      <c r="L558" s="8">
        <v>100.0</v>
      </c>
      <c r="M558" s="8" t="s">
        <v>1295</v>
      </c>
      <c r="N558" s="12"/>
      <c r="O558" s="12"/>
      <c r="P558" s="28" t="s">
        <v>10811</v>
      </c>
    </row>
    <row r="559">
      <c r="A559" s="28"/>
      <c r="B559" s="12"/>
      <c r="C559" s="12"/>
      <c r="D559" s="12"/>
      <c r="E559" s="12"/>
      <c r="F559" s="12"/>
      <c r="G559" s="12" t="b">
        <v>0</v>
      </c>
      <c r="H559" s="8" t="s">
        <v>6525</v>
      </c>
      <c r="I559" s="8" t="s">
        <v>10812</v>
      </c>
      <c r="J559" s="12"/>
      <c r="K559" s="8" t="s">
        <v>7804</v>
      </c>
      <c r="L559" s="8">
        <v>18.0</v>
      </c>
      <c r="M559" s="8" t="s">
        <v>10813</v>
      </c>
      <c r="N559" s="8" t="s">
        <v>10814</v>
      </c>
      <c r="O559" s="8" t="s">
        <v>9027</v>
      </c>
      <c r="P559" s="28" t="s">
        <v>10815</v>
      </c>
    </row>
    <row r="560">
      <c r="A560" s="28"/>
      <c r="B560" s="12"/>
      <c r="C560" s="12"/>
      <c r="D560" s="12"/>
      <c r="E560" s="12"/>
      <c r="F560" s="12"/>
      <c r="G560" s="12" t="b">
        <v>0</v>
      </c>
      <c r="H560" s="8" t="s">
        <v>6530</v>
      </c>
      <c r="I560" s="8" t="s">
        <v>10816</v>
      </c>
      <c r="J560" s="12"/>
      <c r="K560" s="8" t="s">
        <v>7804</v>
      </c>
      <c r="L560" s="8">
        <v>24.0</v>
      </c>
      <c r="M560" s="8" t="s">
        <v>1295</v>
      </c>
      <c r="N560" s="12"/>
      <c r="O560" s="12"/>
      <c r="P560" s="28" t="s">
        <v>10817</v>
      </c>
    </row>
    <row r="561">
      <c r="A561" s="28"/>
      <c r="B561" s="12"/>
      <c r="C561" s="12"/>
      <c r="D561" s="12"/>
      <c r="E561" s="12"/>
      <c r="F561" s="12"/>
      <c r="G561" s="12" t="b">
        <v>0</v>
      </c>
      <c r="H561" s="8" t="s">
        <v>10818</v>
      </c>
      <c r="I561" s="8" t="s">
        <v>10819</v>
      </c>
      <c r="J561" s="12"/>
      <c r="K561" s="8" t="s">
        <v>7804</v>
      </c>
      <c r="L561" s="8">
        <v>15.0</v>
      </c>
      <c r="M561" s="8" t="s">
        <v>1295</v>
      </c>
      <c r="N561" s="12"/>
      <c r="O561" s="12"/>
      <c r="P561" s="28" t="s">
        <v>10820</v>
      </c>
    </row>
    <row r="562">
      <c r="A562" s="28"/>
      <c r="B562" s="12"/>
      <c r="C562" s="12"/>
      <c r="D562" s="12"/>
      <c r="E562" s="12"/>
      <c r="F562" s="12"/>
      <c r="G562" s="12" t="b">
        <v>0</v>
      </c>
      <c r="H562" s="8" t="s">
        <v>10821</v>
      </c>
      <c r="I562" s="8" t="s">
        <v>10822</v>
      </c>
      <c r="J562" s="12"/>
      <c r="K562" s="12"/>
      <c r="L562" s="8">
        <v>22.0</v>
      </c>
      <c r="M562" s="8" t="s">
        <v>10823</v>
      </c>
      <c r="N562" s="8" t="s">
        <v>10824</v>
      </c>
      <c r="O562" s="8" t="s">
        <v>10825</v>
      </c>
      <c r="P562" s="28" t="s">
        <v>10826</v>
      </c>
    </row>
    <row r="563">
      <c r="A563" s="28"/>
      <c r="B563" s="12"/>
      <c r="C563" s="12"/>
      <c r="D563" s="12"/>
      <c r="E563" s="12"/>
      <c r="F563" s="12"/>
      <c r="G563" s="12" t="b">
        <v>0</v>
      </c>
      <c r="H563" s="8" t="s">
        <v>10827</v>
      </c>
      <c r="I563" s="8" t="s">
        <v>10828</v>
      </c>
      <c r="J563" s="12"/>
      <c r="K563" s="8" t="s">
        <v>7722</v>
      </c>
      <c r="L563" s="8">
        <v>60.0</v>
      </c>
      <c r="M563" s="8" t="s">
        <v>10829</v>
      </c>
      <c r="N563" s="12"/>
      <c r="O563" s="8" t="s">
        <v>10053</v>
      </c>
      <c r="P563" s="28" t="s">
        <v>10830</v>
      </c>
    </row>
    <row r="564">
      <c r="A564" s="28"/>
      <c r="B564" s="12"/>
      <c r="C564" s="12"/>
      <c r="D564" s="12"/>
      <c r="E564" s="12"/>
      <c r="F564" s="12"/>
      <c r="G564" s="12" t="b">
        <v>0</v>
      </c>
      <c r="H564" s="8" t="s">
        <v>10831</v>
      </c>
      <c r="I564" s="8" t="s">
        <v>10832</v>
      </c>
      <c r="J564" s="12"/>
      <c r="K564" s="8" t="s">
        <v>8150</v>
      </c>
      <c r="L564" s="8">
        <v>23.0</v>
      </c>
      <c r="M564" s="8" t="s">
        <v>10833</v>
      </c>
      <c r="N564" s="12"/>
      <c r="O564" s="8" t="s">
        <v>9027</v>
      </c>
      <c r="P564" s="28" t="s">
        <v>10834</v>
      </c>
    </row>
    <row r="565">
      <c r="A565" s="28"/>
      <c r="B565" s="12"/>
      <c r="C565" s="12"/>
      <c r="D565" s="12"/>
      <c r="E565" s="12"/>
      <c r="F565" s="12"/>
      <c r="G565" s="12" t="b">
        <v>0</v>
      </c>
      <c r="H565" s="8" t="s">
        <v>10835</v>
      </c>
      <c r="I565" s="8" t="s">
        <v>10836</v>
      </c>
      <c r="J565" s="12"/>
      <c r="K565" s="8" t="s">
        <v>8109</v>
      </c>
      <c r="L565" s="8">
        <v>16.0</v>
      </c>
      <c r="M565" s="8" t="s">
        <v>10837</v>
      </c>
      <c r="N565" s="12"/>
      <c r="O565" s="8" t="s">
        <v>10838</v>
      </c>
      <c r="P565" s="28" t="s">
        <v>10839</v>
      </c>
    </row>
    <row r="566">
      <c r="A566" s="28"/>
      <c r="B566" s="12"/>
      <c r="C566" s="12"/>
      <c r="D566" s="12"/>
      <c r="E566" s="12"/>
      <c r="F566" s="12"/>
      <c r="G566" s="12" t="b">
        <v>0</v>
      </c>
      <c r="H566" s="8" t="s">
        <v>10840</v>
      </c>
      <c r="I566" s="8" t="s">
        <v>10841</v>
      </c>
      <c r="J566" s="12"/>
      <c r="K566" s="8" t="s">
        <v>9561</v>
      </c>
      <c r="L566" s="8">
        <v>15.0</v>
      </c>
      <c r="M566" s="8" t="s">
        <v>10842</v>
      </c>
      <c r="N566" s="8" t="s">
        <v>10843</v>
      </c>
      <c r="O566" s="8" t="s">
        <v>10097</v>
      </c>
      <c r="P566" s="28" t="s">
        <v>10844</v>
      </c>
    </row>
    <row r="567">
      <c r="A567" s="28"/>
      <c r="B567" s="12"/>
      <c r="C567" s="12"/>
      <c r="D567" s="12"/>
      <c r="E567" s="12"/>
      <c r="F567" s="12"/>
      <c r="G567" s="12" t="b">
        <v>0</v>
      </c>
      <c r="H567" s="8" t="s">
        <v>10845</v>
      </c>
      <c r="I567" s="8" t="s">
        <v>10846</v>
      </c>
      <c r="J567" s="12"/>
      <c r="K567" s="8" t="s">
        <v>7854</v>
      </c>
      <c r="L567" s="8">
        <v>15.0</v>
      </c>
      <c r="M567" s="8" t="s">
        <v>10847</v>
      </c>
      <c r="N567" s="12"/>
      <c r="O567" s="8" t="s">
        <v>7792</v>
      </c>
      <c r="P567" s="12"/>
    </row>
    <row r="568">
      <c r="A568" s="28"/>
      <c r="B568" s="12"/>
      <c r="C568" s="12"/>
      <c r="D568" s="12"/>
      <c r="E568" s="12"/>
      <c r="F568" s="12"/>
      <c r="G568" s="12" t="b">
        <v>0</v>
      </c>
      <c r="H568" s="8" t="s">
        <v>10848</v>
      </c>
      <c r="I568" s="8" t="s">
        <v>10849</v>
      </c>
      <c r="J568" s="12"/>
      <c r="K568" s="12"/>
      <c r="L568" s="8">
        <v>51.0</v>
      </c>
      <c r="M568" s="8" t="s">
        <v>10850</v>
      </c>
      <c r="N568" s="8" t="s">
        <v>10851</v>
      </c>
      <c r="O568" s="8" t="s">
        <v>10852</v>
      </c>
      <c r="P568" s="28" t="s">
        <v>10853</v>
      </c>
    </row>
    <row r="569">
      <c r="A569" s="28"/>
      <c r="B569" s="12"/>
      <c r="C569" s="12"/>
      <c r="D569" s="12"/>
      <c r="E569" s="12"/>
      <c r="F569" s="12"/>
      <c r="G569" s="12" t="b">
        <v>0</v>
      </c>
      <c r="H569" s="8" t="s">
        <v>10854</v>
      </c>
      <c r="I569" s="8" t="s">
        <v>10855</v>
      </c>
      <c r="J569" s="12"/>
      <c r="K569" s="8" t="s">
        <v>8141</v>
      </c>
      <c r="L569" s="8">
        <v>22.0</v>
      </c>
      <c r="M569" s="8" t="s">
        <v>10856</v>
      </c>
      <c r="N569" s="12"/>
      <c r="O569" s="8" t="s">
        <v>10857</v>
      </c>
      <c r="P569" s="28" t="s">
        <v>10858</v>
      </c>
    </row>
    <row r="570">
      <c r="A570" s="28"/>
      <c r="B570" s="12"/>
      <c r="C570" s="12"/>
      <c r="D570" s="12"/>
      <c r="E570" s="12"/>
      <c r="F570" s="12"/>
      <c r="G570" s="12" t="b">
        <v>0</v>
      </c>
      <c r="H570" s="8" t="s">
        <v>10859</v>
      </c>
      <c r="I570" s="8" t="s">
        <v>10860</v>
      </c>
      <c r="J570" s="12"/>
      <c r="K570" s="8" t="s">
        <v>7722</v>
      </c>
      <c r="L570" s="8">
        <v>25.0</v>
      </c>
      <c r="M570" s="8" t="s">
        <v>10861</v>
      </c>
      <c r="N570" s="12"/>
      <c r="O570" s="8" t="s">
        <v>10862</v>
      </c>
      <c r="P570" s="28" t="s">
        <v>10863</v>
      </c>
    </row>
    <row r="571">
      <c r="A571" s="28"/>
      <c r="B571" s="12"/>
      <c r="C571" s="12"/>
      <c r="D571" s="12"/>
      <c r="E571" s="12"/>
      <c r="F571" s="12"/>
      <c r="G571" s="12" t="b">
        <v>0</v>
      </c>
      <c r="H571" s="8" t="s">
        <v>10864</v>
      </c>
      <c r="I571" s="8" t="s">
        <v>10865</v>
      </c>
      <c r="J571" s="12"/>
      <c r="K571" s="8" t="s">
        <v>7722</v>
      </c>
      <c r="L571" s="8">
        <v>20.0</v>
      </c>
      <c r="M571" s="8" t="s">
        <v>10866</v>
      </c>
      <c r="N571" s="12"/>
      <c r="O571" s="8" t="s">
        <v>10867</v>
      </c>
      <c r="P571" s="28" t="s">
        <v>10868</v>
      </c>
    </row>
    <row r="572">
      <c r="A572" s="28"/>
      <c r="B572" s="12"/>
      <c r="C572" s="12"/>
      <c r="D572" s="12"/>
      <c r="E572" s="12"/>
      <c r="F572" s="12"/>
      <c r="G572" s="12" t="b">
        <v>0</v>
      </c>
      <c r="H572" s="8" t="s">
        <v>10869</v>
      </c>
      <c r="I572" s="8" t="s">
        <v>10870</v>
      </c>
      <c r="J572" s="12"/>
      <c r="K572" s="8" t="s">
        <v>8192</v>
      </c>
      <c r="L572" s="8">
        <v>27.0</v>
      </c>
      <c r="M572" s="8" t="s">
        <v>10871</v>
      </c>
      <c r="N572" s="12"/>
      <c r="O572" s="8" t="s">
        <v>10872</v>
      </c>
      <c r="P572" s="28" t="s">
        <v>10873</v>
      </c>
    </row>
    <row r="573">
      <c r="A573" s="28"/>
      <c r="B573" s="12"/>
      <c r="C573" s="12"/>
      <c r="D573" s="12"/>
      <c r="E573" s="12"/>
      <c r="F573" s="12"/>
      <c r="G573" s="12" t="b">
        <v>0</v>
      </c>
      <c r="H573" s="8" t="s">
        <v>10874</v>
      </c>
      <c r="I573" s="8" t="s">
        <v>10875</v>
      </c>
      <c r="J573" s="12"/>
      <c r="K573" s="8" t="s">
        <v>8489</v>
      </c>
      <c r="L573" s="8">
        <v>62.0</v>
      </c>
      <c r="M573" s="8" t="s">
        <v>10876</v>
      </c>
      <c r="N573" s="12"/>
      <c r="O573" s="8" t="s">
        <v>8472</v>
      </c>
      <c r="P573" s="28" t="s">
        <v>10877</v>
      </c>
    </row>
    <row r="574">
      <c r="A574" s="28"/>
      <c r="B574" s="12"/>
      <c r="C574" s="12"/>
      <c r="D574" s="12"/>
      <c r="E574" s="12"/>
      <c r="F574" s="12"/>
      <c r="G574" s="12" t="b">
        <v>0</v>
      </c>
      <c r="H574" s="8" t="s">
        <v>10878</v>
      </c>
      <c r="I574" s="8" t="s">
        <v>10879</v>
      </c>
      <c r="J574" s="12"/>
      <c r="K574" s="8" t="s">
        <v>7894</v>
      </c>
      <c r="L574" s="8">
        <v>11.0</v>
      </c>
      <c r="M574" s="8" t="s">
        <v>10880</v>
      </c>
      <c r="N574" s="12"/>
      <c r="O574" s="8" t="s">
        <v>10881</v>
      </c>
      <c r="P574" s="28" t="s">
        <v>10882</v>
      </c>
    </row>
    <row r="575">
      <c r="A575" s="28"/>
      <c r="B575" s="12"/>
      <c r="C575" s="12"/>
      <c r="D575" s="12"/>
      <c r="E575" s="12"/>
      <c r="F575" s="12"/>
      <c r="G575" s="12" t="b">
        <v>0</v>
      </c>
      <c r="H575" s="8" t="s">
        <v>10883</v>
      </c>
      <c r="I575" s="8" t="s">
        <v>10884</v>
      </c>
      <c r="J575" s="12"/>
      <c r="K575" s="8" t="s">
        <v>7722</v>
      </c>
      <c r="L575" s="8">
        <v>25.0</v>
      </c>
      <c r="M575" s="8" t="s">
        <v>1295</v>
      </c>
      <c r="N575" s="12"/>
      <c r="O575" s="12"/>
      <c r="P575" s="28" t="s">
        <v>10885</v>
      </c>
    </row>
    <row r="576">
      <c r="A576" s="28"/>
      <c r="B576" s="12"/>
      <c r="C576" s="12"/>
      <c r="D576" s="12"/>
      <c r="E576" s="12"/>
      <c r="F576" s="12"/>
      <c r="G576" s="12" t="b">
        <v>0</v>
      </c>
      <c r="H576" s="8" t="s">
        <v>10886</v>
      </c>
      <c r="I576" s="8" t="s">
        <v>10887</v>
      </c>
      <c r="J576" s="12"/>
      <c r="K576" s="8" t="s">
        <v>10888</v>
      </c>
      <c r="L576" s="8">
        <v>51.0</v>
      </c>
      <c r="M576" s="8" t="s">
        <v>1295</v>
      </c>
      <c r="N576" s="12"/>
      <c r="O576" s="12"/>
      <c r="P576" s="28" t="s">
        <v>10889</v>
      </c>
    </row>
    <row r="577">
      <c r="A577" s="28"/>
      <c r="B577" s="12"/>
      <c r="C577" s="12"/>
      <c r="D577" s="12"/>
      <c r="E577" s="12"/>
      <c r="F577" s="12"/>
      <c r="G577" s="12" t="b">
        <v>0</v>
      </c>
      <c r="H577" s="8" t="s">
        <v>10890</v>
      </c>
      <c r="I577" s="8" t="s">
        <v>10891</v>
      </c>
      <c r="J577" s="12"/>
      <c r="K577" s="8" t="s">
        <v>8728</v>
      </c>
      <c r="L577" s="8">
        <v>25.0</v>
      </c>
      <c r="M577" s="8" t="s">
        <v>10892</v>
      </c>
      <c r="N577" s="12"/>
      <c r="O577" s="8" t="s">
        <v>10893</v>
      </c>
      <c r="P577" s="28" t="s">
        <v>10894</v>
      </c>
    </row>
    <row r="578">
      <c r="A578" s="28"/>
      <c r="B578" s="12"/>
      <c r="C578" s="12"/>
      <c r="D578" s="12"/>
      <c r="E578" s="12"/>
      <c r="F578" s="12"/>
      <c r="G578" s="12" t="b">
        <v>0</v>
      </c>
      <c r="H578" s="8" t="s">
        <v>10895</v>
      </c>
      <c r="I578" s="8" t="s">
        <v>10896</v>
      </c>
      <c r="J578" s="12"/>
      <c r="K578" s="8" t="s">
        <v>7804</v>
      </c>
      <c r="L578" s="8">
        <v>12.0</v>
      </c>
      <c r="M578" s="8" t="s">
        <v>10897</v>
      </c>
      <c r="N578" s="12"/>
      <c r="O578" s="8" t="s">
        <v>10898</v>
      </c>
      <c r="P578" s="28" t="s">
        <v>10899</v>
      </c>
    </row>
    <row r="579">
      <c r="A579" s="28"/>
      <c r="B579" s="12"/>
      <c r="C579" s="12"/>
      <c r="D579" s="12"/>
      <c r="E579" s="12"/>
      <c r="F579" s="12"/>
      <c r="G579" s="12" t="b">
        <v>0</v>
      </c>
      <c r="H579" s="8" t="s">
        <v>10900</v>
      </c>
      <c r="I579" s="8" t="s">
        <v>10901</v>
      </c>
      <c r="J579" s="12"/>
      <c r="K579" s="8" t="s">
        <v>8553</v>
      </c>
      <c r="L579" s="8">
        <v>40.0</v>
      </c>
      <c r="M579" s="8" t="s">
        <v>1295</v>
      </c>
      <c r="N579" s="12"/>
      <c r="O579" s="12"/>
      <c r="P579" s="28" t="s">
        <v>10902</v>
      </c>
    </row>
    <row r="580">
      <c r="A580" s="28"/>
      <c r="B580" s="12"/>
      <c r="C580" s="12"/>
      <c r="D580" s="12"/>
      <c r="E580" s="12"/>
      <c r="F580" s="12"/>
      <c r="G580" s="12" t="b">
        <v>0</v>
      </c>
      <c r="H580" s="8" t="s">
        <v>10903</v>
      </c>
      <c r="I580" s="8" t="s">
        <v>10904</v>
      </c>
      <c r="J580" s="12"/>
      <c r="K580" s="8" t="s">
        <v>8141</v>
      </c>
      <c r="L580" s="8">
        <v>32.0</v>
      </c>
      <c r="M580" s="8" t="s">
        <v>1295</v>
      </c>
      <c r="N580" s="12"/>
      <c r="O580" s="12"/>
      <c r="P580" s="28" t="s">
        <v>10905</v>
      </c>
    </row>
    <row r="581">
      <c r="A581" s="28"/>
      <c r="B581" s="12"/>
      <c r="C581" s="12"/>
      <c r="D581" s="12"/>
      <c r="E581" s="12"/>
      <c r="F581" s="12"/>
      <c r="G581" s="12" t="b">
        <v>0</v>
      </c>
      <c r="H581" s="8" t="s">
        <v>10906</v>
      </c>
      <c r="I581" s="8" t="s">
        <v>10907</v>
      </c>
      <c r="J581" s="12"/>
      <c r="K581" s="8" t="s">
        <v>9851</v>
      </c>
      <c r="L581" s="8">
        <v>12.0</v>
      </c>
      <c r="M581" s="8" t="s">
        <v>10908</v>
      </c>
      <c r="N581" s="12"/>
      <c r="O581" s="8" t="s">
        <v>8529</v>
      </c>
      <c r="P581" s="28" t="s">
        <v>10909</v>
      </c>
    </row>
    <row r="582">
      <c r="A582" s="28"/>
      <c r="B582" s="12"/>
      <c r="C582" s="12"/>
      <c r="D582" s="12"/>
      <c r="E582" s="12"/>
      <c r="F582" s="12"/>
      <c r="G582" s="12" t="b">
        <v>0</v>
      </c>
      <c r="H582" s="8" t="s">
        <v>10910</v>
      </c>
      <c r="I582" s="8" t="s">
        <v>10911</v>
      </c>
      <c r="J582" s="12"/>
      <c r="K582" s="8" t="s">
        <v>10912</v>
      </c>
      <c r="L582" s="8">
        <v>90.0</v>
      </c>
      <c r="M582" s="8" t="s">
        <v>10913</v>
      </c>
      <c r="N582" s="12"/>
      <c r="O582" s="8" t="s">
        <v>8144</v>
      </c>
      <c r="P582" s="28" t="s">
        <v>10914</v>
      </c>
    </row>
    <row r="583">
      <c r="A583" s="28"/>
      <c r="B583" s="12"/>
      <c r="C583" s="12"/>
      <c r="D583" s="12"/>
      <c r="E583" s="12"/>
      <c r="F583" s="12"/>
      <c r="G583" s="12" t="b">
        <v>0</v>
      </c>
      <c r="H583" s="8" t="s">
        <v>10915</v>
      </c>
      <c r="I583" s="8" t="s">
        <v>10916</v>
      </c>
      <c r="J583" s="12"/>
      <c r="K583" s="8" t="s">
        <v>8141</v>
      </c>
      <c r="L583" s="8">
        <v>12.0</v>
      </c>
      <c r="M583" s="8" t="s">
        <v>10917</v>
      </c>
      <c r="N583" s="12"/>
      <c r="O583" s="8" t="s">
        <v>10918</v>
      </c>
      <c r="P583" s="28" t="s">
        <v>10919</v>
      </c>
    </row>
    <row r="584">
      <c r="A584" s="28"/>
      <c r="B584" s="12"/>
      <c r="C584" s="12"/>
      <c r="D584" s="12"/>
      <c r="E584" s="12"/>
      <c r="F584" s="12"/>
      <c r="G584" s="12" t="b">
        <v>0</v>
      </c>
      <c r="H584" s="8" t="s">
        <v>10920</v>
      </c>
      <c r="I584" s="8" t="s">
        <v>10921</v>
      </c>
      <c r="J584" s="12"/>
      <c r="K584" s="8" t="s">
        <v>7854</v>
      </c>
      <c r="L584" s="8">
        <v>18.0</v>
      </c>
      <c r="M584" s="8" t="s">
        <v>10922</v>
      </c>
      <c r="N584" s="8" t="s">
        <v>10923</v>
      </c>
      <c r="O584" s="8" t="s">
        <v>10924</v>
      </c>
      <c r="P584" s="28" t="s">
        <v>10925</v>
      </c>
    </row>
    <row r="585">
      <c r="A585" s="28"/>
      <c r="B585" s="12"/>
      <c r="C585" s="12"/>
      <c r="D585" s="12"/>
      <c r="E585" s="12"/>
      <c r="F585" s="12"/>
      <c r="G585" s="12" t="b">
        <v>0</v>
      </c>
      <c r="H585" s="8" t="s">
        <v>4378</v>
      </c>
      <c r="I585" s="8" t="s">
        <v>10926</v>
      </c>
      <c r="J585" s="12"/>
      <c r="K585" s="8" t="s">
        <v>7722</v>
      </c>
      <c r="L585" s="8">
        <v>23.0</v>
      </c>
      <c r="M585" s="8" t="s">
        <v>10927</v>
      </c>
      <c r="N585" s="12"/>
      <c r="O585" s="8" t="s">
        <v>8407</v>
      </c>
      <c r="P585" s="28" t="s">
        <v>10928</v>
      </c>
    </row>
    <row r="586">
      <c r="A586" s="28"/>
      <c r="B586" s="12"/>
      <c r="C586" s="12"/>
      <c r="D586" s="12"/>
      <c r="E586" s="12"/>
      <c r="F586" s="12"/>
      <c r="G586" s="12" t="b">
        <v>0</v>
      </c>
      <c r="H586" s="8" t="s">
        <v>10929</v>
      </c>
      <c r="I586" s="8" t="s">
        <v>10930</v>
      </c>
      <c r="J586" s="12"/>
      <c r="K586" s="8" t="s">
        <v>8304</v>
      </c>
      <c r="L586" s="8">
        <v>60.0</v>
      </c>
      <c r="M586" s="8" t="s">
        <v>10931</v>
      </c>
      <c r="N586" s="12"/>
      <c r="O586" s="8" t="s">
        <v>10932</v>
      </c>
      <c r="P586" s="28" t="s">
        <v>10933</v>
      </c>
    </row>
    <row r="587">
      <c r="A587" s="28"/>
      <c r="B587" s="12"/>
      <c r="C587" s="12"/>
      <c r="D587" s="12"/>
      <c r="E587" s="12"/>
      <c r="F587" s="12"/>
      <c r="G587" s="12" t="b">
        <v>0</v>
      </c>
      <c r="H587" s="8" t="s">
        <v>10934</v>
      </c>
      <c r="I587" s="8" t="s">
        <v>10935</v>
      </c>
      <c r="J587" s="12"/>
      <c r="K587" s="12"/>
      <c r="L587" s="8">
        <v>11.0</v>
      </c>
      <c r="M587" s="8" t="s">
        <v>1295</v>
      </c>
      <c r="N587" s="12"/>
      <c r="O587" s="12"/>
      <c r="P587" s="12"/>
    </row>
    <row r="588">
      <c r="A588" s="28"/>
      <c r="B588" s="12"/>
      <c r="C588" s="12"/>
      <c r="D588" s="12"/>
      <c r="E588" s="12"/>
      <c r="F588" s="12"/>
      <c r="G588" s="12" t="b">
        <v>0</v>
      </c>
      <c r="H588" s="8" t="s">
        <v>10936</v>
      </c>
      <c r="I588" s="8" t="s">
        <v>10937</v>
      </c>
      <c r="J588" s="12"/>
      <c r="K588" s="8" t="s">
        <v>7722</v>
      </c>
      <c r="L588" s="8">
        <v>20.0</v>
      </c>
      <c r="M588" s="8" t="s">
        <v>10938</v>
      </c>
      <c r="N588" s="12"/>
      <c r="O588" s="8" t="s">
        <v>8529</v>
      </c>
      <c r="P588" s="28" t="s">
        <v>10939</v>
      </c>
    </row>
    <row r="589">
      <c r="A589" s="28"/>
      <c r="B589" s="12"/>
      <c r="C589" s="12"/>
      <c r="D589" s="12"/>
      <c r="E589" s="12"/>
      <c r="F589" s="12"/>
      <c r="G589" s="12" t="b">
        <v>0</v>
      </c>
      <c r="H589" s="8" t="s">
        <v>10940</v>
      </c>
      <c r="I589" s="8" t="s">
        <v>10941</v>
      </c>
      <c r="J589" s="12"/>
      <c r="K589" s="8" t="s">
        <v>7804</v>
      </c>
      <c r="L589" s="8">
        <v>50.0</v>
      </c>
      <c r="M589" s="8" t="s">
        <v>10942</v>
      </c>
      <c r="N589" s="12"/>
      <c r="O589" s="8" t="s">
        <v>10943</v>
      </c>
      <c r="P589" s="28" t="s">
        <v>10944</v>
      </c>
    </row>
    <row r="590">
      <c r="A590" s="28"/>
      <c r="B590" s="12"/>
      <c r="C590" s="12"/>
      <c r="D590" s="12"/>
      <c r="E590" s="12"/>
      <c r="F590" s="12"/>
      <c r="G590" s="12" t="b">
        <v>0</v>
      </c>
      <c r="H590" s="8" t="s">
        <v>10945</v>
      </c>
      <c r="I590" s="8" t="s">
        <v>10946</v>
      </c>
      <c r="J590" s="12"/>
      <c r="K590" s="8" t="s">
        <v>7804</v>
      </c>
      <c r="L590" s="8">
        <v>12.0</v>
      </c>
      <c r="M590" s="8" t="s">
        <v>10947</v>
      </c>
      <c r="N590" s="12"/>
      <c r="O590" s="8" t="s">
        <v>10948</v>
      </c>
      <c r="P590" s="28" t="s">
        <v>10949</v>
      </c>
    </row>
    <row r="591">
      <c r="A591" s="28"/>
      <c r="B591" s="12"/>
      <c r="C591" s="12"/>
      <c r="D591" s="12"/>
      <c r="E591" s="12"/>
      <c r="F591" s="12"/>
      <c r="G591" s="12" t="b">
        <v>0</v>
      </c>
      <c r="H591" s="8" t="s">
        <v>10950</v>
      </c>
      <c r="I591" s="8" t="s">
        <v>10951</v>
      </c>
      <c r="J591" s="12"/>
      <c r="K591" s="8" t="s">
        <v>7903</v>
      </c>
      <c r="L591" s="8">
        <v>40.0</v>
      </c>
      <c r="M591" s="8" t="s">
        <v>10952</v>
      </c>
      <c r="N591" s="8" t="s">
        <v>10953</v>
      </c>
      <c r="O591" s="8" t="s">
        <v>10954</v>
      </c>
      <c r="P591" s="28" t="s">
        <v>10955</v>
      </c>
    </row>
    <row r="592">
      <c r="A592" s="28"/>
      <c r="B592" s="12"/>
      <c r="C592" s="12"/>
      <c r="D592" s="12"/>
      <c r="E592" s="12"/>
      <c r="F592" s="12"/>
      <c r="G592" s="12" t="b">
        <v>0</v>
      </c>
      <c r="H592" s="8" t="s">
        <v>10956</v>
      </c>
      <c r="I592" s="8" t="s">
        <v>10957</v>
      </c>
      <c r="J592" s="12"/>
      <c r="K592" s="8" t="s">
        <v>7722</v>
      </c>
      <c r="L592" s="8">
        <v>17.0</v>
      </c>
      <c r="M592" s="8" t="s">
        <v>10958</v>
      </c>
      <c r="N592" s="12"/>
      <c r="O592" s="8" t="s">
        <v>10959</v>
      </c>
      <c r="P592" s="28" t="s">
        <v>10960</v>
      </c>
    </row>
    <row r="593">
      <c r="A593" s="28"/>
      <c r="B593" s="12"/>
      <c r="C593" s="12"/>
      <c r="D593" s="12"/>
      <c r="E593" s="12"/>
      <c r="F593" s="12"/>
      <c r="G593" s="12" t="b">
        <v>0</v>
      </c>
      <c r="H593" s="8" t="s">
        <v>10961</v>
      </c>
      <c r="I593" s="8" t="s">
        <v>10962</v>
      </c>
      <c r="J593" s="12"/>
      <c r="K593" s="8" t="s">
        <v>10963</v>
      </c>
      <c r="L593" s="8">
        <v>12.0</v>
      </c>
      <c r="M593" s="8" t="s">
        <v>10964</v>
      </c>
      <c r="N593" s="12"/>
      <c r="O593" s="8" t="s">
        <v>10965</v>
      </c>
      <c r="P593" s="28" t="s">
        <v>10966</v>
      </c>
    </row>
    <row r="594">
      <c r="A594" s="28"/>
      <c r="B594" s="12"/>
      <c r="C594" s="12"/>
      <c r="D594" s="12"/>
      <c r="E594" s="12"/>
      <c r="F594" s="12"/>
      <c r="G594" s="12" t="b">
        <v>0</v>
      </c>
      <c r="H594" s="8" t="s">
        <v>10967</v>
      </c>
      <c r="I594" s="8" t="s">
        <v>10968</v>
      </c>
      <c r="J594" s="12"/>
      <c r="K594" s="8" t="s">
        <v>7722</v>
      </c>
      <c r="L594" s="8">
        <v>11.0</v>
      </c>
      <c r="M594" s="8" t="s">
        <v>1295</v>
      </c>
      <c r="N594" s="12"/>
      <c r="O594" s="12"/>
      <c r="P594" s="12"/>
    </row>
    <row r="595">
      <c r="A595" s="28"/>
      <c r="B595" s="12"/>
      <c r="C595" s="12"/>
      <c r="D595" s="12"/>
      <c r="E595" s="12"/>
      <c r="F595" s="12"/>
      <c r="G595" s="12" t="b">
        <v>0</v>
      </c>
      <c r="H595" s="8" t="s">
        <v>10969</v>
      </c>
      <c r="I595" s="8" t="s">
        <v>10970</v>
      </c>
      <c r="J595" s="12"/>
      <c r="K595" s="8" t="s">
        <v>7722</v>
      </c>
      <c r="L595" s="8">
        <v>28.0</v>
      </c>
      <c r="M595" s="8" t="s">
        <v>1295</v>
      </c>
      <c r="N595" s="12"/>
      <c r="O595" s="12"/>
      <c r="P595" s="28" t="s">
        <v>10971</v>
      </c>
    </row>
    <row r="596">
      <c r="A596" s="28"/>
      <c r="B596" s="12"/>
      <c r="C596" s="12"/>
      <c r="D596" s="12"/>
      <c r="E596" s="12"/>
      <c r="F596" s="12"/>
      <c r="G596" s="12" t="b">
        <v>0</v>
      </c>
      <c r="H596" s="8" t="s">
        <v>10972</v>
      </c>
      <c r="I596" s="8" t="s">
        <v>10973</v>
      </c>
      <c r="J596" s="12"/>
      <c r="K596" s="8" t="s">
        <v>10974</v>
      </c>
      <c r="L596" s="8">
        <v>30.0</v>
      </c>
      <c r="M596" s="8" t="s">
        <v>10975</v>
      </c>
      <c r="N596" s="12"/>
      <c r="O596" s="8" t="s">
        <v>10976</v>
      </c>
      <c r="P596" s="28" t="s">
        <v>10977</v>
      </c>
    </row>
    <row r="597">
      <c r="A597" s="28"/>
      <c r="B597" s="12"/>
      <c r="C597" s="12"/>
      <c r="D597" s="12"/>
      <c r="E597" s="12"/>
      <c r="F597" s="12"/>
      <c r="G597" s="12" t="b">
        <v>0</v>
      </c>
      <c r="H597" s="8" t="s">
        <v>10978</v>
      </c>
      <c r="I597" s="8" t="s">
        <v>10979</v>
      </c>
      <c r="J597" s="12"/>
      <c r="K597" s="8" t="s">
        <v>8271</v>
      </c>
      <c r="L597" s="8">
        <v>12.0</v>
      </c>
      <c r="M597" s="8" t="s">
        <v>10980</v>
      </c>
      <c r="N597" s="12"/>
      <c r="O597" s="8" t="s">
        <v>10981</v>
      </c>
      <c r="P597" s="28" t="s">
        <v>10982</v>
      </c>
    </row>
    <row r="598">
      <c r="A598" s="28"/>
      <c r="B598" s="12"/>
      <c r="C598" s="12"/>
      <c r="D598" s="12"/>
      <c r="E598" s="12"/>
      <c r="F598" s="12"/>
      <c r="G598" s="12" t="b">
        <v>0</v>
      </c>
      <c r="H598" s="8" t="s">
        <v>10983</v>
      </c>
      <c r="I598" s="12"/>
      <c r="J598" s="12"/>
      <c r="K598" s="8" t="s">
        <v>7722</v>
      </c>
      <c r="L598" s="8">
        <v>35.0</v>
      </c>
      <c r="M598" s="8" t="s">
        <v>1295</v>
      </c>
      <c r="N598" s="12"/>
      <c r="O598" s="12"/>
      <c r="P598" s="28" t="s">
        <v>10984</v>
      </c>
    </row>
    <row r="599">
      <c r="A599" s="28"/>
      <c r="B599" s="12"/>
      <c r="C599" s="12"/>
      <c r="D599" s="12"/>
      <c r="E599" s="12"/>
      <c r="F599" s="12"/>
      <c r="G599" s="12" t="b">
        <v>0</v>
      </c>
      <c r="H599" s="8" t="s">
        <v>10985</v>
      </c>
      <c r="I599" s="8" t="s">
        <v>10986</v>
      </c>
      <c r="J599" s="12"/>
      <c r="K599" s="8" t="s">
        <v>10987</v>
      </c>
      <c r="L599" s="8">
        <v>15.0</v>
      </c>
      <c r="M599" s="8" t="s">
        <v>10988</v>
      </c>
      <c r="N599" s="12"/>
      <c r="O599" s="8" t="s">
        <v>10989</v>
      </c>
      <c r="P599" s="28" t="s">
        <v>10990</v>
      </c>
    </row>
    <row r="600">
      <c r="A600" s="28"/>
      <c r="B600" s="12"/>
      <c r="C600" s="12"/>
      <c r="D600" s="12"/>
      <c r="E600" s="12"/>
      <c r="F600" s="12"/>
      <c r="G600" s="12" t="b">
        <v>0</v>
      </c>
      <c r="H600" s="8" t="s">
        <v>6682</v>
      </c>
      <c r="I600" s="8" t="s">
        <v>10991</v>
      </c>
      <c r="J600" s="12"/>
      <c r="K600" s="8" t="s">
        <v>7804</v>
      </c>
      <c r="L600" s="8">
        <v>13.0</v>
      </c>
      <c r="M600" s="8" t="s">
        <v>10992</v>
      </c>
      <c r="N600" s="12"/>
      <c r="O600" s="8" t="s">
        <v>10993</v>
      </c>
      <c r="P600" s="28" t="s">
        <v>10994</v>
      </c>
    </row>
    <row r="601">
      <c r="A601" s="28"/>
      <c r="B601" s="12"/>
      <c r="C601" s="12"/>
      <c r="D601" s="12"/>
      <c r="E601" s="12"/>
      <c r="F601" s="12"/>
      <c r="G601" s="12" t="b">
        <v>0</v>
      </c>
      <c r="H601" s="8" t="s">
        <v>10995</v>
      </c>
      <c r="I601" s="8" t="s">
        <v>10996</v>
      </c>
      <c r="J601" s="12"/>
      <c r="K601" s="8" t="s">
        <v>10997</v>
      </c>
      <c r="L601" s="8">
        <v>10.0</v>
      </c>
      <c r="M601" s="8" t="s">
        <v>10998</v>
      </c>
      <c r="N601" s="12"/>
      <c r="O601" s="8" t="s">
        <v>3532</v>
      </c>
      <c r="P601" s="28" t="s">
        <v>10999</v>
      </c>
    </row>
    <row r="602">
      <c r="A602" s="28"/>
      <c r="B602" s="12"/>
      <c r="C602" s="12"/>
      <c r="D602" s="12"/>
      <c r="E602" s="12"/>
      <c r="F602" s="12"/>
      <c r="G602" s="12" t="b">
        <v>0</v>
      </c>
      <c r="H602" s="8" t="s">
        <v>11000</v>
      </c>
      <c r="I602" s="8" t="s">
        <v>11001</v>
      </c>
      <c r="J602" s="12"/>
      <c r="K602" s="8" t="s">
        <v>11002</v>
      </c>
      <c r="L602" s="8">
        <v>10.0</v>
      </c>
      <c r="M602" s="8" t="s">
        <v>11003</v>
      </c>
      <c r="N602" s="12"/>
      <c r="O602" s="8" t="s">
        <v>8742</v>
      </c>
      <c r="P602" s="28" t="s">
        <v>11004</v>
      </c>
    </row>
    <row r="603">
      <c r="A603" s="28"/>
      <c r="B603" s="12"/>
      <c r="C603" s="12"/>
      <c r="D603" s="12"/>
      <c r="E603" s="12"/>
      <c r="F603" s="12"/>
      <c r="G603" s="12" t="b">
        <v>0</v>
      </c>
      <c r="H603" s="8" t="s">
        <v>11005</v>
      </c>
      <c r="I603" s="8" t="s">
        <v>11006</v>
      </c>
      <c r="J603" s="12"/>
      <c r="K603" s="8" t="s">
        <v>11007</v>
      </c>
      <c r="L603" s="8">
        <v>25.0</v>
      </c>
      <c r="M603" s="8" t="s">
        <v>11008</v>
      </c>
      <c r="N603" s="12"/>
      <c r="O603" s="8" t="s">
        <v>11009</v>
      </c>
      <c r="P603" s="28" t="s">
        <v>11010</v>
      </c>
    </row>
    <row r="604">
      <c r="A604" s="28"/>
      <c r="B604" s="12"/>
      <c r="C604" s="12"/>
      <c r="D604" s="12"/>
      <c r="E604" s="12"/>
      <c r="F604" s="12"/>
      <c r="G604" s="12" t="b">
        <v>0</v>
      </c>
      <c r="H604" s="8" t="s">
        <v>11011</v>
      </c>
      <c r="I604" s="8" t="s">
        <v>11012</v>
      </c>
      <c r="J604" s="12"/>
      <c r="K604" s="8" t="s">
        <v>7804</v>
      </c>
      <c r="L604" s="8">
        <v>20.0</v>
      </c>
      <c r="M604" s="8" t="s">
        <v>1295</v>
      </c>
      <c r="N604" s="12"/>
      <c r="O604" s="12"/>
      <c r="P604" s="28" t="s">
        <v>11013</v>
      </c>
    </row>
    <row r="605">
      <c r="A605" s="28"/>
      <c r="B605" s="12"/>
      <c r="C605" s="12"/>
      <c r="D605" s="12"/>
      <c r="E605" s="12"/>
      <c r="F605" s="12"/>
      <c r="G605" s="12" t="b">
        <v>0</v>
      </c>
      <c r="H605" s="8" t="s">
        <v>11014</v>
      </c>
      <c r="I605" s="8" t="s">
        <v>11015</v>
      </c>
      <c r="J605" s="12"/>
      <c r="K605" s="8" t="s">
        <v>7854</v>
      </c>
      <c r="L605" s="8">
        <v>10.0</v>
      </c>
      <c r="M605" s="8" t="s">
        <v>11016</v>
      </c>
      <c r="N605" s="12"/>
      <c r="O605" s="8" t="s">
        <v>8242</v>
      </c>
      <c r="P605" s="28" t="s">
        <v>11017</v>
      </c>
    </row>
    <row r="606">
      <c r="A606" s="28"/>
      <c r="B606" s="12"/>
      <c r="C606" s="12"/>
      <c r="D606" s="12"/>
      <c r="E606" s="12"/>
      <c r="F606" s="12"/>
      <c r="G606" s="12" t="b">
        <v>0</v>
      </c>
      <c r="H606" s="8" t="s">
        <v>11018</v>
      </c>
      <c r="I606" s="8" t="s">
        <v>11019</v>
      </c>
      <c r="J606" s="12"/>
      <c r="K606" s="8" t="s">
        <v>7722</v>
      </c>
      <c r="L606" s="8">
        <v>16.0</v>
      </c>
      <c r="M606" s="8" t="s">
        <v>11020</v>
      </c>
      <c r="N606" s="8" t="s">
        <v>11021</v>
      </c>
      <c r="O606" s="8" t="s">
        <v>11022</v>
      </c>
      <c r="P606" s="28" t="s">
        <v>11023</v>
      </c>
    </row>
    <row r="607">
      <c r="A607" s="28"/>
      <c r="B607" s="12"/>
      <c r="C607" s="12"/>
      <c r="D607" s="12"/>
      <c r="E607" s="12"/>
      <c r="F607" s="12"/>
      <c r="G607" s="12" t="b">
        <v>0</v>
      </c>
      <c r="H607" s="8" t="s">
        <v>11024</v>
      </c>
      <c r="I607" s="8" t="s">
        <v>11025</v>
      </c>
      <c r="J607" s="12"/>
      <c r="K607" s="8" t="s">
        <v>7894</v>
      </c>
      <c r="L607" s="8">
        <v>11.0</v>
      </c>
      <c r="M607" s="8" t="s">
        <v>11026</v>
      </c>
      <c r="N607" s="12"/>
      <c r="O607" s="8" t="s">
        <v>11027</v>
      </c>
      <c r="P607" s="28" t="s">
        <v>11028</v>
      </c>
    </row>
    <row r="608">
      <c r="A608" s="28"/>
      <c r="B608" s="12"/>
      <c r="C608" s="12"/>
      <c r="D608" s="12"/>
      <c r="E608" s="12"/>
      <c r="F608" s="12"/>
      <c r="G608" s="12" t="b">
        <v>0</v>
      </c>
      <c r="H608" s="8" t="s">
        <v>11029</v>
      </c>
      <c r="I608" s="8" t="s">
        <v>11030</v>
      </c>
      <c r="J608" s="12"/>
      <c r="K608" s="8" t="s">
        <v>7722</v>
      </c>
      <c r="L608" s="8">
        <v>43.0</v>
      </c>
      <c r="M608" s="8" t="s">
        <v>11031</v>
      </c>
      <c r="N608" s="12"/>
      <c r="O608" s="8" t="s">
        <v>11032</v>
      </c>
      <c r="P608" s="28" t="s">
        <v>11033</v>
      </c>
    </row>
    <row r="609">
      <c r="A609" s="28"/>
      <c r="B609" s="12"/>
      <c r="C609" s="12"/>
      <c r="D609" s="12"/>
      <c r="E609" s="12"/>
      <c r="F609" s="12"/>
      <c r="G609" s="12" t="b">
        <v>0</v>
      </c>
      <c r="H609" s="8" t="s">
        <v>11034</v>
      </c>
      <c r="I609" s="8" t="s">
        <v>11035</v>
      </c>
      <c r="J609" s="12"/>
      <c r="K609" s="8" t="s">
        <v>11036</v>
      </c>
      <c r="L609" s="8">
        <v>40.0</v>
      </c>
      <c r="M609" s="8" t="s">
        <v>11037</v>
      </c>
      <c r="N609" s="12"/>
      <c r="O609" s="8" t="s">
        <v>10474</v>
      </c>
      <c r="P609" s="28" t="s">
        <v>11038</v>
      </c>
    </row>
    <row r="610">
      <c r="A610" s="28"/>
      <c r="B610" s="12"/>
      <c r="C610" s="12"/>
      <c r="D610" s="12"/>
      <c r="E610" s="12"/>
      <c r="F610" s="12"/>
      <c r="G610" s="12" t="b">
        <v>0</v>
      </c>
      <c r="H610" s="8" t="s">
        <v>11039</v>
      </c>
      <c r="I610" s="8" t="s">
        <v>11040</v>
      </c>
      <c r="J610" s="12"/>
      <c r="K610" s="12"/>
      <c r="L610" s="8">
        <v>35.0</v>
      </c>
      <c r="M610" s="8" t="s">
        <v>11041</v>
      </c>
      <c r="N610" s="12"/>
      <c r="O610" s="8" t="s">
        <v>11042</v>
      </c>
      <c r="P610" s="28" t="s">
        <v>11043</v>
      </c>
    </row>
    <row r="611">
      <c r="A611" s="28"/>
      <c r="B611" s="12"/>
      <c r="C611" s="12"/>
      <c r="D611" s="12"/>
      <c r="E611" s="12"/>
      <c r="F611" s="12"/>
      <c r="G611" s="12" t="b">
        <v>0</v>
      </c>
      <c r="H611" s="8" t="s">
        <v>11044</v>
      </c>
      <c r="I611" s="8" t="s">
        <v>11045</v>
      </c>
      <c r="J611" s="12"/>
      <c r="K611" s="8" t="s">
        <v>11046</v>
      </c>
      <c r="L611" s="8">
        <v>99.0</v>
      </c>
      <c r="M611" s="8" t="s">
        <v>1295</v>
      </c>
      <c r="N611" s="12"/>
      <c r="O611" s="12"/>
      <c r="P611" s="28" t="s">
        <v>11047</v>
      </c>
    </row>
    <row r="612">
      <c r="A612" s="28"/>
      <c r="B612" s="12"/>
      <c r="C612" s="12"/>
      <c r="D612" s="12"/>
      <c r="E612" s="12"/>
      <c r="F612" s="12"/>
      <c r="G612" s="12" t="b">
        <v>0</v>
      </c>
      <c r="H612" s="8" t="s">
        <v>6741</v>
      </c>
      <c r="I612" s="8" t="s">
        <v>11048</v>
      </c>
      <c r="J612" s="12"/>
      <c r="K612" s="8" t="s">
        <v>7722</v>
      </c>
      <c r="L612" s="8">
        <v>90.0</v>
      </c>
      <c r="M612" s="8" t="s">
        <v>11049</v>
      </c>
      <c r="N612" s="12"/>
      <c r="O612" s="8" t="s">
        <v>8865</v>
      </c>
      <c r="P612" s="28" t="s">
        <v>11050</v>
      </c>
    </row>
    <row r="613">
      <c r="A613" s="28"/>
      <c r="B613" s="12"/>
      <c r="C613" s="12"/>
      <c r="D613" s="12"/>
      <c r="E613" s="12"/>
      <c r="F613" s="12"/>
      <c r="G613" s="12" t="b">
        <v>0</v>
      </c>
      <c r="H613" s="28" t="s">
        <v>11051</v>
      </c>
      <c r="I613" s="8" t="s">
        <v>11052</v>
      </c>
      <c r="J613" s="12"/>
      <c r="K613" s="8" t="s">
        <v>7722</v>
      </c>
      <c r="L613" s="8">
        <v>12.0</v>
      </c>
      <c r="M613" s="8" t="s">
        <v>11053</v>
      </c>
      <c r="N613" s="8" t="s">
        <v>11054</v>
      </c>
      <c r="O613" s="8" t="s">
        <v>8767</v>
      </c>
      <c r="P613" s="28" t="s">
        <v>11055</v>
      </c>
    </row>
    <row r="614">
      <c r="A614" s="28"/>
      <c r="B614" s="12"/>
      <c r="C614" s="12"/>
      <c r="D614" s="12"/>
      <c r="E614" s="12"/>
      <c r="F614" s="12"/>
      <c r="G614" s="12" t="b">
        <v>0</v>
      </c>
      <c r="H614" s="8" t="s">
        <v>11056</v>
      </c>
      <c r="I614" s="8" t="s">
        <v>11057</v>
      </c>
      <c r="J614" s="12"/>
      <c r="K614" s="8" t="s">
        <v>7722</v>
      </c>
      <c r="L614" s="8">
        <v>70.0</v>
      </c>
      <c r="M614" s="8" t="s">
        <v>11058</v>
      </c>
      <c r="N614" s="12"/>
      <c r="O614" s="8" t="s">
        <v>10219</v>
      </c>
      <c r="P614" s="28" t="s">
        <v>11059</v>
      </c>
    </row>
    <row r="615">
      <c r="A615" s="28"/>
      <c r="B615" s="12"/>
      <c r="C615" s="12"/>
      <c r="D615" s="12"/>
      <c r="E615" s="12"/>
      <c r="F615" s="12"/>
      <c r="G615" s="12" t="b">
        <v>0</v>
      </c>
      <c r="H615" s="8" t="s">
        <v>11060</v>
      </c>
      <c r="I615" s="8" t="s">
        <v>11061</v>
      </c>
      <c r="J615" s="12"/>
      <c r="K615" s="8" t="s">
        <v>7722</v>
      </c>
      <c r="L615" s="8">
        <v>10.0</v>
      </c>
      <c r="M615" s="8" t="s">
        <v>11062</v>
      </c>
      <c r="N615" s="12"/>
      <c r="O615" s="8" t="s">
        <v>11063</v>
      </c>
      <c r="P615" s="28" t="s">
        <v>11064</v>
      </c>
    </row>
    <row r="616">
      <c r="A616" s="28"/>
      <c r="B616" s="12"/>
      <c r="C616" s="12"/>
      <c r="D616" s="12"/>
      <c r="E616" s="12"/>
      <c r="F616" s="12"/>
      <c r="G616" s="12" t="b">
        <v>0</v>
      </c>
      <c r="H616" s="8" t="s">
        <v>11065</v>
      </c>
      <c r="I616" s="8" t="s">
        <v>11066</v>
      </c>
      <c r="J616" s="12"/>
      <c r="K616" s="8" t="s">
        <v>8489</v>
      </c>
      <c r="L616" s="8">
        <v>90.0</v>
      </c>
      <c r="M616" s="8" t="s">
        <v>11067</v>
      </c>
      <c r="N616" s="12"/>
      <c r="O616" s="8" t="s">
        <v>11068</v>
      </c>
      <c r="P616" s="28" t="s">
        <v>11069</v>
      </c>
    </row>
    <row r="617">
      <c r="A617" s="28"/>
      <c r="B617" s="12"/>
      <c r="C617" s="12"/>
      <c r="D617" s="12"/>
      <c r="E617" s="12"/>
      <c r="F617" s="12"/>
      <c r="G617" s="12" t="b">
        <v>0</v>
      </c>
      <c r="H617" s="8" t="s">
        <v>3436</v>
      </c>
      <c r="I617" s="8" t="s">
        <v>11070</v>
      </c>
      <c r="J617" s="12"/>
      <c r="K617" s="8" t="s">
        <v>11071</v>
      </c>
      <c r="L617" s="8">
        <v>20.0</v>
      </c>
      <c r="M617" s="8" t="s">
        <v>1295</v>
      </c>
      <c r="N617" s="8" t="s">
        <v>11072</v>
      </c>
      <c r="O617" s="12"/>
      <c r="P617" s="28" t="s">
        <v>11073</v>
      </c>
    </row>
    <row r="618">
      <c r="A618" s="28"/>
      <c r="B618" s="12"/>
      <c r="C618" s="12"/>
      <c r="D618" s="12"/>
      <c r="E618" s="12"/>
      <c r="F618" s="12"/>
      <c r="G618" s="12" t="b">
        <v>0</v>
      </c>
      <c r="H618" s="8" t="s">
        <v>11074</v>
      </c>
      <c r="I618" s="8" t="s">
        <v>11075</v>
      </c>
      <c r="J618" s="12"/>
      <c r="K618" s="8" t="s">
        <v>7804</v>
      </c>
      <c r="L618" s="8">
        <v>30.0</v>
      </c>
      <c r="M618" s="8" t="s">
        <v>11076</v>
      </c>
      <c r="N618" s="12"/>
      <c r="O618" s="8" t="s">
        <v>11077</v>
      </c>
      <c r="P618" s="28" t="s">
        <v>11078</v>
      </c>
    </row>
    <row r="619">
      <c r="A619" s="28"/>
      <c r="B619" s="12"/>
      <c r="C619" s="12"/>
      <c r="D619" s="12"/>
      <c r="E619" s="12"/>
      <c r="F619" s="12"/>
      <c r="G619" s="12" t="b">
        <v>0</v>
      </c>
      <c r="H619" s="8" t="s">
        <v>6760</v>
      </c>
      <c r="I619" s="8" t="s">
        <v>11079</v>
      </c>
      <c r="J619" s="12"/>
      <c r="K619" s="8" t="s">
        <v>7804</v>
      </c>
      <c r="L619" s="8">
        <v>12.0</v>
      </c>
      <c r="M619" s="8" t="s">
        <v>11080</v>
      </c>
      <c r="N619" s="12"/>
      <c r="O619" s="8" t="s">
        <v>8325</v>
      </c>
      <c r="P619" s="28" t="s">
        <v>11081</v>
      </c>
    </row>
    <row r="620">
      <c r="A620" s="28"/>
      <c r="B620" s="12"/>
      <c r="C620" s="12"/>
      <c r="D620" s="12"/>
      <c r="E620" s="12"/>
      <c r="F620" s="12"/>
      <c r="G620" s="12" t="b">
        <v>0</v>
      </c>
      <c r="H620" s="8" t="s">
        <v>11082</v>
      </c>
      <c r="I620" s="8" t="s">
        <v>11083</v>
      </c>
      <c r="J620" s="12"/>
      <c r="K620" s="8" t="s">
        <v>7804</v>
      </c>
      <c r="L620" s="8">
        <v>30.0</v>
      </c>
      <c r="M620" s="8" t="s">
        <v>11084</v>
      </c>
      <c r="N620" s="12"/>
      <c r="O620" s="8" t="s">
        <v>8928</v>
      </c>
      <c r="P620" s="28" t="s">
        <v>11085</v>
      </c>
    </row>
    <row r="621">
      <c r="A621" s="28"/>
      <c r="B621" s="12"/>
      <c r="C621" s="12"/>
      <c r="D621" s="12"/>
      <c r="E621" s="12"/>
      <c r="F621" s="12"/>
      <c r="G621" s="12" t="b">
        <v>0</v>
      </c>
      <c r="H621" s="28" t="s">
        <v>11086</v>
      </c>
      <c r="I621" s="8" t="s">
        <v>11087</v>
      </c>
      <c r="J621" s="12"/>
      <c r="K621" s="8" t="s">
        <v>11088</v>
      </c>
      <c r="L621" s="8">
        <v>10.0</v>
      </c>
      <c r="M621" s="8" t="s">
        <v>11089</v>
      </c>
      <c r="N621" s="8" t="s">
        <v>11090</v>
      </c>
      <c r="O621" s="8" t="s">
        <v>11091</v>
      </c>
      <c r="P621" s="28" t="s">
        <v>11092</v>
      </c>
    </row>
    <row r="622">
      <c r="A622" s="28"/>
      <c r="B622" s="12"/>
      <c r="C622" s="12"/>
      <c r="D622" s="12"/>
      <c r="E622" s="12"/>
      <c r="F622" s="12"/>
      <c r="G622" s="12" t="b">
        <v>0</v>
      </c>
      <c r="H622" s="8" t="s">
        <v>11093</v>
      </c>
      <c r="I622" s="8" t="s">
        <v>11094</v>
      </c>
      <c r="J622" s="12"/>
      <c r="K622" s="8" t="s">
        <v>7804</v>
      </c>
      <c r="L622" s="8">
        <v>35.0</v>
      </c>
      <c r="M622" s="8" t="s">
        <v>11095</v>
      </c>
      <c r="N622" s="12"/>
      <c r="O622" s="8" t="s">
        <v>11096</v>
      </c>
      <c r="P622" s="28" t="s">
        <v>11097</v>
      </c>
    </row>
    <row r="623">
      <c r="A623" s="28"/>
      <c r="B623" s="12"/>
      <c r="C623" s="12"/>
      <c r="D623" s="12"/>
      <c r="E623" s="12"/>
      <c r="F623" s="12"/>
      <c r="G623" s="12" t="b">
        <v>0</v>
      </c>
      <c r="H623" s="8" t="s">
        <v>4405</v>
      </c>
      <c r="I623" s="8" t="s">
        <v>11098</v>
      </c>
      <c r="J623" s="12"/>
      <c r="K623" s="8" t="s">
        <v>7722</v>
      </c>
      <c r="L623" s="8">
        <v>50.0</v>
      </c>
      <c r="M623" s="8" t="s">
        <v>11099</v>
      </c>
      <c r="N623" s="12"/>
      <c r="O623" s="8" t="s">
        <v>8661</v>
      </c>
      <c r="P623" s="28" t="s">
        <v>11100</v>
      </c>
    </row>
    <row r="624">
      <c r="A624" s="28"/>
      <c r="B624" s="12"/>
      <c r="C624" s="12"/>
      <c r="D624" s="12"/>
      <c r="E624" s="12"/>
      <c r="F624" s="12"/>
      <c r="G624" s="12" t="b">
        <v>0</v>
      </c>
      <c r="H624" s="8" t="s">
        <v>11101</v>
      </c>
      <c r="I624" s="8" t="s">
        <v>11102</v>
      </c>
      <c r="J624" s="12"/>
      <c r="K624" s="8" t="s">
        <v>8000</v>
      </c>
      <c r="L624" s="8">
        <v>65.0</v>
      </c>
      <c r="M624" s="8" t="s">
        <v>11103</v>
      </c>
      <c r="N624" s="12"/>
      <c r="O624" s="8" t="s">
        <v>11104</v>
      </c>
      <c r="P624" s="28" t="s">
        <v>11105</v>
      </c>
    </row>
    <row r="625">
      <c r="A625" s="28"/>
      <c r="B625" s="12"/>
      <c r="C625" s="12"/>
      <c r="D625" s="12"/>
      <c r="E625" s="12"/>
      <c r="F625" s="12"/>
      <c r="G625" s="12" t="b">
        <v>0</v>
      </c>
      <c r="H625" s="8" t="s">
        <v>11106</v>
      </c>
      <c r="I625" s="8" t="s">
        <v>11107</v>
      </c>
      <c r="J625" s="12"/>
      <c r="K625" s="8" t="s">
        <v>8285</v>
      </c>
      <c r="L625" s="8">
        <v>24.0</v>
      </c>
      <c r="M625" s="8" t="s">
        <v>11108</v>
      </c>
      <c r="N625" s="12"/>
      <c r="O625" s="8" t="s">
        <v>8472</v>
      </c>
      <c r="P625" s="28" t="s">
        <v>11109</v>
      </c>
    </row>
    <row r="626">
      <c r="A626" s="28"/>
      <c r="B626" s="12"/>
      <c r="C626" s="12"/>
      <c r="D626" s="12"/>
      <c r="E626" s="12"/>
      <c r="F626" s="12"/>
      <c r="G626" s="12" t="b">
        <v>0</v>
      </c>
      <c r="H626" s="8" t="s">
        <v>11110</v>
      </c>
      <c r="I626" s="8" t="s">
        <v>11111</v>
      </c>
      <c r="J626" s="12"/>
      <c r="K626" s="8" t="s">
        <v>7722</v>
      </c>
      <c r="L626" s="8">
        <v>11.0</v>
      </c>
      <c r="M626" s="8" t="s">
        <v>1295</v>
      </c>
      <c r="N626" s="12"/>
      <c r="O626" s="12"/>
      <c r="P626" s="12"/>
    </row>
    <row r="627">
      <c r="A627" s="28"/>
      <c r="B627" s="12"/>
      <c r="C627" s="12"/>
      <c r="D627" s="12"/>
      <c r="E627" s="12"/>
      <c r="F627" s="12"/>
      <c r="G627" s="12" t="b">
        <v>0</v>
      </c>
      <c r="H627" s="8" t="s">
        <v>11112</v>
      </c>
      <c r="I627" s="8" t="s">
        <v>11113</v>
      </c>
      <c r="J627" s="12"/>
      <c r="K627" s="8" t="s">
        <v>8150</v>
      </c>
      <c r="L627" s="8">
        <v>10.0</v>
      </c>
      <c r="M627" s="8" t="s">
        <v>11114</v>
      </c>
      <c r="N627" s="12"/>
      <c r="O627" s="8" t="s">
        <v>11115</v>
      </c>
      <c r="P627" s="28" t="s">
        <v>11116</v>
      </c>
    </row>
    <row r="628">
      <c r="A628" s="28"/>
      <c r="B628" s="12"/>
      <c r="C628" s="12"/>
      <c r="D628" s="12"/>
      <c r="E628" s="12"/>
      <c r="F628" s="12"/>
      <c r="G628" s="12" t="b">
        <v>0</v>
      </c>
      <c r="H628" s="8" t="s">
        <v>11117</v>
      </c>
      <c r="I628" s="8" t="s">
        <v>11118</v>
      </c>
      <c r="J628" s="12"/>
      <c r="K628" s="8" t="s">
        <v>11119</v>
      </c>
      <c r="L628" s="8">
        <v>25.0</v>
      </c>
      <c r="M628" s="8" t="s">
        <v>11120</v>
      </c>
      <c r="N628" s="12"/>
      <c r="O628" s="8" t="s">
        <v>11121</v>
      </c>
      <c r="P628" s="28" t="s">
        <v>11122</v>
      </c>
    </row>
    <row r="629">
      <c r="A629" s="28"/>
      <c r="B629" s="12"/>
      <c r="C629" s="12"/>
      <c r="D629" s="12"/>
      <c r="E629" s="12"/>
      <c r="F629" s="12"/>
      <c r="G629" s="12" t="b">
        <v>0</v>
      </c>
      <c r="H629" s="8" t="s">
        <v>11123</v>
      </c>
      <c r="I629" s="8" t="s">
        <v>11124</v>
      </c>
      <c r="J629" s="12"/>
      <c r="K629" s="8" t="s">
        <v>11125</v>
      </c>
      <c r="L629" s="8">
        <v>24.0</v>
      </c>
      <c r="M629" s="8" t="s">
        <v>11126</v>
      </c>
      <c r="N629" s="12"/>
      <c r="O629" s="8" t="s">
        <v>7733</v>
      </c>
      <c r="P629" s="28" t="s">
        <v>11127</v>
      </c>
    </row>
    <row r="630">
      <c r="A630" s="28"/>
      <c r="B630" s="12"/>
      <c r="C630" s="12"/>
      <c r="D630" s="12"/>
      <c r="E630" s="12"/>
      <c r="F630" s="12"/>
      <c r="G630" s="12" t="b">
        <v>0</v>
      </c>
      <c r="H630" s="8" t="s">
        <v>11128</v>
      </c>
      <c r="I630" s="8" t="s">
        <v>11129</v>
      </c>
      <c r="J630" s="12"/>
      <c r="K630" s="8" t="s">
        <v>11130</v>
      </c>
      <c r="L630" s="8">
        <v>50.0</v>
      </c>
      <c r="M630" s="8" t="s">
        <v>1295</v>
      </c>
      <c r="N630" s="12"/>
      <c r="O630" s="12"/>
      <c r="P630" s="28" t="s">
        <v>11131</v>
      </c>
    </row>
    <row r="631">
      <c r="A631" s="28"/>
      <c r="B631" s="12"/>
      <c r="C631" s="12"/>
      <c r="D631" s="12"/>
      <c r="E631" s="12"/>
      <c r="F631" s="12"/>
      <c r="G631" s="12" t="b">
        <v>0</v>
      </c>
      <c r="H631" s="8" t="s">
        <v>1495</v>
      </c>
      <c r="I631" s="8" t="s">
        <v>11132</v>
      </c>
      <c r="J631" s="12"/>
      <c r="K631" s="8" t="s">
        <v>7903</v>
      </c>
      <c r="L631" s="8">
        <v>60.0</v>
      </c>
      <c r="M631" s="8" t="s">
        <v>11133</v>
      </c>
      <c r="N631" s="12"/>
      <c r="O631" s="8" t="s">
        <v>11134</v>
      </c>
      <c r="P631" s="28" t="s">
        <v>11135</v>
      </c>
    </row>
    <row r="632">
      <c r="A632" s="28"/>
      <c r="B632" s="12"/>
      <c r="C632" s="12"/>
      <c r="D632" s="12"/>
      <c r="E632" s="12"/>
      <c r="F632" s="12"/>
      <c r="G632" s="12" t="b">
        <v>0</v>
      </c>
      <c r="H632" s="28" t="s">
        <v>11136</v>
      </c>
      <c r="I632" s="8" t="s">
        <v>11137</v>
      </c>
      <c r="J632" s="12"/>
      <c r="K632" s="8" t="s">
        <v>10568</v>
      </c>
      <c r="L632" s="8">
        <v>35.0</v>
      </c>
      <c r="M632" s="8" t="s">
        <v>11138</v>
      </c>
      <c r="N632" s="8" t="s">
        <v>11139</v>
      </c>
      <c r="O632" s="8" t="s">
        <v>11140</v>
      </c>
      <c r="P632" s="28" t="s">
        <v>11141</v>
      </c>
    </row>
    <row r="633">
      <c r="A633" s="28"/>
      <c r="B633" s="12"/>
      <c r="C633" s="12"/>
      <c r="D633" s="12"/>
      <c r="E633" s="12"/>
      <c r="F633" s="12"/>
      <c r="G633" s="12" t="b">
        <v>0</v>
      </c>
      <c r="H633" s="8" t="s">
        <v>11142</v>
      </c>
      <c r="I633" s="8" t="s">
        <v>11143</v>
      </c>
      <c r="J633" s="12"/>
      <c r="K633" s="8" t="s">
        <v>7722</v>
      </c>
      <c r="L633" s="8">
        <v>76.0</v>
      </c>
      <c r="M633" s="8" t="s">
        <v>1295</v>
      </c>
      <c r="N633" s="12"/>
      <c r="O633" s="12"/>
      <c r="P633" s="28" t="s">
        <v>11144</v>
      </c>
    </row>
    <row r="634">
      <c r="A634" s="28"/>
      <c r="B634" s="12"/>
      <c r="C634" s="12"/>
      <c r="D634" s="12"/>
      <c r="E634" s="12"/>
      <c r="F634" s="12"/>
      <c r="G634" s="12" t="b">
        <v>0</v>
      </c>
      <c r="H634" s="8" t="s">
        <v>11145</v>
      </c>
      <c r="I634" s="8" t="s">
        <v>11146</v>
      </c>
      <c r="J634" s="12"/>
      <c r="K634" s="8" t="s">
        <v>7722</v>
      </c>
      <c r="L634" s="8">
        <v>10.0</v>
      </c>
      <c r="M634" s="8" t="s">
        <v>11147</v>
      </c>
      <c r="N634" s="12"/>
      <c r="O634" s="8" t="s">
        <v>11148</v>
      </c>
      <c r="P634" s="28" t="s">
        <v>11149</v>
      </c>
    </row>
    <row r="635">
      <c r="A635" s="28"/>
      <c r="B635" s="12"/>
      <c r="C635" s="12"/>
      <c r="D635" s="12"/>
      <c r="E635" s="12"/>
      <c r="F635" s="12"/>
      <c r="G635" s="12" t="b">
        <v>0</v>
      </c>
      <c r="H635" s="8" t="s">
        <v>11150</v>
      </c>
      <c r="I635" s="8" t="s">
        <v>11151</v>
      </c>
      <c r="J635" s="12"/>
      <c r="K635" s="8" t="s">
        <v>7722</v>
      </c>
      <c r="L635" s="8">
        <v>12.0</v>
      </c>
      <c r="M635" s="8" t="s">
        <v>11152</v>
      </c>
      <c r="N635" s="8" t="s">
        <v>11153</v>
      </c>
      <c r="O635" s="8" t="s">
        <v>11154</v>
      </c>
      <c r="P635" s="28" t="s">
        <v>11155</v>
      </c>
    </row>
    <row r="636">
      <c r="A636" s="28"/>
      <c r="B636" s="12"/>
      <c r="C636" s="12"/>
      <c r="D636" s="12"/>
      <c r="E636" s="12"/>
      <c r="F636" s="12"/>
      <c r="G636" s="12" t="b">
        <v>0</v>
      </c>
      <c r="H636" s="8" t="s">
        <v>11156</v>
      </c>
      <c r="I636" s="8" t="s">
        <v>11157</v>
      </c>
      <c r="J636" s="12"/>
      <c r="K636" s="8" t="s">
        <v>8412</v>
      </c>
      <c r="L636" s="8">
        <v>13.0</v>
      </c>
      <c r="M636" s="8" t="s">
        <v>11158</v>
      </c>
      <c r="N636" s="12"/>
      <c r="O636" s="8" t="s">
        <v>11159</v>
      </c>
      <c r="P636" s="28" t="s">
        <v>11160</v>
      </c>
    </row>
    <row r="637">
      <c r="A637" s="28"/>
      <c r="B637" s="12"/>
      <c r="C637" s="12"/>
      <c r="D637" s="12"/>
      <c r="E637" s="12"/>
      <c r="F637" s="12"/>
      <c r="G637" s="12" t="b">
        <v>0</v>
      </c>
      <c r="H637" s="8" t="s">
        <v>11161</v>
      </c>
      <c r="I637" s="8" t="s">
        <v>11162</v>
      </c>
      <c r="J637" s="12"/>
      <c r="K637" s="8" t="s">
        <v>7722</v>
      </c>
      <c r="L637" s="8">
        <v>14.0</v>
      </c>
      <c r="M637" s="8" t="s">
        <v>11163</v>
      </c>
      <c r="N637" s="8" t="s">
        <v>11164</v>
      </c>
      <c r="O637" s="8" t="s">
        <v>11165</v>
      </c>
      <c r="P637" s="28" t="s">
        <v>11166</v>
      </c>
    </row>
    <row r="638">
      <c r="A638" s="28"/>
      <c r="B638" s="12"/>
      <c r="C638" s="12"/>
      <c r="D638" s="12"/>
      <c r="E638" s="12"/>
      <c r="F638" s="12"/>
      <c r="G638" s="12" t="b">
        <v>0</v>
      </c>
      <c r="H638" s="8" t="s">
        <v>11167</v>
      </c>
      <c r="I638" s="8" t="s">
        <v>11168</v>
      </c>
      <c r="J638" s="12"/>
      <c r="K638" s="8" t="s">
        <v>7722</v>
      </c>
      <c r="L638" s="8">
        <v>10.0</v>
      </c>
      <c r="M638" s="8" t="s">
        <v>11169</v>
      </c>
      <c r="N638" s="8" t="s">
        <v>11170</v>
      </c>
      <c r="O638" s="8" t="s">
        <v>8767</v>
      </c>
      <c r="P638" s="28" t="s">
        <v>11171</v>
      </c>
    </row>
    <row r="639">
      <c r="A639" s="28"/>
      <c r="B639" s="12"/>
      <c r="C639" s="12"/>
      <c r="D639" s="12"/>
      <c r="E639" s="12"/>
      <c r="F639" s="12"/>
      <c r="G639" s="12" t="b">
        <v>0</v>
      </c>
      <c r="H639" s="8" t="s">
        <v>3747</v>
      </c>
      <c r="I639" s="8" t="s">
        <v>11172</v>
      </c>
      <c r="J639" s="12"/>
      <c r="K639" s="8" t="s">
        <v>7722</v>
      </c>
      <c r="L639" s="8">
        <v>30.0</v>
      </c>
      <c r="M639" s="8" t="s">
        <v>11173</v>
      </c>
      <c r="N639" s="8" t="s">
        <v>11174</v>
      </c>
      <c r="O639" s="8" t="s">
        <v>11175</v>
      </c>
      <c r="P639" s="28" t="s">
        <v>11176</v>
      </c>
    </row>
    <row r="640">
      <c r="A640" s="28"/>
      <c r="B640" s="12"/>
      <c r="C640" s="12"/>
      <c r="D640" s="12"/>
      <c r="E640" s="12"/>
      <c r="F640" s="12"/>
      <c r="G640" s="12" t="b">
        <v>0</v>
      </c>
      <c r="H640" s="8" t="s">
        <v>11177</v>
      </c>
      <c r="I640" s="8" t="s">
        <v>11178</v>
      </c>
      <c r="J640" s="12"/>
      <c r="K640" s="8" t="s">
        <v>7722</v>
      </c>
      <c r="L640" s="8">
        <v>11.0</v>
      </c>
      <c r="M640" s="8" t="s">
        <v>11179</v>
      </c>
      <c r="N640" s="12"/>
      <c r="O640" s="8" t="s">
        <v>11180</v>
      </c>
      <c r="P640" s="28" t="s">
        <v>11181</v>
      </c>
    </row>
    <row r="641">
      <c r="A641" s="28"/>
      <c r="B641" s="12"/>
      <c r="C641" s="12"/>
      <c r="D641" s="12"/>
      <c r="E641" s="12"/>
      <c r="F641" s="12"/>
      <c r="G641" s="12" t="b">
        <v>0</v>
      </c>
      <c r="H641" s="8" t="s">
        <v>11182</v>
      </c>
      <c r="I641" s="8" t="s">
        <v>11183</v>
      </c>
      <c r="J641" s="12"/>
      <c r="K641" s="8" t="s">
        <v>8041</v>
      </c>
      <c r="L641" s="8">
        <v>11.0</v>
      </c>
      <c r="M641" s="8" t="s">
        <v>1295</v>
      </c>
      <c r="N641" s="12"/>
      <c r="O641" s="12"/>
      <c r="P641" s="28" t="s">
        <v>11184</v>
      </c>
    </row>
    <row r="642">
      <c r="A642" s="28"/>
      <c r="B642" s="12"/>
      <c r="C642" s="12"/>
      <c r="D642" s="12"/>
      <c r="E642" s="12"/>
      <c r="F642" s="12"/>
      <c r="G642" s="12" t="b">
        <v>0</v>
      </c>
      <c r="H642" s="8" t="s">
        <v>11185</v>
      </c>
      <c r="I642" s="8" t="s">
        <v>11186</v>
      </c>
      <c r="J642" s="12"/>
      <c r="K642" s="8" t="s">
        <v>8271</v>
      </c>
      <c r="L642" s="8">
        <v>10.0</v>
      </c>
      <c r="M642" s="8" t="s">
        <v>11187</v>
      </c>
      <c r="N642" s="8" t="s">
        <v>11188</v>
      </c>
      <c r="O642" s="8" t="s">
        <v>10677</v>
      </c>
      <c r="P642" s="28" t="s">
        <v>11189</v>
      </c>
    </row>
    <row r="643">
      <c r="A643" s="28"/>
      <c r="B643" s="12"/>
      <c r="C643" s="12"/>
      <c r="D643" s="12"/>
      <c r="E643" s="12"/>
      <c r="F643" s="12"/>
      <c r="G643" s="12" t="b">
        <v>0</v>
      </c>
      <c r="H643" s="8" t="s">
        <v>11190</v>
      </c>
      <c r="I643" s="8" t="s">
        <v>11191</v>
      </c>
      <c r="J643" s="12"/>
      <c r="K643" s="8" t="s">
        <v>7722</v>
      </c>
      <c r="L643" s="8">
        <v>11.0</v>
      </c>
      <c r="M643" s="8" t="s">
        <v>11192</v>
      </c>
      <c r="N643" s="12"/>
      <c r="O643" s="8" t="s">
        <v>8928</v>
      </c>
      <c r="P643" s="12"/>
    </row>
    <row r="644">
      <c r="A644" s="28"/>
      <c r="B644" s="12"/>
      <c r="C644" s="12"/>
      <c r="D644" s="12"/>
      <c r="E644" s="12"/>
      <c r="F644" s="12"/>
      <c r="G644" s="12" t="b">
        <v>0</v>
      </c>
      <c r="H644" s="8" t="s">
        <v>11193</v>
      </c>
      <c r="I644" s="8" t="s">
        <v>11194</v>
      </c>
      <c r="J644" s="12"/>
      <c r="K644" s="8" t="s">
        <v>7722</v>
      </c>
      <c r="L644" s="8">
        <v>12.0</v>
      </c>
      <c r="M644" s="8" t="s">
        <v>11195</v>
      </c>
      <c r="N644" s="8" t="s">
        <v>11196</v>
      </c>
      <c r="O644" s="8" t="s">
        <v>11197</v>
      </c>
      <c r="P644" s="28" t="s">
        <v>11198</v>
      </c>
    </row>
    <row r="645">
      <c r="A645" s="28"/>
      <c r="B645" s="12"/>
      <c r="C645" s="12"/>
      <c r="D645" s="12"/>
      <c r="E645" s="12"/>
      <c r="F645" s="12"/>
      <c r="G645" s="12" t="b">
        <v>0</v>
      </c>
      <c r="H645" s="8" t="s">
        <v>11199</v>
      </c>
      <c r="I645" s="8" t="s">
        <v>11200</v>
      </c>
      <c r="J645" s="12"/>
      <c r="K645" s="8" t="s">
        <v>7722</v>
      </c>
      <c r="L645" s="8">
        <v>11.0</v>
      </c>
      <c r="M645" s="8" t="s">
        <v>1295</v>
      </c>
      <c r="N645" s="12"/>
      <c r="O645" s="12"/>
      <c r="P645" s="28" t="s">
        <v>11201</v>
      </c>
    </row>
    <row r="646">
      <c r="A646" s="28"/>
      <c r="B646" s="12"/>
      <c r="C646" s="12"/>
      <c r="D646" s="12"/>
      <c r="E646" s="12"/>
      <c r="F646" s="12"/>
      <c r="G646" s="12" t="b">
        <v>0</v>
      </c>
      <c r="H646" s="8" t="s">
        <v>11202</v>
      </c>
      <c r="I646" s="8" t="s">
        <v>11203</v>
      </c>
      <c r="J646" s="12"/>
      <c r="K646" s="8" t="s">
        <v>9865</v>
      </c>
      <c r="L646" s="8">
        <v>60.0</v>
      </c>
      <c r="M646" s="8" t="s">
        <v>11204</v>
      </c>
      <c r="N646" s="12"/>
      <c r="O646" s="8" t="s">
        <v>7962</v>
      </c>
      <c r="P646" s="28" t="s">
        <v>11205</v>
      </c>
    </row>
    <row r="647">
      <c r="A647" s="28"/>
      <c r="B647" s="12"/>
      <c r="C647" s="12"/>
      <c r="D647" s="12"/>
      <c r="E647" s="12"/>
      <c r="F647" s="12"/>
      <c r="G647" s="12" t="b">
        <v>0</v>
      </c>
      <c r="H647" s="8" t="s">
        <v>11206</v>
      </c>
      <c r="I647" s="8" t="s">
        <v>11207</v>
      </c>
      <c r="J647" s="12"/>
      <c r="K647" s="8" t="s">
        <v>7722</v>
      </c>
      <c r="L647" s="8">
        <v>30.0</v>
      </c>
      <c r="M647" s="8" t="s">
        <v>11208</v>
      </c>
      <c r="N647" s="12"/>
      <c r="O647" s="8" t="s">
        <v>8127</v>
      </c>
      <c r="P647" s="28" t="s">
        <v>11209</v>
      </c>
    </row>
    <row r="648">
      <c r="A648" s="28"/>
      <c r="B648" s="12"/>
      <c r="C648" s="12"/>
      <c r="D648" s="12"/>
      <c r="E648" s="12"/>
      <c r="F648" s="12"/>
      <c r="G648" s="12" t="b">
        <v>0</v>
      </c>
      <c r="H648" s="8" t="s">
        <v>6841</v>
      </c>
      <c r="I648" s="8" t="s">
        <v>11210</v>
      </c>
      <c r="J648" s="12"/>
      <c r="K648" s="8" t="s">
        <v>7804</v>
      </c>
      <c r="L648" s="8">
        <v>44.0</v>
      </c>
      <c r="M648" s="8" t="s">
        <v>11211</v>
      </c>
      <c r="N648" s="12"/>
      <c r="O648" s="8" t="s">
        <v>11212</v>
      </c>
      <c r="P648" s="28" t="s">
        <v>11213</v>
      </c>
    </row>
    <row r="649">
      <c r="A649" s="28"/>
      <c r="B649" s="12"/>
      <c r="C649" s="12"/>
      <c r="D649" s="12"/>
      <c r="E649" s="12"/>
      <c r="F649" s="12"/>
      <c r="G649" s="12" t="b">
        <v>0</v>
      </c>
      <c r="H649" s="8" t="s">
        <v>11214</v>
      </c>
      <c r="I649" s="8" t="s">
        <v>11215</v>
      </c>
      <c r="J649" s="12"/>
      <c r="K649" s="8" t="s">
        <v>11216</v>
      </c>
      <c r="L649" s="8">
        <v>14.0</v>
      </c>
      <c r="M649" s="8" t="s">
        <v>11217</v>
      </c>
      <c r="N649" s="12"/>
      <c r="O649" s="8" t="s">
        <v>11218</v>
      </c>
      <c r="P649" s="28" t="s">
        <v>11219</v>
      </c>
    </row>
    <row r="650">
      <c r="A650" s="28"/>
      <c r="B650" s="12"/>
      <c r="C650" s="12"/>
      <c r="D650" s="12"/>
      <c r="E650" s="12"/>
      <c r="F650" s="12"/>
      <c r="G650" s="12" t="b">
        <v>0</v>
      </c>
      <c r="H650" s="8" t="s">
        <v>11220</v>
      </c>
      <c r="I650" s="8" t="s">
        <v>11221</v>
      </c>
      <c r="J650" s="12"/>
      <c r="K650" s="8" t="s">
        <v>8728</v>
      </c>
      <c r="L650" s="8">
        <v>46.0</v>
      </c>
      <c r="M650" s="8" t="s">
        <v>11222</v>
      </c>
      <c r="N650" s="12"/>
      <c r="O650" s="8" t="s">
        <v>11223</v>
      </c>
      <c r="P650" s="28" t="s">
        <v>11224</v>
      </c>
    </row>
    <row r="651">
      <c r="A651" s="28"/>
      <c r="B651" s="12"/>
      <c r="C651" s="12"/>
      <c r="D651" s="12"/>
      <c r="E651" s="12"/>
      <c r="F651" s="12"/>
      <c r="G651" s="12" t="b">
        <v>0</v>
      </c>
      <c r="H651" s="8" t="s">
        <v>11225</v>
      </c>
      <c r="I651" s="8" t="s">
        <v>11226</v>
      </c>
      <c r="J651" s="12"/>
      <c r="K651" s="12"/>
      <c r="L651" s="8">
        <v>32.0</v>
      </c>
      <c r="M651" s="8" t="s">
        <v>1295</v>
      </c>
      <c r="N651" s="12"/>
      <c r="O651" s="12"/>
      <c r="P651" s="28" t="s">
        <v>11227</v>
      </c>
    </row>
    <row r="652">
      <c r="A652" s="28"/>
      <c r="B652" s="12"/>
      <c r="C652" s="12"/>
      <c r="D652" s="12"/>
      <c r="E652" s="12"/>
      <c r="F652" s="12"/>
      <c r="G652" s="12" t="b">
        <v>0</v>
      </c>
      <c r="H652" s="8" t="s">
        <v>11228</v>
      </c>
      <c r="I652" s="8" t="s">
        <v>11229</v>
      </c>
      <c r="J652" s="12"/>
      <c r="K652" s="8" t="s">
        <v>8141</v>
      </c>
      <c r="L652" s="8">
        <v>25.0</v>
      </c>
      <c r="M652" s="8" t="s">
        <v>11230</v>
      </c>
      <c r="N652" s="8" t="s">
        <v>11231</v>
      </c>
      <c r="O652" s="8" t="s">
        <v>11232</v>
      </c>
      <c r="P652" s="28" t="s">
        <v>11233</v>
      </c>
    </row>
    <row r="653">
      <c r="A653" s="28"/>
      <c r="B653" s="12"/>
      <c r="C653" s="12"/>
      <c r="D653" s="12"/>
      <c r="E653" s="12"/>
      <c r="F653" s="12"/>
      <c r="G653" s="12" t="b">
        <v>0</v>
      </c>
      <c r="H653" s="8" t="s">
        <v>11234</v>
      </c>
      <c r="I653" s="8" t="s">
        <v>11235</v>
      </c>
      <c r="J653" s="12"/>
      <c r="K653" s="8" t="s">
        <v>7722</v>
      </c>
      <c r="L653" s="8">
        <v>53.0</v>
      </c>
      <c r="M653" s="8" t="s">
        <v>11236</v>
      </c>
      <c r="N653" s="12"/>
      <c r="O653" s="8" t="s">
        <v>11237</v>
      </c>
      <c r="P653" s="28" t="s">
        <v>11238</v>
      </c>
    </row>
    <row r="654">
      <c r="A654" s="28"/>
      <c r="B654" s="12"/>
      <c r="C654" s="12"/>
      <c r="D654" s="12"/>
      <c r="E654" s="12"/>
      <c r="F654" s="12"/>
      <c r="G654" s="12" t="b">
        <v>0</v>
      </c>
      <c r="H654" s="8" t="s">
        <v>11239</v>
      </c>
      <c r="I654" s="8" t="s">
        <v>11240</v>
      </c>
      <c r="J654" s="12"/>
      <c r="K654" s="8" t="s">
        <v>7804</v>
      </c>
      <c r="L654" s="8">
        <v>60.0</v>
      </c>
      <c r="M654" s="8" t="s">
        <v>11241</v>
      </c>
      <c r="N654" s="12"/>
      <c r="O654" s="8" t="s">
        <v>7872</v>
      </c>
      <c r="P654" s="28" t="s">
        <v>11242</v>
      </c>
    </row>
    <row r="655">
      <c r="A655" s="28"/>
      <c r="B655" s="12"/>
      <c r="C655" s="12"/>
      <c r="D655" s="12"/>
      <c r="E655" s="12"/>
      <c r="F655" s="12"/>
      <c r="G655" s="12" t="b">
        <v>0</v>
      </c>
      <c r="H655" s="8" t="s">
        <v>11243</v>
      </c>
      <c r="I655" s="8" t="s">
        <v>11244</v>
      </c>
      <c r="J655" s="12"/>
      <c r="K655" s="8" t="s">
        <v>11245</v>
      </c>
      <c r="L655" s="8">
        <v>25.0</v>
      </c>
      <c r="M655" s="8" t="s">
        <v>11246</v>
      </c>
      <c r="N655" s="12"/>
      <c r="O655" s="8" t="s">
        <v>11247</v>
      </c>
      <c r="P655" s="28" t="s">
        <v>11248</v>
      </c>
    </row>
    <row r="656">
      <c r="A656" s="28"/>
      <c r="B656" s="12"/>
      <c r="C656" s="12"/>
      <c r="D656" s="12"/>
      <c r="E656" s="12"/>
      <c r="F656" s="12"/>
      <c r="G656" s="12" t="b">
        <v>0</v>
      </c>
      <c r="H656" s="8" t="s">
        <v>11249</v>
      </c>
      <c r="I656" s="8" t="s">
        <v>11250</v>
      </c>
      <c r="J656" s="12"/>
      <c r="K656" s="8" t="s">
        <v>7804</v>
      </c>
      <c r="L656" s="8">
        <v>12.0</v>
      </c>
      <c r="M656" s="8" t="s">
        <v>1295</v>
      </c>
      <c r="N656" s="12"/>
      <c r="O656" s="12"/>
      <c r="P656" s="28" t="s">
        <v>11251</v>
      </c>
    </row>
    <row r="657">
      <c r="A657" s="28"/>
      <c r="B657" s="12"/>
      <c r="C657" s="12"/>
      <c r="D657" s="12"/>
      <c r="E657" s="12"/>
      <c r="F657" s="12"/>
      <c r="G657" s="12" t="b">
        <v>0</v>
      </c>
      <c r="H657" s="8" t="s">
        <v>11252</v>
      </c>
      <c r="I657" s="8" t="s">
        <v>11253</v>
      </c>
      <c r="J657" s="12"/>
      <c r="K657" s="8" t="s">
        <v>8317</v>
      </c>
      <c r="L657" s="8">
        <v>11.0</v>
      </c>
      <c r="M657" s="8" t="s">
        <v>1295</v>
      </c>
      <c r="N657" s="12"/>
      <c r="O657" s="12"/>
      <c r="P657" s="12"/>
    </row>
    <row r="658">
      <c r="A658" s="28"/>
      <c r="B658" s="12"/>
      <c r="C658" s="12"/>
      <c r="D658" s="12"/>
      <c r="E658" s="12"/>
      <c r="F658" s="12"/>
      <c r="G658" s="12" t="b">
        <v>0</v>
      </c>
      <c r="H658" s="8" t="s">
        <v>11254</v>
      </c>
      <c r="I658" s="8" t="s">
        <v>11255</v>
      </c>
      <c r="J658" s="12"/>
      <c r="K658" s="8" t="s">
        <v>8133</v>
      </c>
      <c r="L658" s="8">
        <v>10.0</v>
      </c>
      <c r="M658" s="8" t="s">
        <v>1295</v>
      </c>
      <c r="N658" s="8" t="s">
        <v>11256</v>
      </c>
      <c r="O658" s="12"/>
      <c r="P658" s="12"/>
    </row>
    <row r="659">
      <c r="A659" s="28"/>
      <c r="B659" s="12"/>
      <c r="C659" s="12"/>
      <c r="D659" s="12"/>
      <c r="E659" s="12"/>
      <c r="F659" s="12"/>
      <c r="G659" s="12" t="b">
        <v>0</v>
      </c>
      <c r="H659" s="8" t="s">
        <v>11257</v>
      </c>
      <c r="I659" s="8" t="s">
        <v>11258</v>
      </c>
      <c r="J659" s="12"/>
      <c r="K659" s="8" t="s">
        <v>11259</v>
      </c>
      <c r="L659" s="8">
        <v>12.0</v>
      </c>
      <c r="M659" s="8" t="s">
        <v>1295</v>
      </c>
      <c r="N659" s="12"/>
      <c r="O659" s="12"/>
      <c r="P659" s="28" t="s">
        <v>11260</v>
      </c>
    </row>
    <row r="660">
      <c r="A660" s="28"/>
      <c r="B660" s="12"/>
      <c r="C660" s="12"/>
      <c r="D660" s="12"/>
      <c r="E660" s="12"/>
      <c r="F660" s="12"/>
      <c r="G660" s="12" t="b">
        <v>0</v>
      </c>
      <c r="H660" s="8" t="s">
        <v>11261</v>
      </c>
      <c r="I660" s="8" t="s">
        <v>11262</v>
      </c>
      <c r="J660" s="12"/>
      <c r="K660" s="8" t="s">
        <v>7722</v>
      </c>
      <c r="L660" s="8">
        <v>40.0</v>
      </c>
      <c r="M660" s="8" t="s">
        <v>11263</v>
      </c>
      <c r="N660" s="12"/>
      <c r="O660" s="8" t="s">
        <v>11264</v>
      </c>
      <c r="P660" s="28" t="s">
        <v>11265</v>
      </c>
    </row>
    <row r="661">
      <c r="A661" s="28"/>
      <c r="B661" s="12"/>
      <c r="C661" s="12"/>
      <c r="D661" s="12"/>
      <c r="E661" s="12"/>
      <c r="F661" s="12"/>
      <c r="G661" s="12" t="b">
        <v>0</v>
      </c>
      <c r="H661" s="8" t="s">
        <v>11266</v>
      </c>
      <c r="I661" s="8" t="s">
        <v>11267</v>
      </c>
      <c r="J661" s="12"/>
      <c r="K661" s="12"/>
      <c r="L661" s="8">
        <v>16.0</v>
      </c>
      <c r="M661" s="8" t="s">
        <v>11268</v>
      </c>
      <c r="N661" s="12"/>
      <c r="O661" s="8" t="s">
        <v>11269</v>
      </c>
      <c r="P661" s="28" t="s">
        <v>11270</v>
      </c>
    </row>
    <row r="662">
      <c r="A662" s="28"/>
      <c r="B662" s="12"/>
      <c r="C662" s="12"/>
      <c r="D662" s="12"/>
      <c r="E662" s="12"/>
      <c r="F662" s="12"/>
      <c r="G662" s="12" t="b">
        <v>0</v>
      </c>
      <c r="H662" s="8" t="s">
        <v>11271</v>
      </c>
      <c r="I662" s="8" t="s">
        <v>11272</v>
      </c>
      <c r="J662" s="12"/>
      <c r="K662" s="8" t="s">
        <v>8192</v>
      </c>
      <c r="L662" s="8">
        <v>35.0</v>
      </c>
      <c r="M662" s="8" t="s">
        <v>11273</v>
      </c>
      <c r="N662" s="12"/>
      <c r="O662" s="8" t="s">
        <v>10989</v>
      </c>
      <c r="P662" s="28" t="s">
        <v>11274</v>
      </c>
    </row>
    <row r="663">
      <c r="A663" s="28"/>
      <c r="B663" s="12"/>
      <c r="C663" s="12"/>
      <c r="D663" s="12"/>
      <c r="E663" s="12"/>
      <c r="F663" s="12"/>
      <c r="G663" s="12" t="b">
        <v>0</v>
      </c>
      <c r="H663" s="8" t="s">
        <v>11275</v>
      </c>
      <c r="I663" s="8" t="s">
        <v>11276</v>
      </c>
      <c r="J663" s="12"/>
      <c r="K663" s="8" t="s">
        <v>7804</v>
      </c>
      <c r="L663" s="8">
        <v>28.0</v>
      </c>
      <c r="M663" s="8" t="s">
        <v>11277</v>
      </c>
      <c r="N663" s="12"/>
      <c r="O663" s="8" t="s">
        <v>8144</v>
      </c>
      <c r="P663" s="28" t="s">
        <v>11278</v>
      </c>
    </row>
    <row r="664">
      <c r="A664" s="28"/>
      <c r="B664" s="12"/>
      <c r="C664" s="12"/>
      <c r="D664" s="12"/>
      <c r="E664" s="12"/>
      <c r="F664" s="12"/>
      <c r="G664" s="12" t="b">
        <v>0</v>
      </c>
      <c r="H664" s="8" t="s">
        <v>11279</v>
      </c>
      <c r="I664" s="8" t="s">
        <v>11280</v>
      </c>
      <c r="J664" s="12"/>
      <c r="K664" s="8" t="s">
        <v>8728</v>
      </c>
      <c r="L664" s="8">
        <v>20.0</v>
      </c>
      <c r="M664" s="8" t="s">
        <v>11281</v>
      </c>
      <c r="N664" s="12"/>
      <c r="O664" s="8" t="s">
        <v>11282</v>
      </c>
      <c r="P664" s="28" t="s">
        <v>11283</v>
      </c>
    </row>
    <row r="665">
      <c r="A665" s="28"/>
      <c r="B665" s="12"/>
      <c r="C665" s="12"/>
      <c r="D665" s="12"/>
      <c r="E665" s="12"/>
      <c r="F665" s="12"/>
      <c r="G665" s="12" t="b">
        <v>0</v>
      </c>
      <c r="H665" s="8" t="s">
        <v>11284</v>
      </c>
      <c r="I665" s="8" t="s">
        <v>11285</v>
      </c>
      <c r="J665" s="12"/>
      <c r="K665" s="8" t="s">
        <v>8304</v>
      </c>
      <c r="L665" s="8">
        <v>10.0</v>
      </c>
      <c r="M665" s="8" t="s">
        <v>11286</v>
      </c>
      <c r="N665" s="12"/>
      <c r="O665" s="8" t="s">
        <v>11287</v>
      </c>
      <c r="P665" s="28" t="s">
        <v>11288</v>
      </c>
    </row>
    <row r="666">
      <c r="A666" s="28"/>
      <c r="B666" s="12"/>
      <c r="C666" s="12"/>
      <c r="D666" s="12"/>
      <c r="E666" s="12"/>
      <c r="F666" s="12"/>
      <c r="G666" s="12" t="b">
        <v>0</v>
      </c>
      <c r="H666" s="8" t="s">
        <v>11289</v>
      </c>
      <c r="I666" s="8" t="s">
        <v>11290</v>
      </c>
      <c r="J666" s="12"/>
      <c r="K666" s="8" t="s">
        <v>9895</v>
      </c>
      <c r="L666" s="8">
        <v>20.0</v>
      </c>
      <c r="M666" s="8" t="s">
        <v>11291</v>
      </c>
      <c r="N666" s="12"/>
      <c r="O666" s="8" t="s">
        <v>8963</v>
      </c>
      <c r="P666" s="28" t="s">
        <v>11292</v>
      </c>
    </row>
    <row r="667">
      <c r="A667" s="28"/>
      <c r="B667" s="12"/>
      <c r="C667" s="12"/>
      <c r="D667" s="12"/>
      <c r="E667" s="12"/>
      <c r="F667" s="12"/>
      <c r="G667" s="12" t="b">
        <v>0</v>
      </c>
      <c r="H667" s="8" t="s">
        <v>11293</v>
      </c>
      <c r="I667" s="8" t="s">
        <v>11294</v>
      </c>
      <c r="J667" s="12"/>
      <c r="K667" s="8" t="s">
        <v>9428</v>
      </c>
      <c r="L667" s="8">
        <v>50.0</v>
      </c>
      <c r="M667" s="8" t="s">
        <v>11295</v>
      </c>
      <c r="N667" s="12"/>
      <c r="O667" s="8" t="s">
        <v>11296</v>
      </c>
      <c r="P667" s="28" t="s">
        <v>11297</v>
      </c>
    </row>
    <row r="668">
      <c r="A668" s="28"/>
      <c r="B668" s="12"/>
      <c r="C668" s="12"/>
      <c r="D668" s="12"/>
      <c r="E668" s="12"/>
      <c r="F668" s="12"/>
      <c r="G668" s="12" t="b">
        <v>0</v>
      </c>
      <c r="H668" s="8" t="s">
        <v>11298</v>
      </c>
      <c r="I668" s="8" t="s">
        <v>11299</v>
      </c>
      <c r="J668" s="12"/>
      <c r="K668" s="12"/>
      <c r="L668" s="8">
        <v>34.0</v>
      </c>
      <c r="M668" s="8" t="s">
        <v>11300</v>
      </c>
      <c r="N668" s="8" t="s">
        <v>11301</v>
      </c>
      <c r="O668" s="8" t="s">
        <v>11302</v>
      </c>
      <c r="P668" s="28" t="s">
        <v>11303</v>
      </c>
    </row>
    <row r="669">
      <c r="A669" s="28"/>
      <c r="B669" s="12"/>
      <c r="C669" s="12"/>
      <c r="D669" s="12"/>
      <c r="E669" s="12"/>
      <c r="F669" s="12"/>
      <c r="G669" s="12" t="b">
        <v>0</v>
      </c>
      <c r="H669" s="8" t="s">
        <v>11304</v>
      </c>
      <c r="I669" s="8" t="s">
        <v>11305</v>
      </c>
      <c r="J669" s="12"/>
      <c r="K669" s="8" t="s">
        <v>7722</v>
      </c>
      <c r="L669" s="8">
        <v>10.0</v>
      </c>
      <c r="M669" s="8" t="s">
        <v>11306</v>
      </c>
      <c r="N669" s="12"/>
      <c r="O669" s="8" t="s">
        <v>8507</v>
      </c>
      <c r="P669" s="28" t="s">
        <v>11307</v>
      </c>
    </row>
    <row r="670">
      <c r="A670" s="28"/>
      <c r="B670" s="12"/>
      <c r="C670" s="12"/>
      <c r="D670" s="12"/>
      <c r="E670" s="12"/>
      <c r="F670" s="12"/>
      <c r="G670" s="12" t="b">
        <v>0</v>
      </c>
      <c r="H670" s="8" t="s">
        <v>11308</v>
      </c>
      <c r="I670" s="8" t="s">
        <v>11309</v>
      </c>
      <c r="J670" s="12"/>
      <c r="K670" s="8" t="s">
        <v>7722</v>
      </c>
      <c r="L670" s="8">
        <v>11.0</v>
      </c>
      <c r="M670" s="8" t="s">
        <v>1295</v>
      </c>
      <c r="N670" s="12"/>
      <c r="O670" s="12"/>
      <c r="P670" s="12"/>
    </row>
    <row r="671">
      <c r="A671" s="28"/>
      <c r="B671" s="12"/>
      <c r="C671" s="12"/>
      <c r="D671" s="12"/>
      <c r="E671" s="12"/>
      <c r="F671" s="12"/>
      <c r="G671" s="12" t="b">
        <v>0</v>
      </c>
      <c r="H671" s="8" t="s">
        <v>11310</v>
      </c>
      <c r="I671" s="8" t="s">
        <v>11311</v>
      </c>
      <c r="J671" s="12"/>
      <c r="K671" s="8" t="s">
        <v>7722</v>
      </c>
      <c r="L671" s="8">
        <v>70.0</v>
      </c>
      <c r="M671" s="8" t="s">
        <v>1295</v>
      </c>
      <c r="N671" s="12"/>
      <c r="O671" s="12"/>
      <c r="P671" s="28" t="s">
        <v>11312</v>
      </c>
    </row>
    <row r="672">
      <c r="A672" s="28"/>
      <c r="B672" s="12"/>
      <c r="C672" s="12"/>
      <c r="D672" s="12"/>
      <c r="E672" s="12"/>
      <c r="F672" s="12"/>
      <c r="G672" s="12" t="b">
        <v>0</v>
      </c>
      <c r="H672" s="8" t="s">
        <v>11313</v>
      </c>
      <c r="I672" s="8" t="s">
        <v>11314</v>
      </c>
      <c r="J672" s="12"/>
      <c r="K672" s="8" t="s">
        <v>7722</v>
      </c>
      <c r="L672" s="8">
        <v>60.0</v>
      </c>
      <c r="M672" s="8" t="s">
        <v>1295</v>
      </c>
      <c r="N672" s="12"/>
      <c r="O672" s="12"/>
      <c r="P672" s="28" t="s">
        <v>11315</v>
      </c>
    </row>
    <row r="673">
      <c r="A673" s="28"/>
      <c r="B673" s="12"/>
      <c r="C673" s="12"/>
      <c r="D673" s="12"/>
      <c r="E673" s="12"/>
      <c r="F673" s="12"/>
      <c r="G673" s="12" t="b">
        <v>0</v>
      </c>
      <c r="H673" s="8" t="s">
        <v>11316</v>
      </c>
      <c r="I673" s="8" t="s">
        <v>11317</v>
      </c>
      <c r="J673" s="12"/>
      <c r="K673" s="8" t="s">
        <v>11318</v>
      </c>
      <c r="L673" s="8">
        <v>80.0</v>
      </c>
      <c r="M673" s="8" t="s">
        <v>1295</v>
      </c>
      <c r="N673" s="12"/>
      <c r="O673" s="12"/>
      <c r="P673" s="28" t="s">
        <v>11319</v>
      </c>
    </row>
    <row r="674">
      <c r="A674" s="28"/>
      <c r="B674" s="12"/>
      <c r="C674" s="12"/>
      <c r="D674" s="12"/>
      <c r="E674" s="12"/>
      <c r="F674" s="12"/>
      <c r="G674" s="12" t="b">
        <v>0</v>
      </c>
      <c r="H674" s="8" t="s">
        <v>11320</v>
      </c>
      <c r="I674" s="8" t="s">
        <v>11321</v>
      </c>
      <c r="J674" s="12"/>
      <c r="K674" s="8" t="s">
        <v>7722</v>
      </c>
      <c r="L674" s="8">
        <v>18.0</v>
      </c>
      <c r="M674" s="8" t="s">
        <v>11322</v>
      </c>
      <c r="N674" s="12"/>
      <c r="O674" s="8" t="s">
        <v>11323</v>
      </c>
      <c r="P674" s="28" t="s">
        <v>11324</v>
      </c>
    </row>
    <row r="675">
      <c r="A675" s="28"/>
      <c r="B675" s="12"/>
      <c r="C675" s="12"/>
      <c r="D675" s="12"/>
      <c r="E675" s="12"/>
      <c r="F675" s="12"/>
      <c r="G675" s="12" t="b">
        <v>0</v>
      </c>
      <c r="H675" s="8" t="s">
        <v>11325</v>
      </c>
      <c r="I675" s="8" t="s">
        <v>11326</v>
      </c>
      <c r="J675" s="12"/>
      <c r="K675" s="8" t="s">
        <v>7722</v>
      </c>
      <c r="L675" s="8">
        <v>18.0</v>
      </c>
      <c r="M675" s="8" t="s">
        <v>11327</v>
      </c>
      <c r="N675" s="8" t="s">
        <v>11328</v>
      </c>
      <c r="O675" s="8" t="s">
        <v>11329</v>
      </c>
      <c r="P675" s="28" t="s">
        <v>11330</v>
      </c>
    </row>
    <row r="676">
      <c r="A676" s="28"/>
      <c r="B676" s="12"/>
      <c r="C676" s="12"/>
      <c r="D676" s="12"/>
      <c r="E676" s="12"/>
      <c r="F676" s="12"/>
      <c r="G676" s="12" t="b">
        <v>0</v>
      </c>
      <c r="H676" s="8" t="s">
        <v>11331</v>
      </c>
      <c r="I676" s="8" t="s">
        <v>11332</v>
      </c>
      <c r="J676" s="12"/>
      <c r="K676" s="8" t="s">
        <v>7722</v>
      </c>
      <c r="L676" s="8">
        <v>11.0</v>
      </c>
      <c r="M676" s="8" t="s">
        <v>11333</v>
      </c>
      <c r="N676" s="12"/>
      <c r="O676" s="8" t="s">
        <v>11334</v>
      </c>
      <c r="P676" s="12"/>
    </row>
    <row r="677">
      <c r="A677" s="28"/>
      <c r="B677" s="12"/>
      <c r="C677" s="12"/>
      <c r="D677" s="12"/>
      <c r="E677" s="12"/>
      <c r="F677" s="12"/>
      <c r="G677" s="12" t="b">
        <v>0</v>
      </c>
      <c r="H677" s="8" t="s">
        <v>11335</v>
      </c>
      <c r="I677" s="8" t="s">
        <v>11336</v>
      </c>
      <c r="J677" s="12"/>
      <c r="K677" s="8" t="s">
        <v>8271</v>
      </c>
      <c r="L677" s="8">
        <v>14.0</v>
      </c>
      <c r="M677" s="8" t="s">
        <v>11337</v>
      </c>
      <c r="N677" s="12"/>
      <c r="O677" s="8" t="s">
        <v>10146</v>
      </c>
      <c r="P677" s="28" t="s">
        <v>11338</v>
      </c>
    </row>
    <row r="678">
      <c r="A678" s="28"/>
      <c r="B678" s="12"/>
      <c r="C678" s="12"/>
      <c r="D678" s="12"/>
      <c r="E678" s="12"/>
      <c r="F678" s="12"/>
      <c r="G678" s="12" t="b">
        <v>0</v>
      </c>
      <c r="H678" s="8" t="s">
        <v>11339</v>
      </c>
      <c r="I678" s="8" t="s">
        <v>11340</v>
      </c>
      <c r="J678" s="12"/>
      <c r="K678" s="8" t="s">
        <v>9561</v>
      </c>
      <c r="L678" s="8">
        <v>15.0</v>
      </c>
      <c r="M678" s="8" t="s">
        <v>11341</v>
      </c>
      <c r="N678" s="12"/>
      <c r="O678" s="8" t="s">
        <v>11342</v>
      </c>
      <c r="P678" s="28" t="s">
        <v>11343</v>
      </c>
    </row>
    <row r="679">
      <c r="A679" s="28"/>
      <c r="B679" s="12"/>
      <c r="C679" s="12"/>
      <c r="D679" s="12"/>
      <c r="E679" s="12"/>
      <c r="F679" s="12"/>
      <c r="G679" s="12" t="b">
        <v>0</v>
      </c>
      <c r="H679" s="8" t="s">
        <v>11344</v>
      </c>
      <c r="I679" s="8" t="s">
        <v>11345</v>
      </c>
      <c r="J679" s="12"/>
      <c r="K679" s="8" t="s">
        <v>11346</v>
      </c>
      <c r="L679" s="8">
        <v>12.0</v>
      </c>
      <c r="M679" s="8" t="s">
        <v>11347</v>
      </c>
      <c r="N679" s="8" t="s">
        <v>11348</v>
      </c>
      <c r="O679" s="8" t="s">
        <v>8529</v>
      </c>
      <c r="P679" s="28" t="s">
        <v>11349</v>
      </c>
    </row>
    <row r="680">
      <c r="A680" s="28"/>
      <c r="B680" s="12"/>
      <c r="C680" s="12"/>
      <c r="D680" s="12"/>
      <c r="E680" s="12"/>
      <c r="F680" s="12"/>
      <c r="G680" s="12" t="b">
        <v>0</v>
      </c>
      <c r="H680" s="8" t="s">
        <v>11350</v>
      </c>
      <c r="I680" s="8" t="s">
        <v>11351</v>
      </c>
      <c r="J680" s="12"/>
      <c r="K680" s="8" t="s">
        <v>7722</v>
      </c>
      <c r="L680" s="8">
        <v>11.0</v>
      </c>
      <c r="M680" s="8" t="s">
        <v>11352</v>
      </c>
      <c r="N680" s="12"/>
      <c r="O680" s="8" t="s">
        <v>8028</v>
      </c>
      <c r="P680" s="12"/>
    </row>
    <row r="681">
      <c r="A681" s="28"/>
      <c r="B681" s="12"/>
      <c r="C681" s="12"/>
      <c r="D681" s="12"/>
      <c r="E681" s="12"/>
      <c r="F681" s="12"/>
      <c r="G681" s="12" t="b">
        <v>0</v>
      </c>
      <c r="H681" s="8" t="s">
        <v>11353</v>
      </c>
      <c r="I681" s="8" t="s">
        <v>11354</v>
      </c>
      <c r="J681" s="12"/>
      <c r="K681" s="8" t="s">
        <v>7722</v>
      </c>
      <c r="L681" s="8">
        <v>21.0</v>
      </c>
      <c r="M681" s="8" t="s">
        <v>11355</v>
      </c>
      <c r="N681" s="12"/>
      <c r="O681" s="8" t="s">
        <v>11356</v>
      </c>
      <c r="P681" s="28" t="s">
        <v>11357</v>
      </c>
    </row>
    <row r="682">
      <c r="A682" s="28"/>
      <c r="B682" s="12"/>
      <c r="C682" s="12"/>
      <c r="D682" s="12"/>
      <c r="E682" s="12"/>
      <c r="F682" s="12"/>
      <c r="G682" s="12" t="b">
        <v>0</v>
      </c>
      <c r="H682" s="8" t="s">
        <v>11358</v>
      </c>
      <c r="I682" s="8" t="s">
        <v>11359</v>
      </c>
      <c r="J682" s="12"/>
      <c r="K682" s="8" t="s">
        <v>8141</v>
      </c>
      <c r="L682" s="8">
        <v>10.0</v>
      </c>
      <c r="M682" s="8" t="s">
        <v>11360</v>
      </c>
      <c r="N682" s="8" t="s">
        <v>11361</v>
      </c>
      <c r="O682" s="8" t="s">
        <v>8273</v>
      </c>
      <c r="P682" s="28" t="s">
        <v>11362</v>
      </c>
    </row>
    <row r="683">
      <c r="A683" s="28"/>
      <c r="B683" s="12"/>
      <c r="C683" s="12"/>
      <c r="D683" s="12"/>
      <c r="E683" s="12"/>
      <c r="F683" s="12"/>
      <c r="G683" s="12" t="b">
        <v>0</v>
      </c>
      <c r="H683" s="8" t="s">
        <v>11363</v>
      </c>
      <c r="I683" s="8" t="s">
        <v>11364</v>
      </c>
      <c r="J683" s="12"/>
      <c r="K683" s="8" t="s">
        <v>7722</v>
      </c>
      <c r="L683" s="8">
        <v>35.0</v>
      </c>
      <c r="M683" s="8" t="s">
        <v>11365</v>
      </c>
      <c r="N683" s="12"/>
      <c r="O683" s="8" t="s">
        <v>11366</v>
      </c>
      <c r="P683" s="28" t="s">
        <v>11367</v>
      </c>
    </row>
    <row r="684">
      <c r="A684" s="28"/>
      <c r="B684" s="12"/>
      <c r="C684" s="12"/>
      <c r="D684" s="12"/>
      <c r="E684" s="12"/>
      <c r="F684" s="12"/>
      <c r="G684" s="12" t="b">
        <v>0</v>
      </c>
      <c r="H684" s="8" t="s">
        <v>11368</v>
      </c>
      <c r="I684" s="8" t="s">
        <v>11369</v>
      </c>
      <c r="J684" s="12"/>
      <c r="K684" s="8" t="s">
        <v>8150</v>
      </c>
      <c r="L684" s="8">
        <v>42.0</v>
      </c>
      <c r="M684" s="8" t="s">
        <v>11370</v>
      </c>
      <c r="N684" s="12"/>
      <c r="O684" s="8" t="s">
        <v>11371</v>
      </c>
      <c r="P684" s="28" t="s">
        <v>11372</v>
      </c>
    </row>
    <row r="685">
      <c r="A685" s="28"/>
      <c r="B685" s="12"/>
      <c r="C685" s="12"/>
      <c r="D685" s="12"/>
      <c r="E685" s="12"/>
      <c r="F685" s="12"/>
      <c r="G685" s="12" t="b">
        <v>0</v>
      </c>
      <c r="H685" s="8" t="s">
        <v>11373</v>
      </c>
      <c r="I685" s="8" t="s">
        <v>11374</v>
      </c>
      <c r="J685" s="12"/>
      <c r="K685" s="8" t="s">
        <v>7804</v>
      </c>
      <c r="L685" s="8">
        <v>10.0</v>
      </c>
      <c r="M685" s="8" t="s">
        <v>11375</v>
      </c>
      <c r="N685" s="12"/>
      <c r="O685" s="8" t="s">
        <v>8951</v>
      </c>
      <c r="P685" s="28" t="s">
        <v>11376</v>
      </c>
    </row>
    <row r="686">
      <c r="A686" s="28"/>
      <c r="B686" s="12"/>
      <c r="C686" s="12"/>
      <c r="D686" s="12"/>
      <c r="E686" s="12"/>
      <c r="F686" s="12"/>
      <c r="G686" s="12" t="b">
        <v>0</v>
      </c>
      <c r="H686" s="8" t="s">
        <v>11377</v>
      </c>
      <c r="I686" s="8" t="s">
        <v>11378</v>
      </c>
      <c r="J686" s="12"/>
      <c r="K686" s="8" t="s">
        <v>7722</v>
      </c>
      <c r="L686" s="8">
        <v>38.0</v>
      </c>
      <c r="M686" s="8" t="s">
        <v>11379</v>
      </c>
      <c r="N686" s="12"/>
      <c r="O686" s="8" t="s">
        <v>10135</v>
      </c>
      <c r="P686" s="28" t="s">
        <v>11380</v>
      </c>
    </row>
    <row r="687">
      <c r="A687" s="28"/>
      <c r="B687" s="12"/>
      <c r="C687" s="12"/>
      <c r="D687" s="12"/>
      <c r="E687" s="12"/>
      <c r="F687" s="12"/>
      <c r="G687" s="12" t="b">
        <v>0</v>
      </c>
      <c r="H687" s="8" t="s">
        <v>11381</v>
      </c>
      <c r="I687" s="8" t="s">
        <v>11382</v>
      </c>
      <c r="J687" s="12"/>
      <c r="K687" s="8" t="s">
        <v>8192</v>
      </c>
      <c r="L687" s="8">
        <v>11.0</v>
      </c>
      <c r="M687" s="8" t="s">
        <v>1295</v>
      </c>
      <c r="N687" s="12"/>
      <c r="O687" s="12"/>
      <c r="P687" s="12"/>
    </row>
    <row r="688">
      <c r="A688" s="28"/>
      <c r="B688" s="12"/>
      <c r="C688" s="12"/>
      <c r="D688" s="12"/>
      <c r="E688" s="12"/>
      <c r="F688" s="12"/>
      <c r="G688" s="12" t="b">
        <v>0</v>
      </c>
      <c r="H688" s="8" t="s">
        <v>11383</v>
      </c>
      <c r="I688" s="8" t="s">
        <v>11384</v>
      </c>
      <c r="J688" s="12"/>
      <c r="K688" s="8" t="s">
        <v>7722</v>
      </c>
      <c r="L688" s="8">
        <v>50.0</v>
      </c>
      <c r="M688" s="8" t="s">
        <v>1295</v>
      </c>
      <c r="N688" s="12"/>
      <c r="O688" s="12"/>
      <c r="P688" s="28" t="s">
        <v>11385</v>
      </c>
    </row>
    <row r="689">
      <c r="A689" s="28"/>
      <c r="B689" s="12"/>
      <c r="C689" s="12"/>
      <c r="D689" s="12"/>
      <c r="E689" s="12"/>
      <c r="F689" s="12"/>
      <c r="G689" s="12" t="b">
        <v>0</v>
      </c>
      <c r="H689" s="8" t="s">
        <v>11386</v>
      </c>
      <c r="I689" s="8" t="s">
        <v>11387</v>
      </c>
      <c r="J689" s="12"/>
      <c r="K689" s="8" t="s">
        <v>11388</v>
      </c>
      <c r="L689" s="8">
        <v>60.0</v>
      </c>
      <c r="M689" s="8" t="s">
        <v>1295</v>
      </c>
      <c r="N689" s="12"/>
      <c r="O689" s="12"/>
      <c r="P689" s="28" t="s">
        <v>11389</v>
      </c>
    </row>
    <row r="690">
      <c r="A690" s="28"/>
      <c r="B690" s="12"/>
      <c r="C690" s="12"/>
      <c r="D690" s="12"/>
      <c r="E690" s="12"/>
      <c r="F690" s="12"/>
      <c r="G690" s="12" t="b">
        <v>0</v>
      </c>
      <c r="H690" s="8" t="s">
        <v>11390</v>
      </c>
      <c r="I690" s="8" t="s">
        <v>11391</v>
      </c>
      <c r="J690" s="12"/>
      <c r="K690" s="8" t="s">
        <v>11392</v>
      </c>
      <c r="L690" s="8">
        <v>20.0</v>
      </c>
      <c r="M690" s="8" t="s">
        <v>11393</v>
      </c>
      <c r="N690" s="12"/>
      <c r="O690" s="8" t="s">
        <v>11394</v>
      </c>
      <c r="P690" s="28" t="s">
        <v>11395</v>
      </c>
    </row>
    <row r="691">
      <c r="A691" s="28"/>
      <c r="B691" s="12"/>
      <c r="C691" s="12"/>
      <c r="D691" s="12"/>
      <c r="E691" s="12"/>
      <c r="F691" s="12"/>
      <c r="G691" s="12" t="b">
        <v>0</v>
      </c>
      <c r="H691" s="8" t="s">
        <v>11396</v>
      </c>
      <c r="I691" s="8" t="s">
        <v>11397</v>
      </c>
      <c r="J691" s="12"/>
      <c r="K691" s="12"/>
      <c r="L691" s="8">
        <v>16.0</v>
      </c>
      <c r="M691" s="8" t="s">
        <v>11398</v>
      </c>
      <c r="N691" s="8" t="s">
        <v>11399</v>
      </c>
      <c r="O691" s="8" t="s">
        <v>8921</v>
      </c>
      <c r="P691" s="28" t="s">
        <v>11400</v>
      </c>
    </row>
    <row r="692">
      <c r="A692" s="28"/>
      <c r="B692" s="12"/>
      <c r="C692" s="12"/>
      <c r="D692" s="12"/>
      <c r="E692" s="12"/>
      <c r="F692" s="12"/>
      <c r="G692" s="12" t="b">
        <v>0</v>
      </c>
      <c r="H692" s="8" t="s">
        <v>11401</v>
      </c>
      <c r="I692" s="8" t="s">
        <v>11402</v>
      </c>
      <c r="J692" s="12"/>
      <c r="K692" s="8" t="s">
        <v>7722</v>
      </c>
      <c r="L692" s="8">
        <v>15.0</v>
      </c>
      <c r="M692" s="8" t="s">
        <v>11403</v>
      </c>
      <c r="N692" s="8" t="s">
        <v>11404</v>
      </c>
      <c r="O692" s="8" t="s">
        <v>11405</v>
      </c>
      <c r="P692" s="28" t="s">
        <v>11406</v>
      </c>
    </row>
    <row r="693">
      <c r="A693" s="28"/>
      <c r="B693" s="12"/>
      <c r="C693" s="12"/>
      <c r="D693" s="12"/>
      <c r="E693" s="12"/>
      <c r="F693" s="12"/>
      <c r="G693" s="12" t="b">
        <v>0</v>
      </c>
      <c r="H693" s="8" t="s">
        <v>11407</v>
      </c>
      <c r="I693" s="8" t="s">
        <v>11408</v>
      </c>
      <c r="J693" s="12"/>
      <c r="K693" s="8" t="s">
        <v>7894</v>
      </c>
      <c r="L693" s="8">
        <v>63.0</v>
      </c>
      <c r="M693" s="8" t="s">
        <v>11409</v>
      </c>
      <c r="N693" s="12"/>
      <c r="O693" s="8" t="s">
        <v>10063</v>
      </c>
      <c r="P693" s="28" t="s">
        <v>11410</v>
      </c>
    </row>
    <row r="694">
      <c r="A694" s="28"/>
      <c r="B694" s="12"/>
      <c r="C694" s="12"/>
      <c r="D694" s="12"/>
      <c r="E694" s="12"/>
      <c r="F694" s="12"/>
      <c r="G694" s="12" t="b">
        <v>0</v>
      </c>
      <c r="H694" s="8" t="s">
        <v>11411</v>
      </c>
      <c r="I694" s="8" t="s">
        <v>11412</v>
      </c>
      <c r="J694" s="12"/>
      <c r="K694" s="8" t="s">
        <v>11413</v>
      </c>
      <c r="L694" s="8">
        <v>16.0</v>
      </c>
      <c r="M694" s="8" t="s">
        <v>11414</v>
      </c>
      <c r="N694" s="12"/>
      <c r="O694" s="8" t="s">
        <v>7947</v>
      </c>
      <c r="P694" s="28" t="s">
        <v>11415</v>
      </c>
    </row>
    <row r="695">
      <c r="A695" s="28"/>
      <c r="B695" s="12"/>
      <c r="C695" s="12"/>
      <c r="D695" s="12"/>
      <c r="E695" s="12"/>
      <c r="F695" s="12"/>
      <c r="G695" s="12" t="b">
        <v>0</v>
      </c>
      <c r="H695" s="8" t="s">
        <v>11416</v>
      </c>
      <c r="I695" s="8" t="s">
        <v>11417</v>
      </c>
      <c r="J695" s="12"/>
      <c r="K695" s="8" t="s">
        <v>8489</v>
      </c>
      <c r="L695" s="8">
        <v>60.0</v>
      </c>
      <c r="M695" s="8" t="s">
        <v>11418</v>
      </c>
      <c r="N695" s="12"/>
      <c r="O695" s="8" t="s">
        <v>11419</v>
      </c>
      <c r="P695" s="28" t="s">
        <v>11420</v>
      </c>
    </row>
    <row r="696">
      <c r="A696" s="28"/>
      <c r="B696" s="12"/>
      <c r="C696" s="12"/>
      <c r="D696" s="12"/>
      <c r="E696" s="12"/>
      <c r="F696" s="12"/>
      <c r="G696" s="12" t="b">
        <v>0</v>
      </c>
      <c r="H696" s="8" t="s">
        <v>11421</v>
      </c>
      <c r="I696" s="8" t="s">
        <v>11422</v>
      </c>
      <c r="J696" s="12"/>
      <c r="K696" s="8" t="s">
        <v>11423</v>
      </c>
      <c r="L696" s="8">
        <v>83.0</v>
      </c>
      <c r="M696" s="8" t="s">
        <v>11424</v>
      </c>
      <c r="N696" s="12"/>
      <c r="O696" s="8" t="s">
        <v>7872</v>
      </c>
      <c r="P696" s="28" t="s">
        <v>11425</v>
      </c>
    </row>
    <row r="697">
      <c r="A697" s="28"/>
      <c r="B697" s="12"/>
      <c r="C697" s="12"/>
      <c r="D697" s="12"/>
      <c r="E697" s="12"/>
      <c r="F697" s="12"/>
      <c r="G697" s="12" t="b">
        <v>0</v>
      </c>
      <c r="H697" s="8" t="s">
        <v>11426</v>
      </c>
      <c r="I697" s="8" t="s">
        <v>11427</v>
      </c>
      <c r="J697" s="12"/>
      <c r="K697" s="8" t="s">
        <v>7722</v>
      </c>
      <c r="L697" s="8">
        <v>11.0</v>
      </c>
      <c r="M697" s="8" t="s">
        <v>1295</v>
      </c>
      <c r="N697" s="12"/>
      <c r="O697" s="12"/>
      <c r="P697" s="12"/>
    </row>
    <row r="698">
      <c r="A698" s="28"/>
      <c r="B698" s="12"/>
      <c r="C698" s="12"/>
      <c r="D698" s="12"/>
      <c r="E698" s="12"/>
      <c r="F698" s="12"/>
      <c r="G698" s="12" t="b">
        <v>0</v>
      </c>
      <c r="H698" s="8" t="s">
        <v>11428</v>
      </c>
      <c r="I698" s="8" t="s">
        <v>11429</v>
      </c>
      <c r="J698" s="12"/>
      <c r="K698" s="8" t="s">
        <v>8412</v>
      </c>
      <c r="L698" s="8">
        <v>10.0</v>
      </c>
      <c r="M698" s="8" t="s">
        <v>11430</v>
      </c>
      <c r="N698" s="12"/>
      <c r="O698" s="8" t="s">
        <v>11431</v>
      </c>
      <c r="P698" s="28" t="s">
        <v>11432</v>
      </c>
    </row>
    <row r="699">
      <c r="A699" s="28"/>
      <c r="B699" s="12"/>
      <c r="C699" s="12"/>
      <c r="D699" s="12"/>
      <c r="E699" s="12"/>
      <c r="F699" s="12"/>
      <c r="G699" s="12" t="b">
        <v>0</v>
      </c>
      <c r="H699" s="8" t="s">
        <v>11433</v>
      </c>
      <c r="I699" s="8" t="s">
        <v>11434</v>
      </c>
      <c r="J699" s="12"/>
      <c r="K699" s="8" t="s">
        <v>9895</v>
      </c>
      <c r="L699" s="8">
        <v>35.0</v>
      </c>
      <c r="M699" s="8" t="s">
        <v>11435</v>
      </c>
      <c r="N699" s="12"/>
      <c r="O699" s="8" t="s">
        <v>11436</v>
      </c>
      <c r="P699" s="28" t="s">
        <v>11437</v>
      </c>
    </row>
    <row r="700">
      <c r="A700" s="28"/>
      <c r="B700" s="12"/>
      <c r="C700" s="12"/>
      <c r="D700" s="12"/>
      <c r="E700" s="12"/>
      <c r="F700" s="12"/>
      <c r="G700" s="12" t="b">
        <v>0</v>
      </c>
      <c r="H700" s="8" t="s">
        <v>11438</v>
      </c>
      <c r="I700" s="8" t="s">
        <v>11439</v>
      </c>
      <c r="J700" s="12"/>
      <c r="K700" s="8" t="s">
        <v>7722</v>
      </c>
      <c r="L700" s="8">
        <v>51.0</v>
      </c>
      <c r="M700" s="8" t="s">
        <v>11440</v>
      </c>
      <c r="N700" s="12"/>
      <c r="O700" s="8" t="s">
        <v>8921</v>
      </c>
      <c r="P700" s="12"/>
    </row>
    <row r="701">
      <c r="A701" s="28"/>
      <c r="B701" s="12"/>
      <c r="C701" s="12"/>
      <c r="D701" s="12"/>
      <c r="E701" s="12"/>
      <c r="F701" s="12"/>
      <c r="G701" s="12" t="b">
        <v>0</v>
      </c>
      <c r="H701" s="8" t="s">
        <v>11441</v>
      </c>
      <c r="I701" s="8" t="s">
        <v>11442</v>
      </c>
      <c r="J701" s="12"/>
      <c r="K701" s="8" t="s">
        <v>7722</v>
      </c>
      <c r="L701" s="8">
        <v>10.0</v>
      </c>
      <c r="M701" s="8" t="s">
        <v>1295</v>
      </c>
      <c r="N701" s="12"/>
      <c r="O701" s="12"/>
      <c r="P701" s="28" t="s">
        <v>11443</v>
      </c>
    </row>
    <row r="702">
      <c r="A702" s="28"/>
      <c r="B702" s="12"/>
      <c r="C702" s="12"/>
      <c r="D702" s="12"/>
      <c r="E702" s="12"/>
      <c r="F702" s="12"/>
      <c r="G702" s="12" t="b">
        <v>0</v>
      </c>
      <c r="H702" s="8" t="s">
        <v>11444</v>
      </c>
      <c r="I702" s="8" t="s">
        <v>11445</v>
      </c>
      <c r="J702" s="12"/>
      <c r="K702" s="8" t="s">
        <v>9820</v>
      </c>
      <c r="L702" s="8">
        <v>19.0</v>
      </c>
      <c r="M702" s="8" t="s">
        <v>1295</v>
      </c>
      <c r="N702" s="12"/>
      <c r="O702" s="12"/>
      <c r="P702" s="28" t="s">
        <v>11446</v>
      </c>
    </row>
    <row r="703">
      <c r="A703" s="28"/>
      <c r="B703" s="12"/>
      <c r="C703" s="12"/>
      <c r="D703" s="12"/>
      <c r="E703" s="12"/>
      <c r="F703" s="12"/>
      <c r="G703" s="12" t="b">
        <v>0</v>
      </c>
      <c r="H703" s="8" t="s">
        <v>11447</v>
      </c>
      <c r="I703" s="8" t="s">
        <v>11448</v>
      </c>
      <c r="J703" s="12"/>
      <c r="K703" s="8" t="s">
        <v>7854</v>
      </c>
      <c r="L703" s="8">
        <v>15.0</v>
      </c>
      <c r="M703" s="8" t="s">
        <v>11449</v>
      </c>
      <c r="N703" s="12"/>
      <c r="O703" s="8" t="s">
        <v>11450</v>
      </c>
      <c r="P703" s="28" t="s">
        <v>11451</v>
      </c>
    </row>
    <row r="704">
      <c r="A704" s="28"/>
      <c r="B704" s="12"/>
      <c r="C704" s="12"/>
      <c r="D704" s="12"/>
      <c r="E704" s="12"/>
      <c r="F704" s="12"/>
      <c r="G704" s="12" t="b">
        <v>0</v>
      </c>
      <c r="H704" s="8" t="s">
        <v>11452</v>
      </c>
      <c r="I704" s="8" t="s">
        <v>11453</v>
      </c>
      <c r="J704" s="12"/>
      <c r="K704" s="8" t="s">
        <v>11454</v>
      </c>
      <c r="L704" s="8">
        <v>29.0</v>
      </c>
      <c r="M704" s="8" t="s">
        <v>1295</v>
      </c>
      <c r="N704" s="12"/>
      <c r="O704" s="12"/>
      <c r="P704" s="28" t="s">
        <v>11455</v>
      </c>
    </row>
    <row r="705">
      <c r="A705" s="28"/>
      <c r="B705" s="12"/>
      <c r="C705" s="12"/>
      <c r="D705" s="12"/>
      <c r="E705" s="12"/>
      <c r="F705" s="12"/>
      <c r="G705" s="12" t="b">
        <v>0</v>
      </c>
      <c r="H705" s="8" t="s">
        <v>11456</v>
      </c>
      <c r="I705" s="8" t="s">
        <v>11457</v>
      </c>
      <c r="J705" s="12"/>
      <c r="K705" s="8" t="s">
        <v>8025</v>
      </c>
      <c r="L705" s="8">
        <v>22.0</v>
      </c>
      <c r="M705" s="8" t="s">
        <v>11458</v>
      </c>
      <c r="N705" s="12"/>
      <c r="O705" s="8" t="s">
        <v>8019</v>
      </c>
      <c r="P705" s="28" t="s">
        <v>11459</v>
      </c>
    </row>
    <row r="706">
      <c r="A706" s="28"/>
      <c r="B706" s="12"/>
      <c r="C706" s="12"/>
      <c r="D706" s="12"/>
      <c r="E706" s="12"/>
      <c r="F706" s="12"/>
      <c r="G706" s="12" t="b">
        <v>0</v>
      </c>
      <c r="H706" s="8" t="s">
        <v>11460</v>
      </c>
      <c r="I706" s="8" t="s">
        <v>11461</v>
      </c>
      <c r="J706" s="12"/>
      <c r="K706" s="8" t="s">
        <v>7722</v>
      </c>
      <c r="L706" s="8">
        <v>11.0</v>
      </c>
      <c r="M706" s="8" t="s">
        <v>1295</v>
      </c>
      <c r="N706" s="12"/>
      <c r="O706" s="12"/>
      <c r="P706" s="28" t="s">
        <v>11462</v>
      </c>
    </row>
    <row r="707">
      <c r="A707" s="28"/>
      <c r="B707" s="12"/>
      <c r="C707" s="12"/>
      <c r="D707" s="12"/>
      <c r="E707" s="12"/>
      <c r="F707" s="12"/>
      <c r="G707" s="12" t="b">
        <v>0</v>
      </c>
      <c r="H707" s="8" t="s">
        <v>11463</v>
      </c>
      <c r="I707" s="8" t="s">
        <v>11464</v>
      </c>
      <c r="J707" s="12"/>
      <c r="K707" s="8" t="s">
        <v>7722</v>
      </c>
      <c r="L707" s="8">
        <v>30.0</v>
      </c>
      <c r="M707" s="8" t="s">
        <v>11465</v>
      </c>
      <c r="N707" s="12"/>
      <c r="O707" s="8" t="s">
        <v>11466</v>
      </c>
      <c r="P707" s="28" t="s">
        <v>11467</v>
      </c>
    </row>
    <row r="708">
      <c r="A708" s="28"/>
      <c r="B708" s="12"/>
      <c r="C708" s="12"/>
      <c r="D708" s="12"/>
      <c r="E708" s="12"/>
      <c r="F708" s="12"/>
      <c r="G708" s="12" t="b">
        <v>0</v>
      </c>
      <c r="H708" s="8" t="s">
        <v>11468</v>
      </c>
      <c r="I708" s="8" t="s">
        <v>11469</v>
      </c>
      <c r="J708" s="12"/>
      <c r="K708" s="8" t="s">
        <v>7722</v>
      </c>
      <c r="L708" s="8">
        <v>15.0</v>
      </c>
      <c r="M708" s="8" t="s">
        <v>11470</v>
      </c>
      <c r="N708" s="12"/>
      <c r="O708" s="8" t="s">
        <v>7872</v>
      </c>
      <c r="P708" s="28" t="s">
        <v>11471</v>
      </c>
    </row>
    <row r="709">
      <c r="A709" s="28"/>
      <c r="B709" s="12"/>
      <c r="C709" s="12"/>
      <c r="D709" s="12"/>
      <c r="E709" s="12"/>
      <c r="F709" s="12"/>
      <c r="G709" s="12" t="b">
        <v>0</v>
      </c>
      <c r="H709" s="8" t="s">
        <v>11472</v>
      </c>
      <c r="I709" s="8" t="s">
        <v>11473</v>
      </c>
      <c r="J709" s="12"/>
      <c r="K709" s="8" t="s">
        <v>9525</v>
      </c>
      <c r="L709" s="8">
        <v>38.0</v>
      </c>
      <c r="M709" s="8" t="s">
        <v>11474</v>
      </c>
      <c r="N709" s="12"/>
      <c r="O709" s="8" t="s">
        <v>11475</v>
      </c>
      <c r="P709" s="28" t="s">
        <v>11476</v>
      </c>
    </row>
    <row r="710">
      <c r="A710" s="28"/>
      <c r="B710" s="12"/>
      <c r="C710" s="12"/>
      <c r="D710" s="12"/>
      <c r="E710" s="12"/>
      <c r="F710" s="12"/>
      <c r="G710" s="12" t="b">
        <v>0</v>
      </c>
      <c r="H710" s="8" t="s">
        <v>11477</v>
      </c>
      <c r="I710" s="8" t="s">
        <v>11478</v>
      </c>
      <c r="J710" s="12"/>
      <c r="K710" s="8" t="s">
        <v>7854</v>
      </c>
      <c r="L710" s="8">
        <v>20.0</v>
      </c>
      <c r="M710" s="8" t="s">
        <v>11479</v>
      </c>
      <c r="N710" s="12"/>
      <c r="O710" s="8" t="s">
        <v>11480</v>
      </c>
      <c r="P710" s="28" t="s">
        <v>11481</v>
      </c>
    </row>
    <row r="711">
      <c r="A711" s="28"/>
      <c r="B711" s="12"/>
      <c r="C711" s="12"/>
      <c r="D711" s="12"/>
      <c r="E711" s="12"/>
      <c r="F711" s="12"/>
      <c r="G711" s="12" t="b">
        <v>0</v>
      </c>
      <c r="H711" s="8" t="s">
        <v>11482</v>
      </c>
      <c r="I711" s="8" t="s">
        <v>11483</v>
      </c>
      <c r="J711" s="12"/>
      <c r="K711" s="8" t="s">
        <v>7722</v>
      </c>
      <c r="L711" s="8">
        <v>50.0</v>
      </c>
      <c r="M711" s="8" t="s">
        <v>1295</v>
      </c>
      <c r="N711" s="8" t="s">
        <v>11484</v>
      </c>
      <c r="O711" s="12"/>
      <c r="P711" s="28" t="s">
        <v>11485</v>
      </c>
    </row>
    <row r="712">
      <c r="A712" s="28"/>
      <c r="B712" s="12"/>
      <c r="C712" s="12"/>
      <c r="D712" s="12"/>
      <c r="E712" s="12"/>
      <c r="F712" s="12"/>
      <c r="G712" s="12" t="b">
        <v>0</v>
      </c>
      <c r="H712" s="8" t="s">
        <v>11486</v>
      </c>
      <c r="I712" s="8" t="s">
        <v>11487</v>
      </c>
      <c r="J712" s="12"/>
      <c r="K712" s="8" t="s">
        <v>7722</v>
      </c>
      <c r="L712" s="8">
        <v>12.0</v>
      </c>
      <c r="M712" s="8" t="s">
        <v>11488</v>
      </c>
      <c r="N712" s="12"/>
      <c r="O712" s="8" t="s">
        <v>11489</v>
      </c>
      <c r="P712" s="28" t="s">
        <v>11490</v>
      </c>
    </row>
    <row r="713">
      <c r="A713" s="28"/>
      <c r="B713" s="12"/>
      <c r="C713" s="12"/>
      <c r="D713" s="12"/>
      <c r="E713" s="12"/>
      <c r="F713" s="12"/>
      <c r="G713" s="12" t="b">
        <v>0</v>
      </c>
      <c r="H713" s="8" t="s">
        <v>11491</v>
      </c>
      <c r="I713" s="8" t="s">
        <v>11492</v>
      </c>
      <c r="J713" s="12"/>
      <c r="K713" s="8" t="s">
        <v>7854</v>
      </c>
      <c r="L713" s="8">
        <v>10.0</v>
      </c>
      <c r="M713" s="8" t="s">
        <v>1295</v>
      </c>
      <c r="N713" s="12"/>
      <c r="O713" s="12"/>
      <c r="P713" s="28" t="s">
        <v>11493</v>
      </c>
    </row>
    <row r="714">
      <c r="A714" s="28"/>
      <c r="B714" s="12"/>
      <c r="C714" s="12"/>
      <c r="D714" s="12"/>
      <c r="E714" s="12"/>
      <c r="F714" s="12"/>
      <c r="G714" s="12" t="b">
        <v>0</v>
      </c>
      <c r="H714" s="28" t="s">
        <v>11494</v>
      </c>
      <c r="I714" s="8" t="s">
        <v>11495</v>
      </c>
      <c r="J714" s="12"/>
      <c r="K714" s="8" t="s">
        <v>8317</v>
      </c>
      <c r="L714" s="8">
        <v>11.0</v>
      </c>
      <c r="M714" s="8" t="s">
        <v>11496</v>
      </c>
      <c r="N714" s="12"/>
      <c r="O714" s="8" t="s">
        <v>11497</v>
      </c>
      <c r="P714" s="28" t="s">
        <v>11498</v>
      </c>
    </row>
    <row r="715">
      <c r="A715" s="28"/>
      <c r="B715" s="12"/>
      <c r="C715" s="12"/>
      <c r="D715" s="12"/>
      <c r="E715" s="12"/>
      <c r="F715" s="12"/>
      <c r="G715" s="12" t="b">
        <v>0</v>
      </c>
      <c r="H715" s="8" t="s">
        <v>11499</v>
      </c>
      <c r="I715" s="8" t="s">
        <v>11500</v>
      </c>
      <c r="J715" s="12"/>
      <c r="K715" s="8" t="s">
        <v>7984</v>
      </c>
      <c r="L715" s="8">
        <v>90.0</v>
      </c>
      <c r="M715" s="8" t="s">
        <v>11501</v>
      </c>
      <c r="N715" s="12"/>
      <c r="O715" s="8" t="s">
        <v>10219</v>
      </c>
      <c r="P715" s="28" t="s">
        <v>11502</v>
      </c>
    </row>
    <row r="716">
      <c r="A716" s="28"/>
      <c r="B716" s="12"/>
      <c r="C716" s="12"/>
      <c r="D716" s="12"/>
      <c r="E716" s="12"/>
      <c r="F716" s="12"/>
      <c r="G716" s="12" t="b">
        <v>0</v>
      </c>
      <c r="H716" s="8" t="s">
        <v>11503</v>
      </c>
      <c r="I716" s="8" t="s">
        <v>11504</v>
      </c>
      <c r="J716" s="12"/>
      <c r="K716" s="8" t="s">
        <v>11505</v>
      </c>
      <c r="L716" s="8">
        <v>11.0</v>
      </c>
      <c r="M716" s="8" t="s">
        <v>1295</v>
      </c>
      <c r="N716" s="12"/>
      <c r="O716" s="12"/>
      <c r="P716" s="28" t="s">
        <v>11506</v>
      </c>
    </row>
    <row r="717">
      <c r="A717" s="28"/>
      <c r="B717" s="12"/>
      <c r="C717" s="12"/>
      <c r="D717" s="12"/>
      <c r="E717" s="12"/>
      <c r="F717" s="12"/>
      <c r="G717" s="12" t="b">
        <v>0</v>
      </c>
      <c r="H717" s="8" t="s">
        <v>11507</v>
      </c>
      <c r="I717" s="12"/>
      <c r="J717" s="12"/>
      <c r="K717" s="8" t="s">
        <v>7722</v>
      </c>
      <c r="L717" s="8">
        <v>11.0</v>
      </c>
      <c r="M717" s="8" t="s">
        <v>11508</v>
      </c>
      <c r="N717" s="12"/>
      <c r="O717" s="8" t="s">
        <v>8661</v>
      </c>
      <c r="P717" s="12"/>
    </row>
    <row r="718">
      <c r="A718" s="28"/>
      <c r="B718" s="12"/>
      <c r="C718" s="12"/>
      <c r="D718" s="12"/>
      <c r="E718" s="12"/>
      <c r="F718" s="12"/>
      <c r="G718" s="12" t="b">
        <v>0</v>
      </c>
      <c r="H718" s="8" t="s">
        <v>11509</v>
      </c>
      <c r="I718" s="8" t="s">
        <v>11510</v>
      </c>
      <c r="J718" s="12"/>
      <c r="K718" s="8" t="s">
        <v>10417</v>
      </c>
      <c r="L718" s="8">
        <v>17.0</v>
      </c>
      <c r="M718" s="8" t="s">
        <v>11511</v>
      </c>
      <c r="N718" s="8" t="s">
        <v>11512</v>
      </c>
      <c r="O718" s="8" t="s">
        <v>43</v>
      </c>
      <c r="P718" s="12"/>
    </row>
    <row r="719">
      <c r="A719" s="28"/>
      <c r="B719" s="12"/>
      <c r="C719" s="12"/>
      <c r="D719" s="12"/>
      <c r="E719" s="12"/>
      <c r="F719" s="12"/>
      <c r="G719" s="12" t="b">
        <v>0</v>
      </c>
      <c r="H719" s="8" t="s">
        <v>11513</v>
      </c>
      <c r="I719" s="8" t="s">
        <v>11514</v>
      </c>
      <c r="J719" s="12"/>
      <c r="K719" s="8" t="s">
        <v>8304</v>
      </c>
      <c r="L719" s="8">
        <v>34.0</v>
      </c>
      <c r="M719" s="8" t="s">
        <v>11515</v>
      </c>
      <c r="N719" s="12"/>
      <c r="O719" s="8" t="s">
        <v>11516</v>
      </c>
      <c r="P719" s="28" t="s">
        <v>11517</v>
      </c>
    </row>
    <row r="720">
      <c r="A720" s="28"/>
      <c r="B720" s="12"/>
      <c r="C720" s="12"/>
      <c r="D720" s="12"/>
      <c r="E720" s="12"/>
      <c r="F720" s="12"/>
      <c r="G720" s="12" t="b">
        <v>0</v>
      </c>
      <c r="H720" s="8" t="s">
        <v>11518</v>
      </c>
      <c r="I720" s="8" t="s">
        <v>11519</v>
      </c>
      <c r="J720" s="12"/>
      <c r="K720" s="8" t="s">
        <v>8337</v>
      </c>
      <c r="L720" s="8">
        <v>15.0</v>
      </c>
      <c r="M720" s="8" t="s">
        <v>11520</v>
      </c>
      <c r="N720" s="12"/>
      <c r="O720" s="8" t="s">
        <v>11521</v>
      </c>
      <c r="P720" s="28" t="s">
        <v>11522</v>
      </c>
    </row>
    <row r="721">
      <c r="A721" s="28"/>
      <c r="B721" s="12"/>
      <c r="C721" s="12"/>
      <c r="D721" s="12"/>
      <c r="E721" s="12"/>
      <c r="F721" s="12"/>
      <c r="G721" s="12" t="b">
        <v>0</v>
      </c>
      <c r="H721" s="8" t="s">
        <v>11523</v>
      </c>
      <c r="I721" s="8" t="s">
        <v>11524</v>
      </c>
      <c r="J721" s="12"/>
      <c r="K721" s="8" t="s">
        <v>7722</v>
      </c>
      <c r="L721" s="8">
        <v>11.0</v>
      </c>
      <c r="M721" s="8" t="s">
        <v>11525</v>
      </c>
      <c r="N721" s="12"/>
      <c r="O721" s="8" t="s">
        <v>8523</v>
      </c>
      <c r="P721" s="12"/>
    </row>
    <row r="722">
      <c r="A722" s="28"/>
      <c r="B722" s="12"/>
      <c r="C722" s="12"/>
      <c r="D722" s="12"/>
      <c r="E722" s="12"/>
      <c r="F722" s="12"/>
      <c r="G722" s="12" t="b">
        <v>0</v>
      </c>
      <c r="H722" s="8" t="s">
        <v>11526</v>
      </c>
      <c r="I722" s="8" t="s">
        <v>11527</v>
      </c>
      <c r="J722" s="12"/>
      <c r="K722" s="8" t="s">
        <v>7722</v>
      </c>
      <c r="L722" s="8">
        <v>12.0</v>
      </c>
      <c r="M722" s="8" t="s">
        <v>11528</v>
      </c>
      <c r="N722" s="12"/>
      <c r="O722" s="8" t="s">
        <v>11529</v>
      </c>
      <c r="P722" s="28" t="s">
        <v>11530</v>
      </c>
    </row>
    <row r="723">
      <c r="A723" s="28"/>
      <c r="B723" s="12"/>
      <c r="C723" s="12"/>
      <c r="D723" s="12"/>
      <c r="E723" s="12"/>
      <c r="F723" s="12"/>
      <c r="G723" s="12" t="b">
        <v>0</v>
      </c>
      <c r="H723" s="8" t="s">
        <v>11531</v>
      </c>
      <c r="I723" s="8" t="s">
        <v>11532</v>
      </c>
      <c r="J723" s="12"/>
      <c r="K723" s="8" t="s">
        <v>11533</v>
      </c>
      <c r="L723" s="8">
        <v>30.0</v>
      </c>
      <c r="M723" s="8" t="s">
        <v>11534</v>
      </c>
      <c r="N723" s="12"/>
      <c r="O723" s="8" t="s">
        <v>8484</v>
      </c>
      <c r="P723" s="28" t="s">
        <v>11535</v>
      </c>
    </row>
    <row r="724">
      <c r="A724" s="28"/>
      <c r="B724" s="12"/>
      <c r="C724" s="12"/>
      <c r="D724" s="12"/>
      <c r="E724" s="12"/>
      <c r="F724" s="12"/>
      <c r="G724" s="12" t="b">
        <v>0</v>
      </c>
      <c r="H724" s="8" t="s">
        <v>11536</v>
      </c>
      <c r="I724" s="8" t="s">
        <v>11537</v>
      </c>
      <c r="J724" s="12"/>
      <c r="K724" s="8" t="s">
        <v>7722</v>
      </c>
      <c r="L724" s="8">
        <v>15.0</v>
      </c>
      <c r="M724" s="8" t="s">
        <v>11538</v>
      </c>
      <c r="N724" s="12"/>
      <c r="O724" s="8" t="s">
        <v>11539</v>
      </c>
      <c r="P724" s="28" t="s">
        <v>11540</v>
      </c>
    </row>
    <row r="725">
      <c r="A725" s="28"/>
      <c r="B725" s="12"/>
      <c r="C725" s="12"/>
      <c r="D725" s="12"/>
      <c r="E725" s="12"/>
      <c r="F725" s="12"/>
      <c r="G725" s="12" t="b">
        <v>0</v>
      </c>
      <c r="H725" s="8" t="s">
        <v>11541</v>
      </c>
      <c r="I725" s="8" t="s">
        <v>11542</v>
      </c>
      <c r="J725" s="12"/>
      <c r="K725" s="8" t="s">
        <v>7722</v>
      </c>
      <c r="L725" s="8">
        <v>51.0</v>
      </c>
      <c r="M725" s="8" t="s">
        <v>11543</v>
      </c>
      <c r="N725" s="12"/>
      <c r="O725" s="8" t="s">
        <v>8865</v>
      </c>
      <c r="P725" s="12"/>
    </row>
    <row r="726">
      <c r="A726" s="28"/>
      <c r="B726" s="12"/>
      <c r="C726" s="12"/>
      <c r="D726" s="12"/>
      <c r="E726" s="12"/>
      <c r="F726" s="12"/>
      <c r="G726" s="12" t="b">
        <v>0</v>
      </c>
      <c r="H726" s="8" t="s">
        <v>11544</v>
      </c>
      <c r="I726" s="8" t="s">
        <v>11545</v>
      </c>
      <c r="J726" s="12"/>
      <c r="K726" s="8" t="s">
        <v>7722</v>
      </c>
      <c r="L726" s="8">
        <v>10.0</v>
      </c>
      <c r="M726" s="8" t="s">
        <v>11546</v>
      </c>
      <c r="N726" s="12"/>
      <c r="O726" s="8" t="s">
        <v>11547</v>
      </c>
      <c r="P726" s="28" t="s">
        <v>11548</v>
      </c>
    </row>
    <row r="727">
      <c r="A727" s="28"/>
      <c r="B727" s="12"/>
      <c r="C727" s="12"/>
      <c r="D727" s="12"/>
      <c r="E727" s="12"/>
      <c r="F727" s="12"/>
      <c r="G727" s="12" t="b">
        <v>0</v>
      </c>
      <c r="H727" s="8" t="s">
        <v>7178</v>
      </c>
      <c r="I727" s="8" t="s">
        <v>11549</v>
      </c>
      <c r="J727" s="12"/>
      <c r="K727" s="8" t="s">
        <v>7722</v>
      </c>
      <c r="L727" s="8">
        <v>30.0</v>
      </c>
      <c r="M727" s="8" t="s">
        <v>1295</v>
      </c>
      <c r="N727" s="12"/>
      <c r="O727" s="12"/>
      <c r="P727" s="28" t="s">
        <v>11550</v>
      </c>
    </row>
    <row r="728">
      <c r="A728" s="28"/>
      <c r="B728" s="12"/>
      <c r="C728" s="12"/>
      <c r="D728" s="12"/>
      <c r="E728" s="12"/>
      <c r="F728" s="12"/>
      <c r="G728" s="12" t="b">
        <v>0</v>
      </c>
      <c r="H728" s="8" t="s">
        <v>11551</v>
      </c>
      <c r="I728" s="8" t="s">
        <v>11552</v>
      </c>
      <c r="J728" s="12"/>
      <c r="K728" s="8" t="s">
        <v>9211</v>
      </c>
      <c r="L728" s="8">
        <v>15.0</v>
      </c>
      <c r="M728" s="8" t="s">
        <v>1295</v>
      </c>
      <c r="N728" s="12"/>
      <c r="O728" s="12"/>
      <c r="P728" s="12"/>
    </row>
    <row r="729">
      <c r="A729" s="28"/>
      <c r="B729" s="12"/>
      <c r="C729" s="12"/>
      <c r="D729" s="12"/>
      <c r="E729" s="12"/>
      <c r="F729" s="12"/>
      <c r="G729" s="12" t="b">
        <v>0</v>
      </c>
      <c r="H729" s="8" t="s">
        <v>11553</v>
      </c>
      <c r="I729" s="8" t="s">
        <v>11554</v>
      </c>
      <c r="J729" s="12"/>
      <c r="K729" s="8" t="s">
        <v>7722</v>
      </c>
      <c r="L729" s="8">
        <v>35.0</v>
      </c>
      <c r="M729" s="8" t="s">
        <v>11555</v>
      </c>
      <c r="N729" s="12"/>
      <c r="O729" s="8" t="s">
        <v>4591</v>
      </c>
      <c r="P729" s="28" t="s">
        <v>11556</v>
      </c>
    </row>
    <row r="730">
      <c r="A730" s="28"/>
      <c r="B730" s="12"/>
      <c r="C730" s="12"/>
      <c r="D730" s="12"/>
      <c r="E730" s="12"/>
      <c r="F730" s="12"/>
      <c r="G730" s="12" t="b">
        <v>0</v>
      </c>
      <c r="H730" s="8" t="s">
        <v>11557</v>
      </c>
      <c r="I730" s="8" t="s">
        <v>11558</v>
      </c>
      <c r="J730" s="12"/>
      <c r="K730" s="8" t="s">
        <v>7722</v>
      </c>
      <c r="L730" s="8">
        <v>15.0</v>
      </c>
      <c r="M730" s="8" t="s">
        <v>11559</v>
      </c>
      <c r="N730" s="12"/>
      <c r="O730" s="8" t="s">
        <v>11560</v>
      </c>
      <c r="P730" s="28" t="s">
        <v>11561</v>
      </c>
    </row>
    <row r="731">
      <c r="A731" s="28"/>
      <c r="B731" s="12"/>
      <c r="C731" s="12"/>
      <c r="D731" s="12"/>
      <c r="E731" s="12"/>
      <c r="F731" s="12"/>
      <c r="G731" s="12" t="b">
        <v>0</v>
      </c>
      <c r="H731" s="8" t="s">
        <v>11562</v>
      </c>
      <c r="I731" s="8" t="s">
        <v>11563</v>
      </c>
      <c r="J731" s="12"/>
      <c r="K731" s="8" t="s">
        <v>7903</v>
      </c>
      <c r="L731" s="8">
        <v>15.0</v>
      </c>
      <c r="M731" s="8" t="s">
        <v>11564</v>
      </c>
      <c r="N731" s="8" t="s">
        <v>11565</v>
      </c>
      <c r="O731" s="8" t="s">
        <v>11566</v>
      </c>
      <c r="P731" s="28" t="s">
        <v>11567</v>
      </c>
    </row>
    <row r="732">
      <c r="A732" s="28"/>
      <c r="B732" s="12"/>
      <c r="C732" s="12"/>
      <c r="D732" s="12"/>
      <c r="E732" s="12"/>
      <c r="F732" s="12"/>
      <c r="G732" s="12" t="b">
        <v>0</v>
      </c>
      <c r="H732" s="8" t="s">
        <v>11568</v>
      </c>
      <c r="I732" s="8" t="s">
        <v>11569</v>
      </c>
      <c r="J732" s="12"/>
      <c r="K732" s="8" t="s">
        <v>7804</v>
      </c>
      <c r="L732" s="8">
        <v>24.0</v>
      </c>
      <c r="M732" s="8" t="s">
        <v>11570</v>
      </c>
      <c r="N732" s="12"/>
      <c r="O732" s="8" t="s">
        <v>8779</v>
      </c>
      <c r="P732" s="28" t="s">
        <v>11571</v>
      </c>
    </row>
    <row r="733">
      <c r="A733" s="28"/>
      <c r="B733" s="12"/>
      <c r="C733" s="12"/>
      <c r="D733" s="12"/>
      <c r="E733" s="12"/>
      <c r="F733" s="12"/>
      <c r="G733" s="12" t="b">
        <v>0</v>
      </c>
      <c r="H733" s="8" t="s">
        <v>11572</v>
      </c>
      <c r="I733" s="8" t="s">
        <v>11573</v>
      </c>
      <c r="J733" s="12"/>
      <c r="K733" s="8" t="s">
        <v>8141</v>
      </c>
      <c r="L733" s="8">
        <v>10.0</v>
      </c>
      <c r="M733" s="8" t="s">
        <v>1295</v>
      </c>
      <c r="N733" s="12"/>
      <c r="O733" s="12"/>
      <c r="P733" s="28" t="s">
        <v>11574</v>
      </c>
    </row>
    <row r="734">
      <c r="A734" s="28"/>
      <c r="B734" s="12"/>
      <c r="C734" s="12"/>
      <c r="D734" s="12"/>
      <c r="E734" s="12"/>
      <c r="F734" s="12"/>
      <c r="G734" s="12" t="b">
        <v>0</v>
      </c>
      <c r="H734" s="28" t="s">
        <v>11575</v>
      </c>
      <c r="I734" s="8" t="s">
        <v>11576</v>
      </c>
      <c r="J734" s="12"/>
      <c r="K734" s="8" t="s">
        <v>9895</v>
      </c>
      <c r="L734" s="8">
        <v>35.0</v>
      </c>
      <c r="M734" s="8" t="s">
        <v>11577</v>
      </c>
      <c r="N734" s="12"/>
      <c r="O734" s="8" t="s">
        <v>11578</v>
      </c>
      <c r="P734" s="28" t="s">
        <v>11579</v>
      </c>
    </row>
    <row r="735">
      <c r="A735" s="28"/>
      <c r="B735" s="12"/>
      <c r="C735" s="12"/>
      <c r="D735" s="12"/>
      <c r="E735" s="12"/>
      <c r="F735" s="12"/>
      <c r="G735" s="12" t="b">
        <v>0</v>
      </c>
      <c r="H735" s="8" t="s">
        <v>11580</v>
      </c>
      <c r="I735" s="8" t="s">
        <v>11581</v>
      </c>
      <c r="J735" s="12"/>
      <c r="K735" s="8" t="s">
        <v>8708</v>
      </c>
      <c r="L735" s="8">
        <v>80.0</v>
      </c>
      <c r="M735" s="8" t="s">
        <v>11582</v>
      </c>
      <c r="N735" s="12"/>
      <c r="O735" s="8" t="s">
        <v>11583</v>
      </c>
      <c r="P735" s="28" t="s">
        <v>11584</v>
      </c>
    </row>
    <row r="736">
      <c r="A736" s="28"/>
      <c r="B736" s="12"/>
      <c r="C736" s="12"/>
      <c r="D736" s="12"/>
      <c r="E736" s="12"/>
      <c r="F736" s="12"/>
      <c r="G736" s="12" t="b">
        <v>0</v>
      </c>
      <c r="H736" s="8" t="s">
        <v>11585</v>
      </c>
      <c r="I736" s="8" t="s">
        <v>11586</v>
      </c>
      <c r="J736" s="12"/>
      <c r="K736" s="8" t="s">
        <v>8337</v>
      </c>
      <c r="L736" s="8">
        <v>30.0</v>
      </c>
      <c r="M736" s="8" t="s">
        <v>11587</v>
      </c>
      <c r="N736" s="12"/>
      <c r="O736" s="8" t="s">
        <v>11588</v>
      </c>
      <c r="P736" s="28" t="s">
        <v>11589</v>
      </c>
    </row>
    <row r="737">
      <c r="A737" s="28"/>
      <c r="B737" s="12"/>
      <c r="C737" s="12"/>
      <c r="D737" s="12"/>
      <c r="E737" s="12"/>
      <c r="F737" s="12"/>
      <c r="G737" s="12" t="b">
        <v>0</v>
      </c>
      <c r="H737" s="8" t="s">
        <v>11590</v>
      </c>
      <c r="I737" s="8" t="s">
        <v>11591</v>
      </c>
      <c r="J737" s="12"/>
      <c r="K737" s="8" t="s">
        <v>7804</v>
      </c>
      <c r="L737" s="8">
        <v>43.0</v>
      </c>
      <c r="M737" s="8" t="s">
        <v>11592</v>
      </c>
      <c r="N737" s="8" t="s">
        <v>11593</v>
      </c>
      <c r="O737" s="8" t="s">
        <v>7962</v>
      </c>
      <c r="P737" s="28" t="s">
        <v>11594</v>
      </c>
    </row>
    <row r="738">
      <c r="A738" s="28"/>
      <c r="B738" s="12"/>
      <c r="C738" s="12"/>
      <c r="D738" s="12"/>
      <c r="E738" s="12"/>
      <c r="F738" s="12"/>
      <c r="G738" s="12" t="b">
        <v>0</v>
      </c>
      <c r="H738" s="8" t="s">
        <v>11595</v>
      </c>
      <c r="I738" s="8" t="s">
        <v>11596</v>
      </c>
      <c r="J738" s="12"/>
      <c r="K738" s="8" t="s">
        <v>8304</v>
      </c>
      <c r="L738" s="8">
        <v>10.0</v>
      </c>
      <c r="M738" s="8" t="s">
        <v>1295</v>
      </c>
      <c r="N738" s="12"/>
      <c r="O738" s="12"/>
      <c r="P738" s="28" t="s">
        <v>11597</v>
      </c>
    </row>
    <row r="739">
      <c r="A739" s="28"/>
      <c r="B739" s="12"/>
      <c r="C739" s="12"/>
      <c r="D739" s="12"/>
      <c r="E739" s="12"/>
      <c r="F739" s="12"/>
      <c r="G739" s="12" t="b">
        <v>0</v>
      </c>
      <c r="H739" s="8" t="s">
        <v>11598</v>
      </c>
      <c r="I739" s="8" t="s">
        <v>11599</v>
      </c>
      <c r="J739" s="12"/>
      <c r="K739" s="8" t="s">
        <v>7854</v>
      </c>
      <c r="L739" s="8">
        <v>65.0</v>
      </c>
      <c r="M739" s="8" t="s">
        <v>1295</v>
      </c>
      <c r="N739" s="12"/>
      <c r="O739" s="12"/>
      <c r="P739" s="28" t="s">
        <v>11600</v>
      </c>
    </row>
    <row r="740">
      <c r="A740" s="28"/>
      <c r="B740" s="12"/>
      <c r="C740" s="12"/>
      <c r="D740" s="12"/>
      <c r="E740" s="12"/>
      <c r="F740" s="12"/>
      <c r="G740" s="12" t="b">
        <v>0</v>
      </c>
      <c r="H740" s="8" t="s">
        <v>11601</v>
      </c>
      <c r="I740" s="8" t="s">
        <v>11602</v>
      </c>
      <c r="J740" s="12"/>
      <c r="K740" s="8" t="s">
        <v>11002</v>
      </c>
      <c r="L740" s="8">
        <v>25.0</v>
      </c>
      <c r="M740" s="8" t="s">
        <v>1295</v>
      </c>
      <c r="N740" s="12"/>
      <c r="O740" s="12"/>
      <c r="P740" s="12"/>
    </row>
    <row r="741">
      <c r="A741" s="28"/>
      <c r="B741" s="12"/>
      <c r="C741" s="12"/>
      <c r="D741" s="12"/>
      <c r="E741" s="12"/>
      <c r="F741" s="12"/>
      <c r="G741" s="12" t="b">
        <v>0</v>
      </c>
      <c r="H741" s="8" t="s">
        <v>11603</v>
      </c>
      <c r="I741" s="8" t="s">
        <v>11604</v>
      </c>
      <c r="J741" s="12"/>
      <c r="K741" s="8" t="s">
        <v>11605</v>
      </c>
      <c r="L741" s="8">
        <v>20.0</v>
      </c>
      <c r="M741" s="8" t="s">
        <v>11606</v>
      </c>
      <c r="N741" s="12"/>
      <c r="O741" s="8" t="s">
        <v>11607</v>
      </c>
      <c r="P741" s="28" t="s">
        <v>11608</v>
      </c>
    </row>
    <row r="742">
      <c r="A742" s="28"/>
      <c r="B742" s="12"/>
      <c r="C742" s="12"/>
      <c r="D742" s="12"/>
      <c r="E742" s="12"/>
      <c r="F742" s="12"/>
      <c r="G742" s="12" t="b">
        <v>0</v>
      </c>
      <c r="H742" s="8" t="s">
        <v>11609</v>
      </c>
      <c r="I742" s="8" t="s">
        <v>11610</v>
      </c>
      <c r="J742" s="12"/>
      <c r="K742" s="8" t="s">
        <v>8175</v>
      </c>
      <c r="L742" s="8">
        <v>13.0</v>
      </c>
      <c r="M742" s="8" t="s">
        <v>11611</v>
      </c>
      <c r="N742" s="12"/>
      <c r="O742" s="8" t="s">
        <v>9792</v>
      </c>
      <c r="P742" s="28" t="s">
        <v>11612</v>
      </c>
    </row>
    <row r="743">
      <c r="A743" s="28"/>
      <c r="B743" s="12"/>
      <c r="C743" s="12"/>
      <c r="D743" s="12"/>
      <c r="E743" s="12"/>
      <c r="F743" s="12"/>
      <c r="G743" s="12" t="b">
        <v>0</v>
      </c>
      <c r="H743" s="8" t="s">
        <v>11613</v>
      </c>
      <c r="I743" s="8" t="s">
        <v>11614</v>
      </c>
      <c r="J743" s="12"/>
      <c r="K743" s="8" t="s">
        <v>11046</v>
      </c>
      <c r="L743" s="8">
        <v>50.0</v>
      </c>
      <c r="M743" s="8" t="s">
        <v>11615</v>
      </c>
      <c r="N743" s="12"/>
      <c r="O743" s="8" t="s">
        <v>11616</v>
      </c>
      <c r="P743" s="28" t="s">
        <v>11617</v>
      </c>
    </row>
    <row r="744">
      <c r="A744" s="28"/>
      <c r="B744" s="12"/>
      <c r="C744" s="12"/>
      <c r="D744" s="12"/>
      <c r="E744" s="12"/>
      <c r="F744" s="12"/>
      <c r="G744" s="12" t="b">
        <v>0</v>
      </c>
      <c r="H744" s="8" t="s">
        <v>11618</v>
      </c>
      <c r="I744" s="8" t="s">
        <v>11619</v>
      </c>
      <c r="J744" s="12"/>
      <c r="K744" s="8" t="s">
        <v>7722</v>
      </c>
      <c r="L744" s="8">
        <v>65.0</v>
      </c>
      <c r="M744" s="8" t="s">
        <v>11620</v>
      </c>
      <c r="N744" s="8" t="s">
        <v>11621</v>
      </c>
      <c r="O744" s="8" t="s">
        <v>8865</v>
      </c>
      <c r="P744" s="28" t="s">
        <v>11622</v>
      </c>
    </row>
    <row r="745">
      <c r="A745" s="28"/>
      <c r="B745" s="12"/>
      <c r="C745" s="12"/>
      <c r="D745" s="12"/>
      <c r="E745" s="12"/>
      <c r="F745" s="12"/>
      <c r="G745" s="12" t="b">
        <v>0</v>
      </c>
      <c r="H745" s="28" t="s">
        <v>11623</v>
      </c>
      <c r="I745" s="8" t="s">
        <v>11624</v>
      </c>
      <c r="J745" s="12"/>
      <c r="K745" s="8" t="s">
        <v>7722</v>
      </c>
      <c r="L745" s="8">
        <v>11.0</v>
      </c>
      <c r="M745" s="8" t="s">
        <v>11625</v>
      </c>
      <c r="N745" s="12"/>
      <c r="O745" s="8" t="s">
        <v>7872</v>
      </c>
      <c r="P745" s="28" t="s">
        <v>11626</v>
      </c>
    </row>
    <row r="746">
      <c r="A746" s="28"/>
      <c r="B746" s="12"/>
      <c r="C746" s="12"/>
      <c r="D746" s="12"/>
      <c r="E746" s="12"/>
      <c r="F746" s="12"/>
      <c r="G746" s="12" t="b">
        <v>0</v>
      </c>
      <c r="H746" s="8" t="s">
        <v>11627</v>
      </c>
      <c r="I746" s="8" t="s">
        <v>11628</v>
      </c>
      <c r="J746" s="12"/>
      <c r="K746" s="8" t="s">
        <v>7722</v>
      </c>
      <c r="L746" s="8">
        <v>10.0</v>
      </c>
      <c r="M746" s="8" t="s">
        <v>11629</v>
      </c>
      <c r="N746" s="8" t="s">
        <v>11630</v>
      </c>
      <c r="O746" s="8" t="s">
        <v>11631</v>
      </c>
      <c r="P746" s="28" t="s">
        <v>11632</v>
      </c>
    </row>
    <row r="747">
      <c r="A747" s="28"/>
      <c r="B747" s="12"/>
      <c r="C747" s="12"/>
      <c r="D747" s="12"/>
      <c r="E747" s="12"/>
      <c r="F747" s="12"/>
      <c r="G747" s="12" t="b">
        <v>0</v>
      </c>
      <c r="H747" s="8" t="s">
        <v>11633</v>
      </c>
      <c r="I747" s="8" t="s">
        <v>11634</v>
      </c>
      <c r="J747" s="12"/>
      <c r="K747" s="8" t="s">
        <v>7722</v>
      </c>
      <c r="L747" s="8">
        <v>13.0</v>
      </c>
      <c r="M747" s="8" t="s">
        <v>11635</v>
      </c>
      <c r="N747" s="8" t="s">
        <v>11636</v>
      </c>
      <c r="O747" s="8" t="s">
        <v>11637</v>
      </c>
      <c r="P747" s="28" t="s">
        <v>11638</v>
      </c>
    </row>
    <row r="748">
      <c r="A748" s="28"/>
      <c r="B748" s="12"/>
      <c r="C748" s="12"/>
      <c r="D748" s="12"/>
      <c r="E748" s="12"/>
      <c r="F748" s="12"/>
      <c r="G748" s="12" t="b">
        <v>0</v>
      </c>
      <c r="H748" s="8" t="s">
        <v>11639</v>
      </c>
      <c r="I748" s="8" t="s">
        <v>11640</v>
      </c>
      <c r="J748" s="12"/>
      <c r="K748" s="8" t="s">
        <v>7722</v>
      </c>
      <c r="L748" s="8">
        <v>25.0</v>
      </c>
      <c r="M748" s="8" t="s">
        <v>11641</v>
      </c>
      <c r="N748" s="8" t="s">
        <v>11642</v>
      </c>
      <c r="O748" s="8" t="s">
        <v>10271</v>
      </c>
      <c r="P748" s="28" t="s">
        <v>11643</v>
      </c>
    </row>
    <row r="749">
      <c r="A749" s="28"/>
      <c r="B749" s="12"/>
      <c r="C749" s="12"/>
      <c r="D749" s="12"/>
      <c r="E749" s="12"/>
      <c r="F749" s="12"/>
      <c r="G749" s="12" t="b">
        <v>0</v>
      </c>
      <c r="H749" s="28" t="s">
        <v>11644</v>
      </c>
      <c r="I749" s="8" t="s">
        <v>11645</v>
      </c>
      <c r="J749" s="12"/>
      <c r="K749" s="8" t="s">
        <v>8337</v>
      </c>
      <c r="L749" s="8">
        <v>38.0</v>
      </c>
      <c r="M749" s="8" t="s">
        <v>11646</v>
      </c>
      <c r="N749" s="12"/>
      <c r="O749" s="8" t="s">
        <v>8796</v>
      </c>
      <c r="P749" s="28" t="s">
        <v>11647</v>
      </c>
    </row>
    <row r="750">
      <c r="A750" s="28"/>
      <c r="B750" s="12"/>
      <c r="C750" s="12"/>
      <c r="D750" s="12"/>
      <c r="E750" s="12"/>
      <c r="F750" s="12"/>
      <c r="G750" s="12" t="b">
        <v>0</v>
      </c>
      <c r="H750" s="28" t="s">
        <v>11648</v>
      </c>
      <c r="I750" s="8" t="s">
        <v>11649</v>
      </c>
      <c r="J750" s="12"/>
      <c r="K750" s="8" t="s">
        <v>8109</v>
      </c>
      <c r="L750" s="8">
        <v>12.0</v>
      </c>
      <c r="M750" s="8" t="s">
        <v>11650</v>
      </c>
      <c r="N750" s="12"/>
      <c r="O750" s="8" t="s">
        <v>11651</v>
      </c>
      <c r="P750" s="28" t="s">
        <v>11652</v>
      </c>
    </row>
    <row r="751">
      <c r="A751" s="28"/>
      <c r="B751" s="12"/>
      <c r="C751" s="12"/>
      <c r="D751" s="12"/>
      <c r="E751" s="12"/>
      <c r="F751" s="12"/>
      <c r="G751" s="12" t="b">
        <v>0</v>
      </c>
      <c r="H751" s="8" t="s">
        <v>11653</v>
      </c>
      <c r="I751" s="8" t="s">
        <v>11654</v>
      </c>
      <c r="J751" s="12"/>
      <c r="K751" s="8" t="s">
        <v>8141</v>
      </c>
      <c r="L751" s="8">
        <v>75.0</v>
      </c>
      <c r="M751" s="8" t="s">
        <v>11655</v>
      </c>
      <c r="N751" s="12"/>
      <c r="O751" s="8" t="s">
        <v>11656</v>
      </c>
      <c r="P751" s="28" t="s">
        <v>11657</v>
      </c>
    </row>
    <row r="752">
      <c r="A752" s="6"/>
      <c r="G752" s="6" t="b">
        <v>0</v>
      </c>
    </row>
    <row r="753">
      <c r="A753" s="6"/>
      <c r="G753" s="6" t="b">
        <v>0</v>
      </c>
    </row>
    <row r="754">
      <c r="A754" s="6"/>
      <c r="G754" s="6" t="b">
        <v>0</v>
      </c>
    </row>
    <row r="755">
      <c r="A755" s="6"/>
      <c r="G755" s="6" t="b">
        <v>0</v>
      </c>
    </row>
    <row r="756">
      <c r="A756" s="6"/>
      <c r="G756" s="6" t="b">
        <v>0</v>
      </c>
    </row>
    <row r="757">
      <c r="A757" s="6"/>
      <c r="G757" s="6" t="b">
        <v>0</v>
      </c>
    </row>
    <row r="758">
      <c r="A758" s="6"/>
      <c r="G758" s="6" t="b">
        <v>0</v>
      </c>
    </row>
    <row r="759">
      <c r="A759" s="6"/>
      <c r="G759" s="6" t="b">
        <v>0</v>
      </c>
    </row>
    <row r="760">
      <c r="A760" s="6"/>
      <c r="G760" s="6" t="b">
        <v>0</v>
      </c>
    </row>
    <row r="761">
      <c r="A761" s="6"/>
      <c r="G761" s="6" t="b">
        <v>0</v>
      </c>
    </row>
    <row r="762">
      <c r="A762" s="6"/>
      <c r="G762" s="6" t="b">
        <v>0</v>
      </c>
    </row>
    <row r="763">
      <c r="A763" s="6"/>
      <c r="G763" s="6" t="b">
        <v>0</v>
      </c>
    </row>
    <row r="764">
      <c r="A764" s="6"/>
      <c r="G764" s="6" t="b">
        <v>0</v>
      </c>
    </row>
    <row r="765">
      <c r="A765" s="6"/>
      <c r="G765" s="6" t="b">
        <v>0</v>
      </c>
    </row>
    <row r="766">
      <c r="A766" s="6"/>
      <c r="G766" s="6" t="b">
        <v>0</v>
      </c>
    </row>
    <row r="767">
      <c r="A767" s="6"/>
      <c r="G767" s="6" t="b">
        <v>0</v>
      </c>
    </row>
    <row r="768">
      <c r="A768" s="6"/>
      <c r="G768" s="6" t="b">
        <v>0</v>
      </c>
    </row>
    <row r="769">
      <c r="A769" s="6"/>
      <c r="G769" s="6" t="b">
        <v>0</v>
      </c>
    </row>
    <row r="770">
      <c r="A770" s="6"/>
      <c r="G770" s="6" t="b">
        <v>0</v>
      </c>
    </row>
    <row r="771">
      <c r="A771" s="6"/>
      <c r="G771" s="6" t="b">
        <v>0</v>
      </c>
    </row>
    <row r="772">
      <c r="A772" s="6"/>
      <c r="G772" s="6" t="b">
        <v>0</v>
      </c>
    </row>
    <row r="773">
      <c r="A773" s="6"/>
      <c r="G773" s="6" t="b">
        <v>0</v>
      </c>
    </row>
    <row r="774">
      <c r="A774" s="6"/>
      <c r="G774" s="6" t="b">
        <v>0</v>
      </c>
    </row>
    <row r="775">
      <c r="A775" s="6"/>
      <c r="G775" s="6" t="b">
        <v>0</v>
      </c>
    </row>
    <row r="776">
      <c r="A776" s="6"/>
      <c r="G776" s="6" t="b">
        <v>0</v>
      </c>
    </row>
    <row r="777">
      <c r="A777" s="6"/>
      <c r="G777" s="6" t="b">
        <v>0</v>
      </c>
    </row>
    <row r="778">
      <c r="A778" s="6"/>
      <c r="G778" s="6" t="b">
        <v>0</v>
      </c>
    </row>
    <row r="779">
      <c r="A779" s="6"/>
      <c r="G779" s="6" t="b">
        <v>0</v>
      </c>
    </row>
    <row r="780">
      <c r="A780" s="6"/>
      <c r="G780" s="6" t="b">
        <v>0</v>
      </c>
    </row>
    <row r="781">
      <c r="A781" s="6"/>
      <c r="G781" s="6" t="b">
        <v>0</v>
      </c>
    </row>
    <row r="782">
      <c r="A782" s="6"/>
      <c r="G782" s="6" t="b">
        <v>0</v>
      </c>
    </row>
    <row r="783">
      <c r="A783" s="6"/>
      <c r="G783" s="6" t="b">
        <v>0</v>
      </c>
    </row>
    <row r="784">
      <c r="A784" s="6"/>
      <c r="G784" s="6" t="b">
        <v>0</v>
      </c>
    </row>
    <row r="785">
      <c r="A785" s="6"/>
      <c r="G785" s="6" t="b">
        <v>0</v>
      </c>
    </row>
    <row r="786">
      <c r="A786" s="6"/>
      <c r="G786" s="6" t="b">
        <v>0</v>
      </c>
    </row>
    <row r="787">
      <c r="A787" s="6"/>
      <c r="G787" s="6" t="b">
        <v>0</v>
      </c>
    </row>
    <row r="788">
      <c r="A788" s="6"/>
      <c r="G788" s="6" t="b">
        <v>0</v>
      </c>
    </row>
    <row r="789">
      <c r="A789" s="6"/>
      <c r="G789" s="6" t="b">
        <v>0</v>
      </c>
    </row>
    <row r="790">
      <c r="A790" s="6"/>
      <c r="G790" s="6" t="b">
        <v>0</v>
      </c>
    </row>
    <row r="791">
      <c r="A791" s="6"/>
      <c r="G791" s="6" t="b">
        <v>0</v>
      </c>
    </row>
    <row r="792">
      <c r="A792" s="6"/>
      <c r="G792" s="6" t="b">
        <v>0</v>
      </c>
    </row>
    <row r="793">
      <c r="A793" s="6"/>
      <c r="G793" s="6" t="b">
        <v>0</v>
      </c>
    </row>
    <row r="794">
      <c r="A794" s="6"/>
      <c r="G794" s="6" t="b">
        <v>0</v>
      </c>
    </row>
    <row r="795">
      <c r="A795" s="6"/>
      <c r="G795" s="6" t="b">
        <v>0</v>
      </c>
    </row>
    <row r="796">
      <c r="A796" s="6"/>
      <c r="G796" s="6" t="b">
        <v>0</v>
      </c>
    </row>
    <row r="797">
      <c r="A797" s="6"/>
      <c r="G797" s="6" t="b">
        <v>0</v>
      </c>
    </row>
    <row r="798">
      <c r="A798" s="6"/>
      <c r="G798" s="6" t="b">
        <v>0</v>
      </c>
    </row>
    <row r="799">
      <c r="A799" s="6"/>
      <c r="G799" s="6" t="b">
        <v>0</v>
      </c>
    </row>
    <row r="800">
      <c r="A800" s="6"/>
      <c r="G800" s="6" t="b">
        <v>0</v>
      </c>
    </row>
    <row r="801">
      <c r="A801" s="6"/>
      <c r="G801" s="6" t="b">
        <v>0</v>
      </c>
    </row>
    <row r="802">
      <c r="A802" s="6"/>
      <c r="G802" s="6" t="b">
        <v>0</v>
      </c>
    </row>
    <row r="803">
      <c r="A803" s="6"/>
      <c r="G803" s="6" t="b">
        <v>0</v>
      </c>
    </row>
    <row r="804">
      <c r="A804" s="6"/>
      <c r="G804" s="6" t="b">
        <v>0</v>
      </c>
    </row>
    <row r="805">
      <c r="A805" s="6"/>
      <c r="G805" s="6" t="b">
        <v>0</v>
      </c>
    </row>
    <row r="806">
      <c r="A806" s="6"/>
      <c r="G806" s="6" t="b">
        <v>0</v>
      </c>
    </row>
    <row r="807">
      <c r="A807" s="6"/>
      <c r="G807" s="6" t="b">
        <v>0</v>
      </c>
    </row>
    <row r="808">
      <c r="A808" s="6"/>
      <c r="G808" s="6" t="b">
        <v>0</v>
      </c>
    </row>
    <row r="809">
      <c r="A809" s="6"/>
      <c r="G809" s="6" t="b">
        <v>0</v>
      </c>
    </row>
    <row r="810">
      <c r="A810" s="6"/>
      <c r="G810" s="6" t="b">
        <v>0</v>
      </c>
    </row>
    <row r="811">
      <c r="A811" s="6"/>
      <c r="G811" s="6" t="b">
        <v>0</v>
      </c>
    </row>
    <row r="812">
      <c r="A812" s="6"/>
      <c r="G812" s="6" t="b">
        <v>0</v>
      </c>
    </row>
    <row r="813">
      <c r="A813" s="6"/>
      <c r="G813" s="6" t="b">
        <v>0</v>
      </c>
    </row>
    <row r="814">
      <c r="A814" s="6"/>
      <c r="G814" s="6" t="b">
        <v>0</v>
      </c>
    </row>
    <row r="815">
      <c r="A815" s="6"/>
      <c r="G815" s="6" t="b">
        <v>0</v>
      </c>
    </row>
    <row r="816">
      <c r="A816" s="6"/>
      <c r="G816" s="6" t="b">
        <v>0</v>
      </c>
    </row>
    <row r="817">
      <c r="A817" s="6"/>
      <c r="G817" s="6" t="b">
        <v>0</v>
      </c>
    </row>
    <row r="818">
      <c r="A818" s="6"/>
      <c r="G818" s="6" t="b">
        <v>0</v>
      </c>
    </row>
    <row r="819">
      <c r="A819" s="6"/>
      <c r="G819" s="6" t="b">
        <v>0</v>
      </c>
    </row>
    <row r="820">
      <c r="A820" s="6"/>
      <c r="G820" s="6" t="b">
        <v>0</v>
      </c>
    </row>
    <row r="821">
      <c r="A821" s="6"/>
      <c r="G821" s="6" t="b">
        <v>0</v>
      </c>
    </row>
    <row r="822">
      <c r="A822" s="6"/>
      <c r="G822" s="6" t="b">
        <v>0</v>
      </c>
    </row>
    <row r="823">
      <c r="A823" s="6"/>
      <c r="G823" s="6" t="b">
        <v>0</v>
      </c>
    </row>
    <row r="824">
      <c r="A824" s="6"/>
      <c r="G824" s="6" t="b">
        <v>0</v>
      </c>
    </row>
    <row r="825">
      <c r="A825" s="6"/>
      <c r="G825" s="6" t="b">
        <v>0</v>
      </c>
    </row>
    <row r="826">
      <c r="A826" s="6"/>
      <c r="G826" s="6" t="b">
        <v>0</v>
      </c>
    </row>
    <row r="827">
      <c r="A827" s="6"/>
      <c r="G827" s="6" t="b">
        <v>0</v>
      </c>
    </row>
    <row r="828">
      <c r="A828" s="6"/>
      <c r="G828" s="6" t="b">
        <v>0</v>
      </c>
    </row>
    <row r="829">
      <c r="A829" s="6"/>
      <c r="G829" s="6" t="b">
        <v>0</v>
      </c>
    </row>
    <row r="830">
      <c r="A830" s="6"/>
      <c r="G830" s="6" t="b">
        <v>0</v>
      </c>
    </row>
    <row r="831">
      <c r="A831" s="6"/>
      <c r="G831" s="6" t="b">
        <v>0</v>
      </c>
    </row>
    <row r="832">
      <c r="A832" s="6"/>
      <c r="G832" s="6" t="b">
        <v>0</v>
      </c>
    </row>
    <row r="833">
      <c r="A833" s="6"/>
      <c r="G833" s="6" t="b">
        <v>0</v>
      </c>
    </row>
    <row r="834">
      <c r="A834" s="6"/>
      <c r="G834" s="6" t="b">
        <v>0</v>
      </c>
    </row>
    <row r="835">
      <c r="A835" s="6"/>
      <c r="G835" s="6" t="b">
        <v>0</v>
      </c>
    </row>
    <row r="836">
      <c r="A836" s="6"/>
      <c r="G836" s="6" t="b">
        <v>0</v>
      </c>
    </row>
    <row r="837">
      <c r="A837" s="6"/>
      <c r="G837" s="6" t="b">
        <v>0</v>
      </c>
    </row>
    <row r="838">
      <c r="A838" s="6"/>
      <c r="G838" s="6" t="b">
        <v>0</v>
      </c>
    </row>
    <row r="839">
      <c r="A839" s="6"/>
      <c r="G839" s="6" t="b">
        <v>0</v>
      </c>
    </row>
    <row r="840">
      <c r="A840" s="6"/>
      <c r="G840" s="6" t="b">
        <v>0</v>
      </c>
    </row>
    <row r="841">
      <c r="A841" s="6"/>
      <c r="G841" s="6" t="b">
        <v>0</v>
      </c>
    </row>
    <row r="842">
      <c r="A842" s="6"/>
      <c r="G842" s="6" t="b">
        <v>0</v>
      </c>
    </row>
    <row r="843">
      <c r="A843" s="6"/>
      <c r="G843" s="6" t="b">
        <v>0</v>
      </c>
    </row>
    <row r="844">
      <c r="A844" s="6"/>
      <c r="G844" s="6" t="b">
        <v>0</v>
      </c>
    </row>
    <row r="845">
      <c r="A845" s="6"/>
      <c r="G845" s="6" t="b">
        <v>0</v>
      </c>
    </row>
    <row r="846">
      <c r="A846" s="6"/>
      <c r="G846" s="6" t="b">
        <v>0</v>
      </c>
    </row>
    <row r="847">
      <c r="A847" s="6"/>
      <c r="G847" s="6" t="b">
        <v>0</v>
      </c>
    </row>
    <row r="848">
      <c r="A848" s="6"/>
      <c r="G848" s="6" t="b">
        <v>0</v>
      </c>
    </row>
    <row r="849">
      <c r="A849" s="6"/>
      <c r="G849" s="6" t="b">
        <v>0</v>
      </c>
    </row>
    <row r="850">
      <c r="A850" s="6"/>
      <c r="G850" s="6" t="b">
        <v>0</v>
      </c>
    </row>
    <row r="851">
      <c r="A851" s="6"/>
      <c r="G851" s="6" t="b">
        <v>0</v>
      </c>
    </row>
    <row r="852">
      <c r="A852" s="6"/>
      <c r="G852" s="6" t="b">
        <v>0</v>
      </c>
    </row>
    <row r="853">
      <c r="A853" s="6"/>
      <c r="G853" s="6" t="b">
        <v>0</v>
      </c>
    </row>
    <row r="854">
      <c r="A854" s="6"/>
      <c r="G854" s="6" t="b">
        <v>0</v>
      </c>
    </row>
    <row r="855">
      <c r="A855" s="6"/>
      <c r="G855" s="6" t="b">
        <v>0</v>
      </c>
    </row>
    <row r="856">
      <c r="A856" s="6"/>
      <c r="G856" s="6" t="b">
        <v>0</v>
      </c>
    </row>
    <row r="857">
      <c r="A857" s="6"/>
      <c r="G857" s="6" t="b">
        <v>0</v>
      </c>
    </row>
    <row r="858">
      <c r="A858" s="6"/>
      <c r="G858" s="6" t="b">
        <v>0</v>
      </c>
    </row>
    <row r="859">
      <c r="A859" s="6"/>
      <c r="G859" s="6" t="b">
        <v>0</v>
      </c>
    </row>
    <row r="860">
      <c r="A860" s="6"/>
      <c r="G860" s="6" t="b">
        <v>0</v>
      </c>
    </row>
    <row r="861">
      <c r="A861" s="6"/>
      <c r="G861" s="6" t="b">
        <v>0</v>
      </c>
    </row>
    <row r="862">
      <c r="A862" s="6"/>
      <c r="G862" s="6" t="b">
        <v>0</v>
      </c>
    </row>
    <row r="863">
      <c r="A863" s="6"/>
      <c r="G863" s="6" t="b">
        <v>0</v>
      </c>
    </row>
    <row r="864">
      <c r="A864" s="6"/>
      <c r="G864" s="6" t="b">
        <v>0</v>
      </c>
    </row>
    <row r="865">
      <c r="A865" s="6"/>
      <c r="G865" s="6" t="b">
        <v>0</v>
      </c>
    </row>
    <row r="866">
      <c r="A866" s="6"/>
      <c r="G866" s="6" t="b">
        <v>0</v>
      </c>
    </row>
    <row r="867">
      <c r="A867" s="6"/>
      <c r="G867" s="6" t="b">
        <v>0</v>
      </c>
    </row>
    <row r="868">
      <c r="A868" s="6"/>
      <c r="G868" s="6" t="b">
        <v>0</v>
      </c>
    </row>
    <row r="869">
      <c r="A869" s="6"/>
      <c r="G869" s="6" t="b">
        <v>0</v>
      </c>
    </row>
    <row r="870">
      <c r="A870" s="6"/>
      <c r="G870" s="6" t="b">
        <v>0</v>
      </c>
    </row>
    <row r="871">
      <c r="A871" s="6"/>
      <c r="G871" s="6" t="b">
        <v>0</v>
      </c>
    </row>
    <row r="872">
      <c r="A872" s="6"/>
      <c r="G872" s="6" t="b">
        <v>0</v>
      </c>
    </row>
    <row r="873">
      <c r="A873" s="6"/>
      <c r="G873" s="6" t="b">
        <v>0</v>
      </c>
    </row>
    <row r="874">
      <c r="A874" s="6"/>
      <c r="G874" s="6" t="b">
        <v>0</v>
      </c>
    </row>
    <row r="875">
      <c r="A875" s="6"/>
      <c r="G875" s="6" t="b">
        <v>0</v>
      </c>
    </row>
    <row r="876">
      <c r="A876" s="6"/>
      <c r="G876" s="6" t="b">
        <v>0</v>
      </c>
    </row>
    <row r="877">
      <c r="A877" s="6"/>
      <c r="G877" s="6" t="b">
        <v>0</v>
      </c>
    </row>
    <row r="878">
      <c r="A878" s="6"/>
      <c r="G878" s="6" t="b">
        <v>0</v>
      </c>
    </row>
    <row r="879">
      <c r="A879" s="6"/>
      <c r="G879" s="6" t="b">
        <v>0</v>
      </c>
    </row>
    <row r="880">
      <c r="A880" s="6"/>
      <c r="G880" s="6" t="b">
        <v>0</v>
      </c>
    </row>
    <row r="881">
      <c r="A881" s="6"/>
      <c r="G881" s="6" t="b">
        <v>0</v>
      </c>
    </row>
    <row r="882">
      <c r="A882" s="6"/>
      <c r="G882" s="6" t="b">
        <v>0</v>
      </c>
    </row>
    <row r="883">
      <c r="A883" s="6"/>
      <c r="G883" s="6" t="b">
        <v>0</v>
      </c>
    </row>
    <row r="884">
      <c r="A884" s="6"/>
      <c r="G884" s="6" t="b">
        <v>0</v>
      </c>
    </row>
    <row r="885">
      <c r="A885" s="6"/>
      <c r="G885" s="6" t="b">
        <v>0</v>
      </c>
    </row>
    <row r="886">
      <c r="A886" s="6"/>
      <c r="G886" s="6" t="b">
        <v>0</v>
      </c>
    </row>
    <row r="887">
      <c r="A887" s="6"/>
      <c r="G887" s="6" t="b">
        <v>0</v>
      </c>
    </row>
    <row r="888">
      <c r="A888" s="6"/>
      <c r="G888" s="6" t="b">
        <v>0</v>
      </c>
    </row>
    <row r="889">
      <c r="A889" s="6"/>
      <c r="G889" s="6" t="b">
        <v>0</v>
      </c>
    </row>
    <row r="890">
      <c r="A890" s="6"/>
      <c r="G890" s="6" t="b">
        <v>0</v>
      </c>
    </row>
    <row r="891">
      <c r="A891" s="6"/>
      <c r="G891" s="6" t="b">
        <v>0</v>
      </c>
    </row>
    <row r="892">
      <c r="A892" s="6"/>
      <c r="G892" s="6" t="b">
        <v>0</v>
      </c>
    </row>
    <row r="893">
      <c r="A893" s="6"/>
      <c r="G893" s="6" t="b">
        <v>0</v>
      </c>
    </row>
    <row r="894">
      <c r="A894" s="6"/>
      <c r="G894" s="6" t="b">
        <v>0</v>
      </c>
    </row>
    <row r="895">
      <c r="A895" s="6"/>
      <c r="G895" s="6" t="b">
        <v>0</v>
      </c>
    </row>
    <row r="896">
      <c r="A896" s="6"/>
      <c r="G896" s="6" t="b">
        <v>0</v>
      </c>
    </row>
    <row r="897">
      <c r="A897" s="6"/>
      <c r="G897" s="6" t="b">
        <v>0</v>
      </c>
    </row>
    <row r="898">
      <c r="A898" s="6"/>
      <c r="G898" s="6" t="b">
        <v>0</v>
      </c>
    </row>
    <row r="899">
      <c r="A899" s="6"/>
      <c r="G899" s="6" t="b">
        <v>0</v>
      </c>
    </row>
    <row r="900">
      <c r="A900" s="6"/>
      <c r="G900" s="6" t="b">
        <v>0</v>
      </c>
    </row>
    <row r="901">
      <c r="A901" s="6"/>
      <c r="G901" s="6" t="b">
        <v>0</v>
      </c>
    </row>
    <row r="902">
      <c r="A902" s="6"/>
      <c r="G902" s="6" t="b">
        <v>0</v>
      </c>
    </row>
    <row r="903">
      <c r="A903" s="6"/>
      <c r="G903" s="6" t="b">
        <v>0</v>
      </c>
    </row>
    <row r="904">
      <c r="A904" s="6"/>
      <c r="G904" s="6" t="b">
        <v>0</v>
      </c>
    </row>
    <row r="905">
      <c r="A905" s="6"/>
      <c r="G905" s="6" t="b">
        <v>0</v>
      </c>
    </row>
    <row r="906">
      <c r="A906" s="6"/>
      <c r="G906" s="6" t="b">
        <v>0</v>
      </c>
    </row>
    <row r="907">
      <c r="A907" s="6"/>
      <c r="G907" s="6" t="b">
        <v>0</v>
      </c>
    </row>
    <row r="908">
      <c r="A908" s="6"/>
      <c r="G908" s="6" t="b">
        <v>0</v>
      </c>
    </row>
    <row r="909">
      <c r="A909" s="6"/>
      <c r="G909" s="6" t="b">
        <v>0</v>
      </c>
    </row>
    <row r="910">
      <c r="A910" s="6"/>
      <c r="G910" s="6" t="b">
        <v>0</v>
      </c>
    </row>
    <row r="911">
      <c r="A911" s="6"/>
      <c r="G911" s="6" t="b">
        <v>0</v>
      </c>
    </row>
    <row r="912">
      <c r="A912" s="6"/>
      <c r="G912" s="6" t="b">
        <v>0</v>
      </c>
    </row>
    <row r="913">
      <c r="A913" s="6"/>
      <c r="G913" s="6" t="b">
        <v>0</v>
      </c>
    </row>
    <row r="914">
      <c r="A914" s="6"/>
      <c r="G914" s="6" t="b">
        <v>0</v>
      </c>
    </row>
    <row r="915">
      <c r="A915" s="6"/>
      <c r="G915" s="6" t="b">
        <v>0</v>
      </c>
    </row>
    <row r="916">
      <c r="A916" s="6"/>
      <c r="G916" s="6" t="b">
        <v>0</v>
      </c>
    </row>
    <row r="917">
      <c r="A917" s="6"/>
      <c r="G917" s="6" t="b">
        <v>0</v>
      </c>
    </row>
    <row r="918">
      <c r="A918" s="6"/>
      <c r="G918" s="6" t="b">
        <v>0</v>
      </c>
    </row>
    <row r="919">
      <c r="A919" s="6"/>
      <c r="G919" s="6" t="b">
        <v>0</v>
      </c>
    </row>
    <row r="920">
      <c r="A920" s="6"/>
      <c r="G920" s="6" t="b">
        <v>0</v>
      </c>
    </row>
    <row r="921">
      <c r="A921" s="6"/>
      <c r="G921" s="6" t="b">
        <v>0</v>
      </c>
    </row>
    <row r="922">
      <c r="A922" s="6"/>
      <c r="G922" s="6" t="b">
        <v>0</v>
      </c>
    </row>
    <row r="923">
      <c r="A923" s="6"/>
      <c r="G923" s="6" t="b">
        <v>0</v>
      </c>
    </row>
    <row r="924">
      <c r="A924" s="6"/>
      <c r="G924" s="6" t="b">
        <v>0</v>
      </c>
    </row>
    <row r="925">
      <c r="A925" s="6"/>
      <c r="G925" s="6" t="b">
        <v>0</v>
      </c>
    </row>
    <row r="926">
      <c r="A926" s="6"/>
      <c r="G926" s="6" t="b">
        <v>0</v>
      </c>
    </row>
    <row r="927">
      <c r="A927" s="6"/>
      <c r="G927" s="6" t="b">
        <v>0</v>
      </c>
    </row>
    <row r="928">
      <c r="A928" s="6"/>
      <c r="G928" s="6" t="b">
        <v>0</v>
      </c>
    </row>
    <row r="929">
      <c r="A929" s="6"/>
      <c r="G929" s="6" t="b">
        <v>0</v>
      </c>
    </row>
    <row r="930">
      <c r="A930" s="6"/>
      <c r="G930" s="6" t="b">
        <v>0</v>
      </c>
    </row>
    <row r="931">
      <c r="A931" s="6"/>
      <c r="G931" s="6" t="b">
        <v>0</v>
      </c>
    </row>
    <row r="932">
      <c r="A932" s="6"/>
      <c r="G932" s="6" t="b">
        <v>0</v>
      </c>
    </row>
    <row r="933">
      <c r="A933" s="6"/>
      <c r="G933" s="6" t="b">
        <v>0</v>
      </c>
    </row>
    <row r="934">
      <c r="A934" s="6"/>
      <c r="G934" s="6" t="b">
        <v>0</v>
      </c>
    </row>
    <row r="935">
      <c r="A935" s="6"/>
      <c r="G935" s="6" t="b">
        <v>0</v>
      </c>
    </row>
    <row r="936">
      <c r="A936" s="6"/>
      <c r="G936" s="6" t="b">
        <v>0</v>
      </c>
    </row>
    <row r="937">
      <c r="A937" s="6"/>
      <c r="G937" s="6" t="b">
        <v>0</v>
      </c>
    </row>
    <row r="938">
      <c r="A938" s="6"/>
      <c r="G938" s="6" t="b">
        <v>0</v>
      </c>
    </row>
    <row r="939">
      <c r="A939" s="6"/>
      <c r="G939" s="6" t="b">
        <v>0</v>
      </c>
    </row>
    <row r="940">
      <c r="A940" s="6"/>
      <c r="G940" s="6" t="b">
        <v>0</v>
      </c>
    </row>
    <row r="941">
      <c r="A941" s="6"/>
      <c r="G941" s="6" t="b">
        <v>0</v>
      </c>
    </row>
    <row r="942">
      <c r="A942" s="6"/>
      <c r="G942" s="6" t="b">
        <v>0</v>
      </c>
    </row>
    <row r="943">
      <c r="A943" s="6"/>
      <c r="G943" s="6" t="b">
        <v>0</v>
      </c>
    </row>
    <row r="944">
      <c r="A944" s="6"/>
      <c r="G944" s="6" t="b">
        <v>0</v>
      </c>
    </row>
    <row r="945">
      <c r="A945" s="6"/>
      <c r="G945" s="6" t="b">
        <v>0</v>
      </c>
    </row>
    <row r="946">
      <c r="A946" s="6"/>
      <c r="G946" s="6" t="b">
        <v>0</v>
      </c>
    </row>
    <row r="947">
      <c r="A947" s="6"/>
      <c r="G947" s="6" t="b">
        <v>0</v>
      </c>
    </row>
    <row r="948">
      <c r="A948" s="6"/>
      <c r="G948" s="6" t="b">
        <v>0</v>
      </c>
    </row>
    <row r="949">
      <c r="A949" s="6"/>
      <c r="G949" s="6" t="b">
        <v>0</v>
      </c>
    </row>
    <row r="950">
      <c r="A950" s="6"/>
      <c r="G950" s="6" t="b">
        <v>0</v>
      </c>
    </row>
    <row r="951">
      <c r="A951" s="6"/>
      <c r="G951" s="6" t="b">
        <v>0</v>
      </c>
    </row>
    <row r="952">
      <c r="A952" s="6"/>
      <c r="G952" s="6" t="b">
        <v>0</v>
      </c>
    </row>
    <row r="953">
      <c r="A953" s="6"/>
      <c r="G953" s="6" t="b">
        <v>0</v>
      </c>
    </row>
    <row r="954">
      <c r="A954" s="6"/>
      <c r="G954" s="6" t="b">
        <v>0</v>
      </c>
    </row>
    <row r="955">
      <c r="A955" s="6"/>
      <c r="G955" s="6" t="b">
        <v>0</v>
      </c>
    </row>
    <row r="956">
      <c r="A956" s="6"/>
      <c r="G956" s="6" t="b">
        <v>0</v>
      </c>
    </row>
    <row r="957">
      <c r="A957" s="6"/>
      <c r="G957" s="6" t="b">
        <v>0</v>
      </c>
    </row>
    <row r="958">
      <c r="A958" s="6"/>
      <c r="G958" s="6" t="b">
        <v>0</v>
      </c>
    </row>
    <row r="959">
      <c r="A959" s="6"/>
      <c r="G959" s="6" t="b">
        <v>0</v>
      </c>
    </row>
    <row r="960">
      <c r="A960" s="6"/>
      <c r="G960" s="6" t="b">
        <v>0</v>
      </c>
    </row>
    <row r="961">
      <c r="A961" s="6"/>
      <c r="G961" s="6" t="b">
        <v>0</v>
      </c>
    </row>
    <row r="962">
      <c r="A962" s="6"/>
      <c r="G962" s="6" t="b">
        <v>0</v>
      </c>
    </row>
    <row r="963">
      <c r="A963" s="6"/>
      <c r="G963" s="6" t="b">
        <v>0</v>
      </c>
    </row>
    <row r="964">
      <c r="A964" s="6"/>
      <c r="G964" s="6" t="b">
        <v>0</v>
      </c>
    </row>
    <row r="965">
      <c r="A965" s="6"/>
      <c r="G965" s="6" t="b">
        <v>0</v>
      </c>
    </row>
    <row r="966">
      <c r="A966" s="6"/>
      <c r="G966" s="6" t="b">
        <v>0</v>
      </c>
    </row>
    <row r="967">
      <c r="A967" s="6"/>
      <c r="G967" s="6" t="b">
        <v>0</v>
      </c>
    </row>
    <row r="968">
      <c r="A968" s="6"/>
      <c r="G968" s="6" t="b">
        <v>0</v>
      </c>
    </row>
    <row r="969">
      <c r="A969" s="6"/>
      <c r="G969" s="6" t="b">
        <v>0</v>
      </c>
    </row>
    <row r="970">
      <c r="A970" s="6"/>
      <c r="G970" s="6" t="b">
        <v>0</v>
      </c>
    </row>
    <row r="971">
      <c r="A971" s="6"/>
      <c r="G971" s="6" t="b">
        <v>0</v>
      </c>
    </row>
    <row r="972">
      <c r="A972" s="6"/>
      <c r="G972" s="6" t="b">
        <v>0</v>
      </c>
    </row>
    <row r="973">
      <c r="A973" s="6"/>
      <c r="G973" s="6" t="b">
        <v>0</v>
      </c>
    </row>
    <row r="974">
      <c r="A974" s="6"/>
      <c r="G974" s="6" t="b">
        <v>0</v>
      </c>
    </row>
    <row r="975">
      <c r="A975" s="6"/>
      <c r="G975" s="6" t="b">
        <v>0</v>
      </c>
    </row>
    <row r="976">
      <c r="A976" s="6"/>
      <c r="G976" s="6" t="b">
        <v>0</v>
      </c>
    </row>
    <row r="977">
      <c r="A977" s="6"/>
      <c r="G977" s="6" t="b">
        <v>0</v>
      </c>
    </row>
    <row r="978">
      <c r="A978" s="6"/>
      <c r="G978" s="6" t="b">
        <v>0</v>
      </c>
    </row>
    <row r="979">
      <c r="A979" s="6"/>
      <c r="G979" s="6" t="b">
        <v>0</v>
      </c>
    </row>
    <row r="980">
      <c r="A980" s="6"/>
      <c r="G980" s="6" t="b">
        <v>0</v>
      </c>
    </row>
    <row r="981">
      <c r="A981" s="6"/>
      <c r="G981" s="6" t="b">
        <v>0</v>
      </c>
    </row>
    <row r="982">
      <c r="A982" s="6"/>
      <c r="G982" s="6" t="b">
        <v>0</v>
      </c>
    </row>
    <row r="983">
      <c r="A983" s="6"/>
      <c r="G983" s="6" t="b">
        <v>0</v>
      </c>
    </row>
    <row r="984">
      <c r="A984" s="6"/>
      <c r="G984" s="6" t="b">
        <v>0</v>
      </c>
    </row>
    <row r="985">
      <c r="A985" s="6"/>
      <c r="G985" s="6" t="b">
        <v>0</v>
      </c>
    </row>
    <row r="986">
      <c r="A986" s="6"/>
      <c r="G986" s="6" t="b">
        <v>0</v>
      </c>
    </row>
    <row r="987">
      <c r="A987" s="6"/>
      <c r="G987" s="6" t="b">
        <v>0</v>
      </c>
    </row>
    <row r="988">
      <c r="A988" s="6"/>
      <c r="G988" s="6" t="b">
        <v>0</v>
      </c>
    </row>
    <row r="989">
      <c r="A989" s="6"/>
      <c r="G989" s="6" t="b">
        <v>0</v>
      </c>
    </row>
    <row r="990">
      <c r="A990" s="6"/>
      <c r="G990" s="6" t="b">
        <v>0</v>
      </c>
    </row>
    <row r="991">
      <c r="A991" s="6"/>
      <c r="G991" s="6" t="b">
        <v>0</v>
      </c>
    </row>
    <row r="992">
      <c r="A992" s="6"/>
      <c r="G992" s="6" t="b">
        <v>0</v>
      </c>
    </row>
    <row r="993">
      <c r="A993" s="6"/>
      <c r="G993" s="6" t="b">
        <v>0</v>
      </c>
    </row>
    <row r="994">
      <c r="A994" s="6"/>
      <c r="G994" s="6" t="b">
        <v>0</v>
      </c>
    </row>
    <row r="995">
      <c r="A995" s="6"/>
      <c r="G995" s="6" t="b">
        <v>0</v>
      </c>
    </row>
    <row r="996">
      <c r="A996" s="6"/>
      <c r="G996" s="6" t="b">
        <v>0</v>
      </c>
    </row>
    <row r="997">
      <c r="A997" s="6"/>
      <c r="G997" s="6" t="b">
        <v>0</v>
      </c>
    </row>
    <row r="998">
      <c r="A998" s="6"/>
      <c r="G998" s="6" t="b">
        <v>0</v>
      </c>
    </row>
    <row r="999">
      <c r="A999" s="6"/>
      <c r="G999" s="6" t="b">
        <v>0</v>
      </c>
    </row>
    <row r="1000">
      <c r="A1000" s="6"/>
      <c r="G1000" s="6" t="b">
        <v>0</v>
      </c>
    </row>
  </sheetData>
  <conditionalFormatting sqref="A2:A1000">
    <cfRule type="expression" dxfId="1" priority="1">
      <formula>COUNTIF(INDIRECT("MASTER_LIST!A$2:A"), A1)&gt;1</formula>
    </cfRule>
  </conditionalFormatting>
  <hyperlinks>
    <hyperlink r:id="rId1" ref="P2"/>
    <hyperlink r:id="rId2" ref="P3"/>
    <hyperlink r:id="rId3" ref="P4"/>
    <hyperlink r:id="rId4" ref="P5"/>
    <hyperlink r:id="rId5" ref="P6"/>
    <hyperlink r:id="rId6" ref="P7"/>
    <hyperlink r:id="rId7" ref="P8"/>
    <hyperlink r:id="rId8" ref="P9"/>
    <hyperlink r:id="rId9" ref="P10"/>
    <hyperlink r:id="rId10" ref="P11"/>
    <hyperlink r:id="rId11" ref="P12"/>
    <hyperlink r:id="rId12" ref="P13"/>
    <hyperlink r:id="rId13" ref="P14"/>
    <hyperlink r:id="rId14" ref="P15"/>
    <hyperlink r:id="rId15" ref="P16"/>
    <hyperlink r:id="rId16" ref="P17"/>
    <hyperlink r:id="rId17" ref="H18"/>
    <hyperlink r:id="rId18" ref="P18"/>
    <hyperlink r:id="rId19" ref="P19"/>
    <hyperlink r:id="rId20" ref="P20"/>
    <hyperlink r:id="rId21" ref="P21"/>
    <hyperlink r:id="rId22" ref="P22"/>
    <hyperlink r:id="rId23" ref="P23"/>
    <hyperlink r:id="rId24" ref="P24"/>
    <hyperlink r:id="rId25" ref="P25"/>
    <hyperlink r:id="rId26" ref="P26"/>
    <hyperlink r:id="rId27" ref="P27"/>
    <hyperlink r:id="rId28" ref="P28"/>
    <hyperlink r:id="rId29" ref="P29"/>
    <hyperlink r:id="rId30" ref="P30"/>
    <hyperlink r:id="rId31" ref="P31"/>
    <hyperlink r:id="rId32" ref="P32"/>
    <hyperlink r:id="rId33" ref="P33"/>
    <hyperlink r:id="rId34" ref="P34"/>
    <hyperlink r:id="rId35" ref="P35"/>
    <hyperlink r:id="rId36" ref="P36"/>
    <hyperlink r:id="rId37" ref="P37"/>
    <hyperlink r:id="rId38" ref="P38"/>
    <hyperlink r:id="rId39" ref="P39"/>
    <hyperlink r:id="rId40" ref="P40"/>
    <hyperlink r:id="rId41" ref="P41"/>
    <hyperlink r:id="rId42" ref="P42"/>
    <hyperlink r:id="rId43" ref="P43"/>
    <hyperlink r:id="rId44" ref="P44"/>
    <hyperlink r:id="rId45" ref="P45"/>
    <hyperlink r:id="rId46" ref="P46"/>
    <hyperlink r:id="rId47" ref="P47"/>
    <hyperlink r:id="rId48" ref="P48"/>
    <hyperlink r:id="rId49" ref="P49"/>
    <hyperlink r:id="rId50" ref="P50"/>
    <hyperlink r:id="rId51" ref="P51"/>
    <hyperlink r:id="rId52" ref="P52"/>
    <hyperlink r:id="rId53" ref="P53"/>
    <hyperlink r:id="rId54" ref="P54"/>
    <hyperlink r:id="rId55" ref="P55"/>
    <hyperlink r:id="rId56" ref="P56"/>
    <hyperlink r:id="rId57" ref="P57"/>
    <hyperlink r:id="rId58" ref="P58"/>
    <hyperlink r:id="rId59" ref="P59"/>
    <hyperlink r:id="rId60" ref="P60"/>
    <hyperlink r:id="rId61" ref="P61"/>
    <hyperlink r:id="rId62" ref="P62"/>
    <hyperlink r:id="rId63" ref="P63"/>
    <hyperlink r:id="rId64" ref="P64"/>
    <hyperlink r:id="rId65" ref="P65"/>
    <hyperlink r:id="rId66" ref="P66"/>
    <hyperlink r:id="rId67" ref="P67"/>
    <hyperlink r:id="rId68" ref="P68"/>
    <hyperlink r:id="rId69" ref="P69"/>
    <hyperlink r:id="rId70" ref="P70"/>
    <hyperlink r:id="rId71" ref="P71"/>
    <hyperlink r:id="rId72" ref="P72"/>
    <hyperlink r:id="rId73" ref="P73"/>
    <hyperlink r:id="rId74" ref="P74"/>
    <hyperlink r:id="rId75" ref="P75"/>
    <hyperlink r:id="rId76" ref="P77"/>
    <hyperlink r:id="rId77" ref="P78"/>
    <hyperlink r:id="rId78" ref="P79"/>
    <hyperlink r:id="rId79" ref="P80"/>
    <hyperlink r:id="rId80" ref="P81"/>
    <hyperlink r:id="rId81" ref="P82"/>
    <hyperlink r:id="rId82" ref="P83"/>
    <hyperlink r:id="rId83" ref="P84"/>
    <hyperlink r:id="rId84" ref="P85"/>
    <hyperlink r:id="rId85" ref="P86"/>
    <hyperlink r:id="rId86" ref="P87"/>
    <hyperlink r:id="rId87" ref="P88"/>
    <hyperlink r:id="rId88" ref="P89"/>
    <hyperlink r:id="rId89" ref="P90"/>
    <hyperlink r:id="rId90" ref="P91"/>
    <hyperlink r:id="rId91" ref="P92"/>
    <hyperlink r:id="rId92" ref="P93"/>
    <hyperlink r:id="rId93" ref="P94"/>
    <hyperlink r:id="rId94" ref="P96"/>
    <hyperlink r:id="rId95" ref="P97"/>
    <hyperlink r:id="rId96" ref="P98"/>
    <hyperlink r:id="rId97" ref="H99"/>
    <hyperlink r:id="rId98" ref="P99"/>
    <hyperlink r:id="rId99" ref="P100"/>
    <hyperlink r:id="rId100" ref="P101"/>
    <hyperlink r:id="rId101" ref="P102"/>
    <hyperlink r:id="rId102" ref="P103"/>
    <hyperlink r:id="rId103" ref="H104"/>
    <hyperlink r:id="rId104" ref="P104"/>
    <hyperlink r:id="rId105" ref="P106"/>
    <hyperlink r:id="rId106" ref="P107"/>
    <hyperlink r:id="rId107" ref="P108"/>
    <hyperlink r:id="rId108" ref="P109"/>
    <hyperlink r:id="rId109" ref="P110"/>
    <hyperlink r:id="rId110" ref="P111"/>
    <hyperlink r:id="rId111" ref="P112"/>
    <hyperlink r:id="rId112" ref="P113"/>
    <hyperlink r:id="rId113" ref="P114"/>
    <hyperlink r:id="rId114" ref="P115"/>
    <hyperlink r:id="rId115" ref="P116"/>
    <hyperlink r:id="rId116" ref="P117"/>
    <hyperlink r:id="rId117" ref="P118"/>
    <hyperlink r:id="rId118" ref="P119"/>
    <hyperlink r:id="rId119" ref="P120"/>
    <hyperlink r:id="rId120" ref="P121"/>
    <hyperlink r:id="rId121" ref="P122"/>
    <hyperlink r:id="rId122" ref="P123"/>
    <hyperlink r:id="rId123" ref="P125"/>
    <hyperlink r:id="rId124" ref="P126"/>
    <hyperlink r:id="rId125" ref="P127"/>
    <hyperlink r:id="rId126" ref="P128"/>
    <hyperlink r:id="rId127" ref="P129"/>
    <hyperlink r:id="rId128" ref="P130"/>
    <hyperlink r:id="rId129" ref="P131"/>
    <hyperlink r:id="rId130" ref="P132"/>
    <hyperlink r:id="rId131" ref="P133"/>
    <hyperlink r:id="rId132" ref="P135"/>
    <hyperlink r:id="rId133" ref="P136"/>
    <hyperlink r:id="rId134" ref="P138"/>
    <hyperlink r:id="rId135" ref="P139"/>
    <hyperlink r:id="rId136" ref="P140"/>
    <hyperlink r:id="rId137" ref="P141"/>
    <hyperlink r:id="rId138" ref="P142"/>
    <hyperlink r:id="rId139" ref="P144"/>
    <hyperlink r:id="rId140" ref="P145"/>
    <hyperlink r:id="rId141" ref="P147"/>
    <hyperlink r:id="rId142" ref="P148"/>
    <hyperlink r:id="rId143" ref="P149"/>
    <hyperlink r:id="rId144" ref="P150"/>
    <hyperlink r:id="rId145" ref="H151"/>
    <hyperlink r:id="rId146" ref="P151"/>
    <hyperlink r:id="rId147" ref="P152"/>
    <hyperlink r:id="rId148" ref="P153"/>
    <hyperlink r:id="rId149" ref="P154"/>
    <hyperlink r:id="rId150" ref="P155"/>
    <hyperlink r:id="rId151" ref="P156"/>
    <hyperlink r:id="rId152" ref="H157"/>
    <hyperlink r:id="rId153" ref="P157"/>
    <hyperlink r:id="rId154" ref="P158"/>
    <hyperlink r:id="rId155" ref="P159"/>
    <hyperlink r:id="rId156" ref="P160"/>
    <hyperlink r:id="rId157" ref="P162"/>
    <hyperlink r:id="rId158" ref="P163"/>
    <hyperlink r:id="rId159" ref="P165"/>
    <hyperlink r:id="rId160" ref="P167"/>
    <hyperlink r:id="rId161" ref="P168"/>
    <hyperlink r:id="rId162" ref="P169"/>
    <hyperlink r:id="rId163" ref="P170"/>
    <hyperlink r:id="rId164" ref="P171"/>
    <hyperlink r:id="rId165" ref="P172"/>
    <hyperlink r:id="rId166" ref="P173"/>
    <hyperlink r:id="rId167" ref="P174"/>
    <hyperlink r:id="rId168" ref="P176"/>
    <hyperlink r:id="rId169" ref="P177"/>
    <hyperlink r:id="rId170" ref="P178"/>
    <hyperlink r:id="rId171" ref="P179"/>
    <hyperlink r:id="rId172" ref="P181"/>
    <hyperlink r:id="rId173" ref="P182"/>
    <hyperlink r:id="rId174" ref="P185"/>
    <hyperlink r:id="rId175" ref="P188"/>
    <hyperlink r:id="rId176" ref="P189"/>
    <hyperlink r:id="rId177" ref="P190"/>
    <hyperlink r:id="rId178" ref="P191"/>
    <hyperlink r:id="rId179" ref="P192"/>
    <hyperlink r:id="rId180" ref="P193"/>
    <hyperlink r:id="rId181" ref="P194"/>
    <hyperlink r:id="rId182" ref="P195"/>
    <hyperlink r:id="rId183" ref="P196"/>
    <hyperlink r:id="rId184" ref="P198"/>
    <hyperlink r:id="rId185" ref="P200"/>
    <hyperlink r:id="rId186" ref="P201"/>
    <hyperlink r:id="rId187" ref="P202"/>
    <hyperlink r:id="rId188" ref="P203"/>
    <hyperlink r:id="rId189" ref="P204"/>
    <hyperlink r:id="rId190" ref="P205"/>
    <hyperlink r:id="rId191" ref="P206"/>
    <hyperlink r:id="rId192" ref="P207"/>
    <hyperlink r:id="rId193" ref="P208"/>
    <hyperlink r:id="rId194" ref="P209"/>
    <hyperlink r:id="rId195" ref="P210"/>
    <hyperlink r:id="rId196" ref="P211"/>
    <hyperlink r:id="rId197" ref="P212"/>
    <hyperlink r:id="rId198" ref="P213"/>
    <hyperlink r:id="rId199" ref="P214"/>
    <hyperlink r:id="rId200" ref="P215"/>
    <hyperlink r:id="rId201" ref="P216"/>
    <hyperlink r:id="rId202" ref="P217"/>
    <hyperlink r:id="rId203" ref="P218"/>
    <hyperlink r:id="rId204" ref="P221"/>
    <hyperlink r:id="rId205" ref="P222"/>
    <hyperlink r:id="rId206" ref="P223"/>
    <hyperlink r:id="rId207" ref="P224"/>
    <hyperlink r:id="rId208" ref="P225"/>
    <hyperlink r:id="rId209" ref="P227"/>
    <hyperlink r:id="rId210" ref="P228"/>
    <hyperlink r:id="rId211" ref="P229"/>
    <hyperlink r:id="rId212" ref="P230"/>
    <hyperlink r:id="rId213" ref="P232"/>
    <hyperlink r:id="rId214" ref="P233"/>
    <hyperlink r:id="rId215" ref="P234"/>
    <hyperlink r:id="rId216" ref="P235"/>
    <hyperlink r:id="rId217" ref="P236"/>
    <hyperlink r:id="rId218" ref="P237"/>
    <hyperlink r:id="rId219" ref="P238"/>
    <hyperlink r:id="rId220" ref="P239"/>
    <hyperlink r:id="rId221" ref="P240"/>
    <hyperlink r:id="rId222" ref="P241"/>
    <hyperlink r:id="rId223" ref="P242"/>
    <hyperlink r:id="rId224" ref="P243"/>
    <hyperlink r:id="rId225" ref="P244"/>
    <hyperlink r:id="rId226" ref="P245"/>
    <hyperlink r:id="rId227" ref="P246"/>
    <hyperlink r:id="rId228" ref="P247"/>
    <hyperlink r:id="rId229" ref="P249"/>
    <hyperlink r:id="rId230" ref="P250"/>
    <hyperlink r:id="rId231" ref="P251"/>
    <hyperlink r:id="rId232" ref="P252"/>
    <hyperlink r:id="rId233" ref="P254"/>
    <hyperlink r:id="rId234" ref="P255"/>
    <hyperlink r:id="rId235" ref="P256"/>
    <hyperlink r:id="rId236" ref="P257"/>
    <hyperlink r:id="rId237" ref="P258"/>
    <hyperlink r:id="rId238" ref="P260"/>
    <hyperlink r:id="rId239" ref="P262"/>
    <hyperlink r:id="rId240" ref="P263"/>
    <hyperlink r:id="rId241" ref="P264"/>
    <hyperlink r:id="rId242" ref="P265"/>
    <hyperlink r:id="rId243" ref="P266"/>
    <hyperlink r:id="rId244" ref="P267"/>
    <hyperlink r:id="rId245" ref="P268"/>
    <hyperlink r:id="rId246" ref="P269"/>
    <hyperlink r:id="rId247" ref="P270"/>
    <hyperlink r:id="rId248" ref="P271"/>
    <hyperlink r:id="rId249" ref="P272"/>
    <hyperlink r:id="rId250" ref="P273"/>
    <hyperlink r:id="rId251" ref="P274"/>
    <hyperlink r:id="rId252" ref="P275"/>
    <hyperlink r:id="rId253" ref="P276"/>
    <hyperlink r:id="rId254" ref="P277"/>
    <hyperlink r:id="rId255" ref="P279"/>
    <hyperlink r:id="rId256" ref="P280"/>
    <hyperlink r:id="rId257" ref="P281"/>
    <hyperlink r:id="rId258" ref="P282"/>
    <hyperlink r:id="rId259" ref="P283"/>
    <hyperlink r:id="rId260" ref="P285"/>
    <hyperlink r:id="rId261" ref="P286"/>
    <hyperlink r:id="rId262" ref="H287"/>
    <hyperlink r:id="rId263" ref="P287"/>
    <hyperlink r:id="rId264" ref="P288"/>
    <hyperlink r:id="rId265" ref="P289"/>
    <hyperlink r:id="rId266" ref="P290"/>
    <hyperlink r:id="rId267" ref="P291"/>
    <hyperlink r:id="rId268" ref="P292"/>
    <hyperlink r:id="rId269" ref="P293"/>
    <hyperlink r:id="rId270" ref="P294"/>
    <hyperlink r:id="rId271" ref="P295"/>
    <hyperlink r:id="rId272" ref="P296"/>
    <hyperlink r:id="rId273" ref="H297"/>
    <hyperlink r:id="rId274" ref="P297"/>
    <hyperlink r:id="rId275" ref="P298"/>
    <hyperlink r:id="rId276" ref="P299"/>
    <hyperlink r:id="rId277" ref="P300"/>
    <hyperlink r:id="rId278" ref="P301"/>
    <hyperlink r:id="rId279" ref="P302"/>
    <hyperlink r:id="rId280" ref="P303"/>
    <hyperlink r:id="rId281" ref="P304"/>
    <hyperlink r:id="rId282" ref="P305"/>
    <hyperlink r:id="rId283" ref="P306"/>
    <hyperlink r:id="rId284" ref="P307"/>
    <hyperlink r:id="rId285" ref="P308"/>
    <hyperlink r:id="rId286" ref="P309"/>
    <hyperlink r:id="rId287" ref="P310"/>
    <hyperlink r:id="rId288" ref="P311"/>
    <hyperlink r:id="rId289" ref="P312"/>
    <hyperlink r:id="rId290" ref="P313"/>
    <hyperlink r:id="rId291" ref="P314"/>
    <hyperlink r:id="rId292" ref="P315"/>
    <hyperlink r:id="rId293" ref="P316"/>
    <hyperlink r:id="rId294" ref="P318"/>
    <hyperlink r:id="rId295" ref="P319"/>
    <hyperlink r:id="rId296" ref="H320"/>
    <hyperlink r:id="rId297" ref="P320"/>
    <hyperlink r:id="rId298" ref="P321"/>
    <hyperlink r:id="rId299" ref="P322"/>
    <hyperlink r:id="rId300" ref="P323"/>
    <hyperlink r:id="rId301" ref="P325"/>
    <hyperlink r:id="rId302" ref="P326"/>
    <hyperlink r:id="rId303" ref="P328"/>
    <hyperlink r:id="rId304" ref="P329"/>
    <hyperlink r:id="rId305" ref="P331"/>
    <hyperlink r:id="rId306" ref="P332"/>
    <hyperlink r:id="rId307" ref="P333"/>
    <hyperlink r:id="rId308" ref="P334"/>
    <hyperlink r:id="rId309" ref="P335"/>
    <hyperlink r:id="rId310" ref="P336"/>
    <hyperlink r:id="rId311" ref="P338"/>
    <hyperlink r:id="rId312" ref="P339"/>
    <hyperlink r:id="rId313" ref="P340"/>
    <hyperlink r:id="rId314" ref="P341"/>
    <hyperlink r:id="rId315" ref="P342"/>
    <hyperlink r:id="rId316" ref="P343"/>
    <hyperlink r:id="rId317" ref="P344"/>
    <hyperlink r:id="rId318" ref="P345"/>
    <hyperlink r:id="rId319" ref="P346"/>
    <hyperlink r:id="rId320" ref="P348"/>
    <hyperlink r:id="rId321" ref="P349"/>
    <hyperlink r:id="rId322" ref="P350"/>
    <hyperlink r:id="rId323" ref="P351"/>
    <hyperlink r:id="rId324" ref="P352"/>
    <hyperlink r:id="rId325" ref="P353"/>
    <hyperlink r:id="rId326" ref="P354"/>
    <hyperlink r:id="rId327" ref="P355"/>
    <hyperlink r:id="rId328" ref="P356"/>
    <hyperlink r:id="rId329" ref="P358"/>
    <hyperlink r:id="rId330" ref="P359"/>
    <hyperlink r:id="rId331" ref="P360"/>
    <hyperlink r:id="rId332" ref="P361"/>
    <hyperlink r:id="rId333" ref="P362"/>
    <hyperlink r:id="rId334" ref="P363"/>
    <hyperlink r:id="rId335" ref="P364"/>
    <hyperlink r:id="rId336" ref="P365"/>
    <hyperlink r:id="rId337" ref="P366"/>
    <hyperlink r:id="rId338" ref="P367"/>
    <hyperlink r:id="rId339" ref="P368"/>
    <hyperlink r:id="rId340" ref="P369"/>
    <hyperlink r:id="rId341" ref="P370"/>
    <hyperlink r:id="rId342" ref="P371"/>
    <hyperlink r:id="rId343" ref="P373"/>
    <hyperlink r:id="rId344" ref="P374"/>
    <hyperlink r:id="rId345" ref="H375"/>
    <hyperlink r:id="rId346" ref="P375"/>
    <hyperlink r:id="rId347" ref="P376"/>
    <hyperlink r:id="rId348" ref="P377"/>
    <hyperlink r:id="rId349" ref="P378"/>
    <hyperlink r:id="rId350" ref="P379"/>
    <hyperlink r:id="rId351" ref="P381"/>
    <hyperlink r:id="rId352" ref="H382"/>
    <hyperlink r:id="rId353" ref="P382"/>
    <hyperlink r:id="rId354" ref="P383"/>
    <hyperlink r:id="rId355" ref="P385"/>
    <hyperlink r:id="rId356" ref="P386"/>
    <hyperlink r:id="rId357" ref="P387"/>
    <hyperlink r:id="rId358" ref="P389"/>
    <hyperlink r:id="rId359" ref="P390"/>
    <hyperlink r:id="rId360" ref="P391"/>
    <hyperlink r:id="rId361" ref="P393"/>
    <hyperlink r:id="rId362" ref="P395"/>
    <hyperlink r:id="rId363" ref="P397"/>
    <hyperlink r:id="rId364" ref="P398"/>
    <hyperlink r:id="rId365" ref="P399"/>
    <hyperlink r:id="rId366" ref="P400"/>
    <hyperlink r:id="rId367" ref="P401"/>
    <hyperlink r:id="rId368" ref="P402"/>
    <hyperlink r:id="rId369" ref="P404"/>
    <hyperlink r:id="rId370" ref="P405"/>
    <hyperlink r:id="rId371" ref="P406"/>
    <hyperlink r:id="rId372" ref="P407"/>
    <hyperlink r:id="rId373" ref="H408"/>
    <hyperlink r:id="rId374" ref="P408"/>
    <hyperlink r:id="rId375" ref="P409"/>
    <hyperlink r:id="rId376" ref="P410"/>
    <hyperlink r:id="rId377" ref="P411"/>
    <hyperlink r:id="rId378" ref="P412"/>
    <hyperlink r:id="rId379" ref="P413"/>
    <hyperlink r:id="rId380" ref="P414"/>
    <hyperlink r:id="rId381" ref="P415"/>
    <hyperlink r:id="rId382" ref="P416"/>
    <hyperlink r:id="rId383" ref="P417"/>
    <hyperlink r:id="rId384" ref="P418"/>
    <hyperlink r:id="rId385" ref="P419"/>
    <hyperlink r:id="rId386" ref="P420"/>
    <hyperlink r:id="rId387" ref="P421"/>
    <hyperlink r:id="rId388" ref="P422"/>
    <hyperlink r:id="rId389" ref="P423"/>
    <hyperlink r:id="rId390" ref="P424"/>
    <hyperlink r:id="rId391" ref="P425"/>
    <hyperlink r:id="rId392" ref="P426"/>
    <hyperlink r:id="rId393" ref="P427"/>
    <hyperlink r:id="rId394" ref="P430"/>
    <hyperlink r:id="rId395" ref="P431"/>
    <hyperlink r:id="rId396" ref="P432"/>
    <hyperlink r:id="rId397" ref="P433"/>
    <hyperlink r:id="rId398" ref="P434"/>
    <hyperlink r:id="rId399" ref="P435"/>
    <hyperlink r:id="rId400" ref="P436"/>
    <hyperlink r:id="rId401" ref="P437"/>
    <hyperlink r:id="rId402" ref="P439"/>
    <hyperlink r:id="rId403" ref="H440"/>
    <hyperlink r:id="rId404" ref="P440"/>
    <hyperlink r:id="rId405" ref="P441"/>
    <hyperlink r:id="rId406" ref="P442"/>
    <hyperlink r:id="rId407" ref="P443"/>
    <hyperlink r:id="rId408" ref="P444"/>
    <hyperlink r:id="rId409" ref="P446"/>
    <hyperlink r:id="rId410" ref="P447"/>
    <hyperlink r:id="rId411" ref="P448"/>
    <hyperlink r:id="rId412" ref="P449"/>
    <hyperlink r:id="rId413" ref="P450"/>
    <hyperlink r:id="rId414" ref="P451"/>
    <hyperlink r:id="rId415" ref="P452"/>
    <hyperlink r:id="rId416" ref="P453"/>
    <hyperlink r:id="rId417" ref="P454"/>
    <hyperlink r:id="rId418" ref="P455"/>
    <hyperlink r:id="rId419" ref="P457"/>
    <hyperlink r:id="rId420" ref="P458"/>
    <hyperlink r:id="rId421" ref="P459"/>
    <hyperlink r:id="rId422" ref="P460"/>
    <hyperlink r:id="rId423" ref="P462"/>
    <hyperlink r:id="rId424" ref="P463"/>
    <hyperlink r:id="rId425" ref="P464"/>
    <hyperlink r:id="rId426" ref="P465"/>
    <hyperlink r:id="rId427" ref="P466"/>
    <hyperlink r:id="rId428" ref="P467"/>
    <hyperlink r:id="rId429" ref="P469"/>
    <hyperlink r:id="rId430" ref="P470"/>
    <hyperlink r:id="rId431" ref="P471"/>
    <hyperlink r:id="rId432" ref="P472"/>
    <hyperlink r:id="rId433" ref="P473"/>
    <hyperlink r:id="rId434" ref="A476"/>
    <hyperlink r:id="rId435" ref="P476"/>
    <hyperlink r:id="rId436" ref="A477"/>
    <hyperlink r:id="rId437" ref="P477"/>
    <hyperlink r:id="rId438" ref="A478"/>
    <hyperlink r:id="rId439" ref="P478"/>
    <hyperlink r:id="rId440" ref="A479"/>
    <hyperlink r:id="rId441" ref="P479"/>
    <hyperlink r:id="rId442" ref="A480"/>
    <hyperlink r:id="rId443" ref="P480"/>
    <hyperlink r:id="rId444" ref="A481"/>
    <hyperlink r:id="rId445" ref="A482"/>
    <hyperlink r:id="rId446" ref="P482"/>
    <hyperlink r:id="rId447" ref="A483"/>
    <hyperlink r:id="rId448" ref="H483"/>
    <hyperlink r:id="rId449" ref="P483"/>
    <hyperlink r:id="rId450" ref="A484"/>
    <hyperlink r:id="rId451" ref="P484"/>
    <hyperlink r:id="rId452" ref="A485"/>
    <hyperlink r:id="rId453" ref="P485"/>
    <hyperlink r:id="rId454" ref="A486"/>
    <hyperlink r:id="rId455" ref="P486"/>
    <hyperlink r:id="rId456" ref="A487"/>
    <hyperlink r:id="rId457" ref="P487"/>
    <hyperlink r:id="rId458" ref="A488"/>
    <hyperlink r:id="rId459" ref="P488"/>
    <hyperlink r:id="rId460" ref="A489"/>
    <hyperlink r:id="rId461" ref="P489"/>
    <hyperlink r:id="rId462" ref="A490"/>
    <hyperlink r:id="rId463" ref="P490"/>
    <hyperlink r:id="rId464" ref="A491"/>
    <hyperlink r:id="rId465" ref="P491"/>
    <hyperlink r:id="rId466" ref="A492"/>
    <hyperlink r:id="rId467" ref="P492"/>
    <hyperlink r:id="rId468" ref="A493"/>
    <hyperlink r:id="rId469" ref="P493"/>
    <hyperlink r:id="rId470" ref="A494"/>
    <hyperlink r:id="rId471" ref="P494"/>
    <hyperlink r:id="rId472" ref="A495"/>
    <hyperlink r:id="rId473" ref="P495"/>
    <hyperlink r:id="rId474" ref="A496"/>
    <hyperlink r:id="rId475" ref="P496"/>
    <hyperlink r:id="rId476" ref="A497"/>
    <hyperlink r:id="rId477" ref="P497"/>
    <hyperlink r:id="rId478" ref="A498"/>
    <hyperlink r:id="rId479" ref="P498"/>
    <hyperlink r:id="rId480" ref="A499"/>
    <hyperlink r:id="rId481" ref="P499"/>
    <hyperlink r:id="rId482" ref="A500"/>
    <hyperlink r:id="rId483" ref="P500"/>
    <hyperlink r:id="rId484" ref="A501"/>
    <hyperlink r:id="rId485" ref="P501"/>
    <hyperlink r:id="rId486" ref="A502"/>
    <hyperlink r:id="rId487" ref="P502"/>
    <hyperlink r:id="rId488" ref="A503"/>
    <hyperlink r:id="rId489" ref="P503"/>
    <hyperlink r:id="rId490" ref="A504"/>
    <hyperlink r:id="rId491" ref="P504"/>
    <hyperlink r:id="rId492" ref="A505"/>
    <hyperlink r:id="rId493" ref="P505"/>
    <hyperlink r:id="rId494" ref="A506"/>
    <hyperlink r:id="rId495" ref="P506"/>
    <hyperlink r:id="rId496" ref="A507"/>
    <hyperlink r:id="rId497" ref="P507"/>
    <hyperlink r:id="rId498" ref="A508"/>
    <hyperlink r:id="rId499" ref="H508"/>
    <hyperlink r:id="rId500" ref="P508"/>
    <hyperlink r:id="rId501" ref="A509"/>
    <hyperlink r:id="rId502" ref="P509"/>
    <hyperlink r:id="rId503" ref="A510"/>
    <hyperlink r:id="rId504" ref="P510"/>
    <hyperlink r:id="rId505" ref="A511"/>
    <hyperlink r:id="rId506" ref="P511"/>
    <hyperlink r:id="rId507" ref="A512"/>
    <hyperlink r:id="rId508" ref="P512"/>
    <hyperlink r:id="rId509" ref="A513"/>
    <hyperlink r:id="rId510" ref="P513"/>
    <hyperlink r:id="rId511" ref="A514"/>
    <hyperlink r:id="rId512" ref="P514"/>
    <hyperlink r:id="rId513" ref="A515"/>
    <hyperlink r:id="rId514" ref="P515"/>
    <hyperlink r:id="rId515" ref="A516"/>
    <hyperlink r:id="rId516" ref="P516"/>
    <hyperlink r:id="rId517" ref="A517"/>
    <hyperlink r:id="rId518" ref="P517"/>
    <hyperlink r:id="rId519" ref="A518"/>
    <hyperlink r:id="rId520" ref="P518"/>
    <hyperlink r:id="rId521" ref="A519"/>
    <hyperlink r:id="rId522" ref="P519"/>
    <hyperlink r:id="rId523" ref="A520"/>
    <hyperlink r:id="rId524" ref="P520"/>
    <hyperlink r:id="rId525" ref="A521"/>
    <hyperlink r:id="rId526" ref="P521"/>
    <hyperlink r:id="rId527" ref="A522"/>
    <hyperlink r:id="rId528" ref="A523"/>
    <hyperlink r:id="rId529" ref="P523"/>
    <hyperlink r:id="rId530" ref="A524"/>
    <hyperlink r:id="rId531" ref="P524"/>
    <hyperlink r:id="rId532" ref="A525"/>
    <hyperlink r:id="rId533" ref="P525"/>
    <hyperlink r:id="rId534" ref="A526"/>
    <hyperlink r:id="rId535" ref="P526"/>
    <hyperlink r:id="rId536" ref="A527"/>
    <hyperlink r:id="rId537" ref="P527"/>
    <hyperlink r:id="rId538" ref="A528"/>
    <hyperlink r:id="rId539" ref="P528"/>
    <hyperlink r:id="rId540" ref="A529"/>
    <hyperlink r:id="rId541" ref="P529"/>
    <hyperlink r:id="rId542" ref="A530"/>
    <hyperlink r:id="rId543" ref="P530"/>
    <hyperlink r:id="rId544" ref="A531"/>
    <hyperlink r:id="rId545" ref="P531"/>
    <hyperlink r:id="rId546" ref="A532"/>
    <hyperlink r:id="rId547" ref="P532"/>
    <hyperlink r:id="rId548" ref="A533"/>
    <hyperlink r:id="rId549" ref="P533"/>
    <hyperlink r:id="rId550" ref="A534"/>
    <hyperlink r:id="rId551" ref="H534"/>
    <hyperlink r:id="rId552" ref="P534"/>
    <hyperlink r:id="rId553" ref="A535"/>
    <hyperlink r:id="rId554" ref="P535"/>
    <hyperlink r:id="rId555" ref="A536"/>
    <hyperlink r:id="rId556" ref="P536"/>
    <hyperlink r:id="rId557" ref="A537"/>
    <hyperlink r:id="rId558" ref="P537"/>
    <hyperlink r:id="rId559" ref="A538"/>
    <hyperlink r:id="rId560" ref="P538"/>
    <hyperlink r:id="rId561" ref="A539"/>
    <hyperlink r:id="rId562" ref="H539"/>
    <hyperlink r:id="rId563" ref="P539"/>
    <hyperlink r:id="rId564" ref="A540"/>
    <hyperlink r:id="rId565" ref="P540"/>
    <hyperlink r:id="rId566" ref="A541"/>
    <hyperlink r:id="rId567" ref="P541"/>
    <hyperlink r:id="rId568" ref="A542"/>
    <hyperlink r:id="rId569" ref="P542"/>
    <hyperlink r:id="rId570" ref="A543"/>
    <hyperlink r:id="rId571" ref="P543"/>
    <hyperlink r:id="rId572" ref="A544"/>
    <hyperlink r:id="rId573" ref="P544"/>
    <hyperlink r:id="rId574" ref="A545"/>
    <hyperlink r:id="rId575" ref="P545"/>
    <hyperlink r:id="rId576" ref="A546"/>
    <hyperlink r:id="rId577" ref="P546"/>
    <hyperlink r:id="rId578" ref="A547"/>
    <hyperlink r:id="rId579" ref="A548"/>
    <hyperlink r:id="rId580" ref="P548"/>
    <hyperlink r:id="rId581" ref="A549"/>
    <hyperlink r:id="rId582" ref="P549"/>
    <hyperlink r:id="rId583" ref="A550"/>
    <hyperlink r:id="rId584" ref="A551"/>
    <hyperlink r:id="rId585" ref="P551"/>
    <hyperlink r:id="rId586" ref="A552"/>
    <hyperlink r:id="rId587" ref="P552"/>
    <hyperlink r:id="rId588" ref="A553"/>
    <hyperlink r:id="rId589" ref="P553"/>
    <hyperlink r:id="rId590" ref="A554"/>
    <hyperlink r:id="rId591" ref="P554"/>
    <hyperlink r:id="rId592" ref="A555"/>
    <hyperlink r:id="rId593" ref="P555"/>
    <hyperlink r:id="rId594" ref="A556"/>
    <hyperlink r:id="rId595" ref="P556"/>
    <hyperlink r:id="rId596" ref="A557"/>
    <hyperlink r:id="rId597" ref="P557"/>
    <hyperlink r:id="rId598" ref="A558"/>
    <hyperlink r:id="rId599" ref="P558"/>
    <hyperlink r:id="rId600" ref="A559"/>
    <hyperlink r:id="rId601" ref="P559"/>
    <hyperlink r:id="rId602" ref="A560"/>
    <hyperlink r:id="rId603" ref="P560"/>
    <hyperlink r:id="rId604" ref="A561"/>
    <hyperlink r:id="rId605" ref="P561"/>
    <hyperlink r:id="rId606" ref="A562"/>
    <hyperlink r:id="rId607" ref="P562"/>
    <hyperlink r:id="rId608" ref="A563"/>
    <hyperlink r:id="rId609" ref="P563"/>
    <hyperlink r:id="rId610" ref="A564"/>
    <hyperlink r:id="rId611" ref="P564"/>
    <hyperlink r:id="rId612" ref="A565"/>
    <hyperlink r:id="rId613" ref="P565"/>
    <hyperlink r:id="rId614" ref="A566"/>
    <hyperlink r:id="rId615" ref="P566"/>
    <hyperlink r:id="rId616" ref="A567"/>
    <hyperlink r:id="rId617" ref="A568"/>
    <hyperlink r:id="rId618" ref="P568"/>
    <hyperlink r:id="rId619" ref="A569"/>
    <hyperlink r:id="rId620" ref="P569"/>
    <hyperlink r:id="rId621" ref="A570"/>
    <hyperlink r:id="rId622" ref="P570"/>
    <hyperlink r:id="rId623" ref="A571"/>
    <hyperlink r:id="rId624" ref="P571"/>
    <hyperlink r:id="rId625" ref="A572"/>
    <hyperlink r:id="rId626" ref="P572"/>
    <hyperlink r:id="rId627" ref="A573"/>
    <hyperlink r:id="rId628" ref="P573"/>
    <hyperlink r:id="rId629" ref="A574"/>
    <hyperlink r:id="rId630" ref="P574"/>
    <hyperlink r:id="rId631" ref="A575"/>
    <hyperlink r:id="rId632" ref="P575"/>
    <hyperlink r:id="rId633" ref="A576"/>
    <hyperlink r:id="rId634" ref="P576"/>
    <hyperlink r:id="rId635" ref="A577"/>
    <hyperlink r:id="rId636" ref="P577"/>
    <hyperlink r:id="rId637" ref="A578"/>
    <hyperlink r:id="rId638" ref="P578"/>
    <hyperlink r:id="rId639" ref="A579"/>
    <hyperlink r:id="rId640" ref="P579"/>
    <hyperlink r:id="rId641" ref="A580"/>
    <hyperlink r:id="rId642" ref="P580"/>
    <hyperlink r:id="rId643" ref="A581"/>
    <hyperlink r:id="rId644" ref="P581"/>
    <hyperlink r:id="rId645" ref="A582"/>
    <hyperlink r:id="rId646" ref="P582"/>
    <hyperlink r:id="rId647" ref="A583"/>
    <hyperlink r:id="rId648" ref="P583"/>
    <hyperlink r:id="rId649" ref="A584"/>
    <hyperlink r:id="rId650" ref="P584"/>
    <hyperlink r:id="rId651" ref="A585"/>
    <hyperlink r:id="rId652" ref="P585"/>
    <hyperlink r:id="rId653" ref="A586"/>
    <hyperlink r:id="rId654" ref="P586"/>
    <hyperlink r:id="rId655" ref="A587"/>
    <hyperlink r:id="rId656" ref="A588"/>
    <hyperlink r:id="rId657" ref="P588"/>
    <hyperlink r:id="rId658" ref="A589"/>
    <hyperlink r:id="rId659" ref="P589"/>
    <hyperlink r:id="rId660" ref="A590"/>
    <hyperlink r:id="rId661" ref="P590"/>
    <hyperlink r:id="rId662" ref="A591"/>
    <hyperlink r:id="rId663" ref="P591"/>
    <hyperlink r:id="rId664" ref="A592"/>
    <hyperlink r:id="rId665" ref="P592"/>
    <hyperlink r:id="rId666" ref="A593"/>
    <hyperlink r:id="rId667" ref="P593"/>
    <hyperlink r:id="rId668" ref="A594"/>
    <hyperlink r:id="rId669" ref="A595"/>
    <hyperlink r:id="rId670" ref="P595"/>
    <hyperlink r:id="rId671" ref="A596"/>
    <hyperlink r:id="rId672" ref="P596"/>
    <hyperlink r:id="rId673" ref="A597"/>
    <hyperlink r:id="rId674" ref="P597"/>
    <hyperlink r:id="rId675" ref="A598"/>
    <hyperlink r:id="rId676" ref="P598"/>
    <hyperlink r:id="rId677" ref="A599"/>
    <hyperlink r:id="rId678" ref="P599"/>
    <hyperlink r:id="rId679" ref="A600"/>
    <hyperlink r:id="rId680" ref="P600"/>
    <hyperlink r:id="rId681" ref="A601"/>
    <hyperlink r:id="rId682" ref="P601"/>
    <hyperlink r:id="rId683" ref="A602"/>
    <hyperlink r:id="rId684" ref="P602"/>
    <hyperlink r:id="rId685" ref="A603"/>
    <hyperlink r:id="rId686" ref="P603"/>
    <hyperlink r:id="rId687" ref="A604"/>
    <hyperlink r:id="rId688" ref="P604"/>
    <hyperlink r:id="rId689" ref="A605"/>
    <hyperlink r:id="rId690" ref="P605"/>
    <hyperlink r:id="rId691" ref="A606"/>
    <hyperlink r:id="rId692" ref="P606"/>
    <hyperlink r:id="rId693" ref="A607"/>
    <hyperlink r:id="rId694" ref="P607"/>
    <hyperlink r:id="rId695" ref="A608"/>
    <hyperlink r:id="rId696" ref="P608"/>
    <hyperlink r:id="rId697" ref="A609"/>
    <hyperlink r:id="rId698" ref="P609"/>
    <hyperlink r:id="rId699" ref="A610"/>
    <hyperlink r:id="rId700" ref="P610"/>
    <hyperlink r:id="rId701" ref="A611"/>
    <hyperlink r:id="rId702" ref="P611"/>
    <hyperlink r:id="rId703" ref="A612"/>
    <hyperlink r:id="rId704" ref="P612"/>
    <hyperlink r:id="rId705" ref="A613"/>
    <hyperlink r:id="rId706" ref="H613"/>
    <hyperlink r:id="rId707" ref="P613"/>
    <hyperlink r:id="rId708" ref="A614"/>
    <hyperlink r:id="rId709" ref="P614"/>
    <hyperlink r:id="rId710" ref="A615"/>
    <hyperlink r:id="rId711" ref="P615"/>
    <hyperlink r:id="rId712" ref="A616"/>
    <hyperlink r:id="rId713" ref="P616"/>
    <hyperlink r:id="rId714" ref="A617"/>
    <hyperlink r:id="rId715" ref="P617"/>
    <hyperlink r:id="rId716" ref="A618"/>
    <hyperlink r:id="rId717" ref="P618"/>
    <hyperlink r:id="rId718" ref="A619"/>
    <hyperlink r:id="rId719" ref="P619"/>
    <hyperlink r:id="rId720" ref="A620"/>
    <hyperlink r:id="rId721" ref="P620"/>
    <hyperlink r:id="rId722" ref="A621"/>
    <hyperlink r:id="rId723" ref="H621"/>
    <hyperlink r:id="rId724" ref="P621"/>
    <hyperlink r:id="rId725" ref="A622"/>
    <hyperlink r:id="rId726" ref="P622"/>
    <hyperlink r:id="rId727" ref="A623"/>
    <hyperlink r:id="rId728" ref="P623"/>
    <hyperlink r:id="rId729" ref="A624"/>
    <hyperlink r:id="rId730" ref="P624"/>
    <hyperlink r:id="rId731" ref="A625"/>
    <hyperlink r:id="rId732" ref="P625"/>
    <hyperlink r:id="rId733" ref="A626"/>
    <hyperlink r:id="rId734" ref="A627"/>
    <hyperlink r:id="rId735" ref="P627"/>
    <hyperlink r:id="rId736" ref="A628"/>
    <hyperlink r:id="rId737" ref="P628"/>
    <hyperlink r:id="rId738" ref="A629"/>
    <hyperlink r:id="rId739" ref="P629"/>
    <hyperlink r:id="rId740" ref="A630"/>
    <hyperlink r:id="rId741" ref="P630"/>
    <hyperlink r:id="rId742" ref="A631"/>
    <hyperlink r:id="rId743" ref="P631"/>
    <hyperlink r:id="rId744" ref="A632"/>
    <hyperlink r:id="rId745" ref="H632"/>
    <hyperlink r:id="rId746" ref="P632"/>
    <hyperlink r:id="rId747" ref="A633"/>
    <hyperlink r:id="rId748" ref="P633"/>
    <hyperlink r:id="rId749" ref="A634"/>
    <hyperlink r:id="rId750" ref="P634"/>
    <hyperlink r:id="rId751" ref="A635"/>
    <hyperlink r:id="rId752" ref="P635"/>
    <hyperlink r:id="rId753" ref="A636"/>
    <hyperlink r:id="rId754" ref="P636"/>
    <hyperlink r:id="rId755" ref="A637"/>
    <hyperlink r:id="rId756" ref="P637"/>
    <hyperlink r:id="rId757" ref="A638"/>
    <hyperlink r:id="rId758" ref="P638"/>
    <hyperlink r:id="rId759" ref="A639"/>
    <hyperlink r:id="rId760" ref="P639"/>
    <hyperlink r:id="rId761" ref="A640"/>
    <hyperlink r:id="rId762" ref="P640"/>
    <hyperlink r:id="rId763" ref="A641"/>
    <hyperlink r:id="rId764" ref="P641"/>
    <hyperlink r:id="rId765" ref="A642"/>
    <hyperlink r:id="rId766" ref="P642"/>
    <hyperlink r:id="rId767" ref="A643"/>
    <hyperlink r:id="rId768" ref="A644"/>
    <hyperlink r:id="rId769" ref="P644"/>
    <hyperlink r:id="rId770" ref="A645"/>
    <hyperlink r:id="rId771" ref="P645"/>
    <hyperlink r:id="rId772" ref="A646"/>
    <hyperlink r:id="rId773" ref="P646"/>
    <hyperlink r:id="rId774" ref="A647"/>
    <hyperlink r:id="rId775" ref="P647"/>
    <hyperlink r:id="rId776" ref="A648"/>
    <hyperlink r:id="rId777" ref="P648"/>
    <hyperlink r:id="rId778" ref="A649"/>
    <hyperlink r:id="rId779" ref="P649"/>
    <hyperlink r:id="rId780" ref="A650"/>
    <hyperlink r:id="rId781" ref="P650"/>
    <hyperlink r:id="rId782" ref="A651"/>
    <hyperlink r:id="rId783" ref="P651"/>
    <hyperlink r:id="rId784" ref="A652"/>
    <hyperlink r:id="rId785" ref="P652"/>
    <hyperlink r:id="rId786" ref="A653"/>
    <hyperlink r:id="rId787" ref="P653"/>
    <hyperlink r:id="rId788" ref="A654"/>
    <hyperlink r:id="rId789" ref="P654"/>
    <hyperlink r:id="rId790" ref="A655"/>
    <hyperlink r:id="rId791" ref="P655"/>
    <hyperlink r:id="rId792" ref="A656"/>
    <hyperlink r:id="rId793" ref="P656"/>
    <hyperlink r:id="rId794" ref="A657"/>
    <hyperlink r:id="rId795" ref="A658"/>
    <hyperlink r:id="rId796" ref="A659"/>
    <hyperlink r:id="rId797" ref="P659"/>
    <hyperlink r:id="rId798" ref="A660"/>
    <hyperlink r:id="rId799" ref="P660"/>
    <hyperlink r:id="rId800" ref="A661"/>
    <hyperlink r:id="rId801" ref="P661"/>
    <hyperlink r:id="rId802" ref="A662"/>
    <hyperlink r:id="rId803" ref="P662"/>
    <hyperlink r:id="rId804" ref="A663"/>
    <hyperlink r:id="rId805" ref="P663"/>
    <hyperlink r:id="rId806" ref="A664"/>
    <hyperlink r:id="rId807" ref="P664"/>
    <hyperlink r:id="rId808" ref="A665"/>
    <hyperlink r:id="rId809" ref="P665"/>
    <hyperlink r:id="rId810" ref="A666"/>
    <hyperlink r:id="rId811" ref="P666"/>
    <hyperlink r:id="rId812" ref="A667"/>
    <hyperlink r:id="rId813" ref="P667"/>
    <hyperlink r:id="rId814" ref="A668"/>
    <hyperlink r:id="rId815" ref="P668"/>
    <hyperlink r:id="rId816" ref="A669"/>
    <hyperlink r:id="rId817" ref="P669"/>
    <hyperlink r:id="rId818" ref="A670"/>
    <hyperlink r:id="rId819" ref="A671"/>
    <hyperlink r:id="rId820" ref="P671"/>
    <hyperlink r:id="rId821" ref="A672"/>
    <hyperlink r:id="rId822" ref="P672"/>
    <hyperlink r:id="rId823" ref="A673"/>
    <hyperlink r:id="rId824" ref="P673"/>
    <hyperlink r:id="rId825" ref="A674"/>
    <hyperlink r:id="rId826" ref="P674"/>
    <hyperlink r:id="rId827" ref="A675"/>
    <hyperlink r:id="rId828" ref="P675"/>
    <hyperlink r:id="rId829" ref="A676"/>
    <hyperlink r:id="rId830" ref="A677"/>
    <hyperlink r:id="rId831" ref="P677"/>
    <hyperlink r:id="rId832" ref="A678"/>
    <hyperlink r:id="rId833" ref="P678"/>
    <hyperlink r:id="rId834" ref="A679"/>
    <hyperlink r:id="rId835" ref="P679"/>
    <hyperlink r:id="rId836" ref="A680"/>
    <hyperlink r:id="rId837" ref="A681"/>
    <hyperlink r:id="rId838" ref="P681"/>
    <hyperlink r:id="rId839" ref="A682"/>
    <hyperlink r:id="rId840" ref="P682"/>
    <hyperlink r:id="rId841" ref="A683"/>
    <hyperlink r:id="rId842" ref="P683"/>
    <hyperlink r:id="rId843" ref="A684"/>
    <hyperlink r:id="rId844" ref="P684"/>
    <hyperlink r:id="rId845" ref="A685"/>
    <hyperlink r:id="rId846" ref="P685"/>
    <hyperlink r:id="rId847" ref="A686"/>
    <hyperlink r:id="rId848" ref="P686"/>
    <hyperlink r:id="rId849" ref="A687"/>
    <hyperlink r:id="rId850" ref="A688"/>
    <hyperlink r:id="rId851" ref="P688"/>
    <hyperlink r:id="rId852" ref="A689"/>
    <hyperlink r:id="rId853" ref="P689"/>
    <hyperlink r:id="rId854" ref="A690"/>
    <hyperlink r:id="rId855" ref="P690"/>
    <hyperlink r:id="rId856" ref="A691"/>
    <hyperlink r:id="rId857" ref="P691"/>
    <hyperlink r:id="rId858" ref="A692"/>
    <hyperlink r:id="rId859" ref="P692"/>
    <hyperlink r:id="rId860" ref="A693"/>
    <hyperlink r:id="rId861" ref="P693"/>
    <hyperlink r:id="rId862" ref="A694"/>
    <hyperlink r:id="rId863" ref="P694"/>
    <hyperlink r:id="rId864" ref="A695"/>
    <hyperlink r:id="rId865" ref="P695"/>
    <hyperlink r:id="rId866" ref="A696"/>
    <hyperlink r:id="rId867" ref="P696"/>
    <hyperlink r:id="rId868" ref="A697"/>
    <hyperlink r:id="rId869" ref="A698"/>
    <hyperlink r:id="rId870" ref="P698"/>
    <hyperlink r:id="rId871" ref="A699"/>
    <hyperlink r:id="rId872" ref="P699"/>
    <hyperlink r:id="rId873" ref="A700"/>
    <hyperlink r:id="rId874" ref="A701"/>
    <hyperlink r:id="rId875" ref="P701"/>
    <hyperlink r:id="rId876" ref="A702"/>
    <hyperlink r:id="rId877" ref="P702"/>
    <hyperlink r:id="rId878" ref="A703"/>
    <hyperlink r:id="rId879" ref="P703"/>
    <hyperlink r:id="rId880" ref="A704"/>
    <hyperlink r:id="rId881" ref="P704"/>
    <hyperlink r:id="rId882" ref="A705"/>
    <hyperlink r:id="rId883" ref="P705"/>
    <hyperlink r:id="rId884" ref="A706"/>
    <hyperlink r:id="rId885" ref="P706"/>
    <hyperlink r:id="rId886" ref="A707"/>
    <hyperlink r:id="rId887" ref="P707"/>
    <hyperlink r:id="rId888" ref="A708"/>
    <hyperlink r:id="rId889" ref="P708"/>
    <hyperlink r:id="rId890" ref="A709"/>
    <hyperlink r:id="rId891" ref="P709"/>
    <hyperlink r:id="rId892" ref="A710"/>
    <hyperlink r:id="rId893" ref="P710"/>
    <hyperlink r:id="rId894" ref="A711"/>
    <hyperlink r:id="rId895" ref="P711"/>
    <hyperlink r:id="rId896" ref="A712"/>
    <hyperlink r:id="rId897" ref="P712"/>
    <hyperlink r:id="rId898" ref="A713"/>
    <hyperlink r:id="rId899" ref="P713"/>
    <hyperlink r:id="rId900" ref="A714"/>
    <hyperlink r:id="rId901" ref="H714"/>
    <hyperlink r:id="rId902" ref="P714"/>
    <hyperlink r:id="rId903" ref="A715"/>
    <hyperlink r:id="rId904" ref="P715"/>
    <hyperlink r:id="rId905" ref="A716"/>
    <hyperlink r:id="rId906" ref="P716"/>
    <hyperlink r:id="rId907" ref="A717"/>
    <hyperlink r:id="rId908" ref="A718"/>
    <hyperlink r:id="rId909" ref="A719"/>
    <hyperlink r:id="rId910" ref="P719"/>
    <hyperlink r:id="rId911" ref="A720"/>
    <hyperlink r:id="rId912" ref="P720"/>
    <hyperlink r:id="rId913" ref="A721"/>
    <hyperlink r:id="rId914" ref="A722"/>
    <hyperlink r:id="rId915" ref="P722"/>
    <hyperlink r:id="rId916" ref="A723"/>
    <hyperlink r:id="rId917" ref="P723"/>
    <hyperlink r:id="rId918" ref="A724"/>
    <hyperlink r:id="rId919" ref="P724"/>
    <hyperlink r:id="rId920" ref="A725"/>
    <hyperlink r:id="rId921" ref="A726"/>
    <hyperlink r:id="rId922" ref="P726"/>
    <hyperlink r:id="rId923" ref="A727"/>
    <hyperlink r:id="rId924" ref="P727"/>
    <hyperlink r:id="rId925" ref="A728"/>
    <hyperlink r:id="rId926" ref="A729"/>
    <hyperlink r:id="rId927" ref="P729"/>
    <hyperlink r:id="rId928" ref="A730"/>
    <hyperlink r:id="rId929" ref="P730"/>
    <hyperlink r:id="rId930" ref="A731"/>
    <hyperlink r:id="rId931" ref="P731"/>
    <hyperlink r:id="rId932" ref="A732"/>
    <hyperlink r:id="rId933" ref="P732"/>
    <hyperlink r:id="rId934" ref="A733"/>
    <hyperlink r:id="rId935" ref="P733"/>
    <hyperlink r:id="rId936" ref="A734"/>
    <hyperlink r:id="rId937" ref="H734"/>
    <hyperlink r:id="rId938" ref="P734"/>
    <hyperlink r:id="rId939" ref="A735"/>
    <hyperlink r:id="rId940" ref="P735"/>
    <hyperlink r:id="rId941" ref="A736"/>
    <hyperlink r:id="rId942" ref="P736"/>
    <hyperlink r:id="rId943" ref="A737"/>
    <hyperlink r:id="rId944" ref="P737"/>
    <hyperlink r:id="rId945" ref="A738"/>
    <hyperlink r:id="rId946" ref="P738"/>
    <hyperlink r:id="rId947" ref="A739"/>
    <hyperlink r:id="rId948" ref="P739"/>
    <hyperlink r:id="rId949" ref="A740"/>
    <hyperlink r:id="rId950" ref="A741"/>
    <hyperlink r:id="rId951" ref="P741"/>
    <hyperlink r:id="rId952" ref="A742"/>
    <hyperlink r:id="rId953" ref="P742"/>
    <hyperlink r:id="rId954" ref="A743"/>
    <hyperlink r:id="rId955" ref="P743"/>
    <hyperlink r:id="rId956" ref="A744"/>
    <hyperlink r:id="rId957" ref="P744"/>
    <hyperlink r:id="rId958" ref="A745"/>
    <hyperlink r:id="rId959" ref="H745"/>
    <hyperlink r:id="rId960" ref="P745"/>
    <hyperlink r:id="rId961" ref="A746"/>
    <hyperlink r:id="rId962" ref="P746"/>
    <hyperlink r:id="rId963" ref="A747"/>
    <hyperlink r:id="rId964" ref="P747"/>
    <hyperlink r:id="rId965" ref="A748"/>
    <hyperlink r:id="rId966" ref="P748"/>
    <hyperlink r:id="rId967" ref="A749"/>
    <hyperlink r:id="rId968" ref="H749"/>
    <hyperlink r:id="rId969" ref="P749"/>
    <hyperlink r:id="rId970" ref="A750"/>
    <hyperlink r:id="rId971" ref="H750"/>
    <hyperlink r:id="rId972" ref="P750"/>
    <hyperlink r:id="rId973" ref="A751"/>
    <hyperlink r:id="rId974" ref="P751"/>
  </hyperlinks>
  <drawing r:id="rId97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11658</v>
      </c>
      <c r="B1" s="7" t="s">
        <v>54</v>
      </c>
      <c r="C1" s="2" t="s">
        <v>11659</v>
      </c>
      <c r="E1" s="2" t="s">
        <v>11660</v>
      </c>
    </row>
    <row r="2">
      <c r="A2" s="2" t="s">
        <v>11661</v>
      </c>
      <c r="B2" s="7" t="s">
        <v>55</v>
      </c>
      <c r="C2" s="2" t="s">
        <v>11662</v>
      </c>
      <c r="E2" s="2" t="s">
        <v>11663</v>
      </c>
    </row>
    <row r="3">
      <c r="A3" s="2" t="s">
        <v>3997</v>
      </c>
      <c r="B3" s="7" t="s">
        <v>56</v>
      </c>
      <c r="C3" s="2" t="s">
        <v>647</v>
      </c>
      <c r="D3" s="2" t="s">
        <v>11664</v>
      </c>
      <c r="F3" s="2" t="s">
        <v>11665</v>
      </c>
    </row>
    <row r="4">
      <c r="A4" s="2" t="s">
        <v>11666</v>
      </c>
      <c r="B4" s="7" t="s">
        <v>57</v>
      </c>
      <c r="C4" s="2" t="s">
        <v>11667</v>
      </c>
      <c r="E4" s="2" t="s">
        <v>11668</v>
      </c>
    </row>
    <row r="5">
      <c r="A5" s="2" t="s">
        <v>11669</v>
      </c>
      <c r="B5" s="7" t="s">
        <v>58</v>
      </c>
      <c r="C5" s="2" t="s">
        <v>11670</v>
      </c>
      <c r="E5" s="2" t="s">
        <v>11671</v>
      </c>
    </row>
    <row r="6">
      <c r="A6" s="2" t="s">
        <v>11672</v>
      </c>
      <c r="B6" s="7" t="s">
        <v>59</v>
      </c>
      <c r="C6" s="2" t="s">
        <v>11673</v>
      </c>
      <c r="E6" s="2" t="s">
        <v>11674</v>
      </c>
    </row>
    <row r="7">
      <c r="A7" s="2" t="s">
        <v>11675</v>
      </c>
      <c r="B7" s="7" t="s">
        <v>60</v>
      </c>
      <c r="C7" s="2" t="s">
        <v>11676</v>
      </c>
      <c r="E7" s="2" t="s">
        <v>11677</v>
      </c>
    </row>
    <row r="8">
      <c r="A8" s="2" t="s">
        <v>3997</v>
      </c>
      <c r="B8" s="7" t="s">
        <v>61</v>
      </c>
      <c r="C8" s="2" t="s">
        <v>647</v>
      </c>
      <c r="D8" s="2" t="s">
        <v>11678</v>
      </c>
      <c r="F8" s="2" t="s">
        <v>11679</v>
      </c>
    </row>
    <row r="9">
      <c r="A9" s="2" t="s">
        <v>11680</v>
      </c>
      <c r="B9" s="7" t="s">
        <v>62</v>
      </c>
      <c r="C9" s="2" t="s">
        <v>11681</v>
      </c>
      <c r="E9" s="2" t="s">
        <v>11682</v>
      </c>
    </row>
    <row r="10">
      <c r="A10" s="2" t="s">
        <v>8322</v>
      </c>
      <c r="B10" s="7" t="s">
        <v>63</v>
      </c>
      <c r="C10" s="2" t="s">
        <v>11683</v>
      </c>
      <c r="E10" s="2" t="s">
        <v>11684</v>
      </c>
    </row>
    <row r="11">
      <c r="A11" s="2" t="s">
        <v>11685</v>
      </c>
      <c r="B11" s="7" t="s">
        <v>64</v>
      </c>
      <c r="C11" s="2" t="s">
        <v>11686</v>
      </c>
      <c r="E11" s="2">
        <v>2017.0</v>
      </c>
    </row>
    <row r="12">
      <c r="A12" s="2" t="s">
        <v>3997</v>
      </c>
      <c r="B12" s="7" t="s">
        <v>65</v>
      </c>
      <c r="C12" s="2" t="s">
        <v>647</v>
      </c>
      <c r="D12" s="2" t="s">
        <v>11687</v>
      </c>
      <c r="F12" s="2" t="s">
        <v>11688</v>
      </c>
    </row>
    <row r="13">
      <c r="A13" s="2" t="s">
        <v>11689</v>
      </c>
      <c r="B13" s="7" t="s">
        <v>66</v>
      </c>
      <c r="C13" s="2" t="s">
        <v>11690</v>
      </c>
      <c r="E13" s="2" t="s">
        <v>11691</v>
      </c>
    </row>
    <row r="14">
      <c r="A14" s="2" t="s">
        <v>11692</v>
      </c>
      <c r="B14" s="7" t="s">
        <v>67</v>
      </c>
      <c r="C14" s="2" t="s">
        <v>11693</v>
      </c>
      <c r="E14" s="2" t="s">
        <v>11663</v>
      </c>
    </row>
    <row r="15">
      <c r="A15" s="2" t="s">
        <v>11694</v>
      </c>
      <c r="B15" s="7" t="s">
        <v>68</v>
      </c>
      <c r="C15" s="2" t="s">
        <v>11695</v>
      </c>
      <c r="E15" s="2" t="s">
        <v>11696</v>
      </c>
    </row>
    <row r="16">
      <c r="A16" s="2" t="s">
        <v>11697</v>
      </c>
      <c r="B16" s="7" t="s">
        <v>69</v>
      </c>
      <c r="C16" s="2" t="s">
        <v>11698</v>
      </c>
      <c r="E16" s="2" t="s">
        <v>11699</v>
      </c>
    </row>
    <row r="17">
      <c r="A17" s="2" t="s">
        <v>11700</v>
      </c>
      <c r="B17" s="7" t="s">
        <v>70</v>
      </c>
      <c r="C17" s="2" t="s">
        <v>11701</v>
      </c>
      <c r="E17" s="2" t="s">
        <v>11684</v>
      </c>
    </row>
    <row r="18">
      <c r="A18" s="2" t="s">
        <v>3997</v>
      </c>
      <c r="B18" s="7" t="s">
        <v>71</v>
      </c>
      <c r="C18" s="2" t="s">
        <v>647</v>
      </c>
      <c r="D18" s="2" t="s">
        <v>11702</v>
      </c>
      <c r="F18" s="2" t="s">
        <v>11703</v>
      </c>
    </row>
    <row r="19">
      <c r="A19" s="2" t="s">
        <v>11704</v>
      </c>
      <c r="B19" s="7" t="s">
        <v>72</v>
      </c>
      <c r="C19" s="2" t="s">
        <v>11705</v>
      </c>
      <c r="E19" s="2" t="s">
        <v>11706</v>
      </c>
    </row>
    <row r="20">
      <c r="A20" s="2" t="s">
        <v>11707</v>
      </c>
      <c r="B20" s="7" t="s">
        <v>73</v>
      </c>
      <c r="C20" s="2" t="s">
        <v>11708</v>
      </c>
      <c r="E20" s="2" t="s">
        <v>11671</v>
      </c>
    </row>
    <row r="21">
      <c r="A21" s="2" t="s">
        <v>11709</v>
      </c>
      <c r="B21" s="7" t="s">
        <v>74</v>
      </c>
      <c r="C21" s="2" t="s">
        <v>11710</v>
      </c>
      <c r="E21" s="2">
        <v>2021.0</v>
      </c>
    </row>
    <row r="22">
      <c r="A22" s="2" t="s">
        <v>11711</v>
      </c>
      <c r="B22" s="7" t="s">
        <v>75</v>
      </c>
      <c r="C22" s="2" t="s">
        <v>11712</v>
      </c>
      <c r="E22" s="2" t="s">
        <v>11663</v>
      </c>
    </row>
    <row r="23">
      <c r="A23" s="2" t="s">
        <v>11713</v>
      </c>
      <c r="B23" s="7" t="s">
        <v>76</v>
      </c>
      <c r="C23" s="2" t="s">
        <v>11714</v>
      </c>
      <c r="E23" s="2" t="s">
        <v>11660</v>
      </c>
    </row>
    <row r="24">
      <c r="A24" s="2" t="s">
        <v>11715</v>
      </c>
      <c r="B24" s="7" t="s">
        <v>77</v>
      </c>
      <c r="C24" s="2" t="s">
        <v>11716</v>
      </c>
      <c r="E24" s="2" t="s">
        <v>11717</v>
      </c>
    </row>
    <row r="25">
      <c r="A25" s="2" t="s">
        <v>11718</v>
      </c>
      <c r="B25" s="7" t="s">
        <v>78</v>
      </c>
      <c r="C25" s="2" t="s">
        <v>11719</v>
      </c>
      <c r="E25" s="2" t="s">
        <v>11674</v>
      </c>
    </row>
    <row r="26">
      <c r="A26" s="2" t="s">
        <v>11720</v>
      </c>
      <c r="B26" s="7" t="s">
        <v>79</v>
      </c>
      <c r="C26" s="2" t="s">
        <v>11721</v>
      </c>
      <c r="E26" s="2" t="s">
        <v>11722</v>
      </c>
    </row>
    <row r="27">
      <c r="A27" s="2" t="s">
        <v>11723</v>
      </c>
      <c r="B27" s="7" t="s">
        <v>80</v>
      </c>
      <c r="C27" s="2" t="s">
        <v>11724</v>
      </c>
      <c r="E27" s="2">
        <v>2014.0</v>
      </c>
    </row>
    <row r="28">
      <c r="A28" s="2" t="s">
        <v>11725</v>
      </c>
      <c r="B28" s="7" t="s">
        <v>81</v>
      </c>
      <c r="C28" s="2" t="s">
        <v>11726</v>
      </c>
      <c r="E28" s="2" t="s">
        <v>11727</v>
      </c>
    </row>
    <row r="29">
      <c r="A29" s="2" t="s">
        <v>11728</v>
      </c>
      <c r="B29" s="7" t="s">
        <v>82</v>
      </c>
      <c r="C29" s="2" t="s">
        <v>11729</v>
      </c>
      <c r="E29" s="2" t="s">
        <v>11684</v>
      </c>
    </row>
    <row r="30">
      <c r="A30" s="2" t="s">
        <v>11730</v>
      </c>
      <c r="B30" s="7" t="s">
        <v>83</v>
      </c>
      <c r="C30" s="2" t="s">
        <v>11731</v>
      </c>
      <c r="E30" s="2" t="s">
        <v>11732</v>
      </c>
    </row>
    <row r="31">
      <c r="A31" s="2" t="s">
        <v>11733</v>
      </c>
      <c r="B31" s="7" t="s">
        <v>84</v>
      </c>
      <c r="C31" s="2" t="s">
        <v>11734</v>
      </c>
      <c r="E31" s="2" t="s">
        <v>11691</v>
      </c>
    </row>
    <row r="32">
      <c r="A32" s="2" t="s">
        <v>3997</v>
      </c>
      <c r="B32" s="7" t="s">
        <v>85</v>
      </c>
      <c r="C32" s="2" t="s">
        <v>647</v>
      </c>
      <c r="D32" s="2" t="s">
        <v>11735</v>
      </c>
      <c r="F32" s="2" t="s">
        <v>11736</v>
      </c>
    </row>
    <row r="33">
      <c r="A33" s="7" t="s">
        <v>11737</v>
      </c>
      <c r="B33" s="7" t="s">
        <v>86</v>
      </c>
      <c r="C33" s="2" t="s">
        <v>11738</v>
      </c>
      <c r="E33" s="2" t="s">
        <v>11739</v>
      </c>
    </row>
    <row r="34">
      <c r="A34" s="2" t="s">
        <v>11740</v>
      </c>
      <c r="B34" s="7" t="s">
        <v>87</v>
      </c>
      <c r="C34" s="2" t="s">
        <v>11741</v>
      </c>
      <c r="E34" s="2" t="s">
        <v>11742</v>
      </c>
    </row>
    <row r="35">
      <c r="A35" s="2" t="s">
        <v>11743</v>
      </c>
      <c r="B35" s="7" t="s">
        <v>88</v>
      </c>
      <c r="C35" s="2" t="s">
        <v>11744</v>
      </c>
      <c r="E35" s="2" t="s">
        <v>11684</v>
      </c>
    </row>
    <row r="36">
      <c r="A36" s="2" t="s">
        <v>11745</v>
      </c>
      <c r="B36" s="7" t="s">
        <v>89</v>
      </c>
      <c r="C36" s="2" t="s">
        <v>11746</v>
      </c>
      <c r="E36" s="2" t="s">
        <v>11742</v>
      </c>
    </row>
    <row r="37">
      <c r="A37" s="2" t="s">
        <v>3997</v>
      </c>
      <c r="B37" s="7" t="s">
        <v>90</v>
      </c>
      <c r="C37" s="2" t="s">
        <v>647</v>
      </c>
      <c r="D37" s="2" t="s">
        <v>11747</v>
      </c>
      <c r="F37" s="2" t="s">
        <v>11748</v>
      </c>
    </row>
    <row r="38">
      <c r="A38" s="2" t="s">
        <v>11749</v>
      </c>
      <c r="B38" s="7" t="s">
        <v>91</v>
      </c>
      <c r="C38" s="2" t="s">
        <v>11750</v>
      </c>
      <c r="E38" s="2" t="s">
        <v>11660</v>
      </c>
    </row>
    <row r="39">
      <c r="A39" s="2" t="s">
        <v>11751</v>
      </c>
      <c r="B39" s="7" t="s">
        <v>92</v>
      </c>
      <c r="C39" s="2" t="s">
        <v>11752</v>
      </c>
    </row>
    <row r="40">
      <c r="A40" s="2" t="s">
        <v>11753</v>
      </c>
      <c r="B40" s="7" t="s">
        <v>93</v>
      </c>
      <c r="C40" s="2" t="s">
        <v>11754</v>
      </c>
      <c r="E40" s="2" t="s">
        <v>11722</v>
      </c>
    </row>
    <row r="41">
      <c r="A41" s="2" t="s">
        <v>11755</v>
      </c>
      <c r="B41" s="7" t="s">
        <v>94</v>
      </c>
      <c r="C41" s="2" t="s">
        <v>11756</v>
      </c>
      <c r="E41" s="2" t="s">
        <v>11660</v>
      </c>
    </row>
    <row r="42">
      <c r="A42" s="2" t="s">
        <v>11757</v>
      </c>
      <c r="B42" s="7" t="s">
        <v>95</v>
      </c>
      <c r="C42" s="2" t="s">
        <v>11758</v>
      </c>
      <c r="E42" s="2">
        <v>2012.0</v>
      </c>
    </row>
    <row r="43">
      <c r="A43" s="2" t="s">
        <v>3997</v>
      </c>
      <c r="B43" s="7" t="s">
        <v>96</v>
      </c>
      <c r="C43" s="2" t="s">
        <v>647</v>
      </c>
      <c r="D43" s="2" t="s">
        <v>11759</v>
      </c>
      <c r="F43" s="2" t="s">
        <v>11760</v>
      </c>
    </row>
    <row r="44">
      <c r="A44" s="2" t="s">
        <v>11761</v>
      </c>
      <c r="B44" s="7" t="s">
        <v>97</v>
      </c>
      <c r="C44" s="2" t="s">
        <v>11762</v>
      </c>
      <c r="E44" s="2" t="s">
        <v>11763</v>
      </c>
    </row>
    <row r="45">
      <c r="A45" s="2" t="s">
        <v>11764</v>
      </c>
      <c r="B45" s="7" t="s">
        <v>98</v>
      </c>
      <c r="C45" s="2" t="s">
        <v>11765</v>
      </c>
    </row>
    <row r="46">
      <c r="A46" s="2" t="s">
        <v>11766</v>
      </c>
      <c r="B46" s="7" t="s">
        <v>99</v>
      </c>
      <c r="C46" s="2" t="s">
        <v>11767</v>
      </c>
      <c r="E46" s="2">
        <v>2022.0</v>
      </c>
    </row>
    <row r="47">
      <c r="A47" s="2" t="s">
        <v>11768</v>
      </c>
      <c r="B47" s="7" t="s">
        <v>100</v>
      </c>
      <c r="C47" s="2" t="s">
        <v>11769</v>
      </c>
      <c r="E47" s="2" t="s">
        <v>11770</v>
      </c>
    </row>
    <row r="48">
      <c r="A48" s="2" t="s">
        <v>11771</v>
      </c>
      <c r="B48" s="7" t="s">
        <v>101</v>
      </c>
      <c r="C48" s="2" t="s">
        <v>11772</v>
      </c>
      <c r="E48" s="2" t="s">
        <v>11706</v>
      </c>
    </row>
    <row r="49">
      <c r="A49" s="2" t="s">
        <v>2331</v>
      </c>
      <c r="B49" s="7" t="s">
        <v>102</v>
      </c>
      <c r="C49" s="2" t="s">
        <v>11773</v>
      </c>
      <c r="E49" s="2" t="s">
        <v>11684</v>
      </c>
    </row>
    <row r="50">
      <c r="A50" s="2" t="s">
        <v>11774</v>
      </c>
      <c r="B50" s="7" t="s">
        <v>103</v>
      </c>
      <c r="C50" s="2" t="s">
        <v>11775</v>
      </c>
      <c r="E50" s="2" t="s">
        <v>11671</v>
      </c>
    </row>
    <row r="51">
      <c r="A51" s="2" t="s">
        <v>4752</v>
      </c>
      <c r="B51" s="7" t="s">
        <v>104</v>
      </c>
      <c r="C51" s="2" t="s">
        <v>11776</v>
      </c>
      <c r="E51" s="2" t="s">
        <v>11732</v>
      </c>
    </row>
    <row r="52">
      <c r="A52" s="2" t="s">
        <v>11777</v>
      </c>
      <c r="B52" s="7" t="s">
        <v>105</v>
      </c>
      <c r="C52" s="2" t="s">
        <v>11778</v>
      </c>
      <c r="E52" s="2" t="s">
        <v>11671</v>
      </c>
    </row>
    <row r="53">
      <c r="A53" s="2" t="s">
        <v>3997</v>
      </c>
      <c r="B53" s="7" t="s">
        <v>106</v>
      </c>
      <c r="C53" s="2" t="s">
        <v>647</v>
      </c>
      <c r="D53" s="2" t="s">
        <v>11779</v>
      </c>
      <c r="F53" s="2" t="s">
        <v>11780</v>
      </c>
    </row>
    <row r="54">
      <c r="A54" s="2" t="s">
        <v>11781</v>
      </c>
      <c r="B54" s="7" t="s">
        <v>107</v>
      </c>
      <c r="C54" s="2" t="s">
        <v>11782</v>
      </c>
      <c r="E54" s="2">
        <v>2020.0</v>
      </c>
    </row>
    <row r="55">
      <c r="A55" s="2" t="s">
        <v>11783</v>
      </c>
      <c r="B55" s="7" t="s">
        <v>108</v>
      </c>
      <c r="C55" s="2" t="s">
        <v>11784</v>
      </c>
      <c r="E55" s="2" t="s">
        <v>11684</v>
      </c>
    </row>
    <row r="56">
      <c r="A56" s="2" t="s">
        <v>2846</v>
      </c>
      <c r="B56" s="7" t="s">
        <v>109</v>
      </c>
      <c r="C56" s="2" t="s">
        <v>11785</v>
      </c>
      <c r="E56" s="2" t="s">
        <v>11739</v>
      </c>
    </row>
    <row r="57">
      <c r="A57" s="2" t="s">
        <v>11786</v>
      </c>
      <c r="B57" s="7" t="s">
        <v>110</v>
      </c>
      <c r="C57" s="2" t="s">
        <v>11787</v>
      </c>
      <c r="E57" s="2">
        <v>2018.0</v>
      </c>
    </row>
    <row r="58">
      <c r="A58" s="2" t="s">
        <v>11788</v>
      </c>
      <c r="B58" s="7" t="s">
        <v>111</v>
      </c>
      <c r="C58" s="2" t="s">
        <v>11789</v>
      </c>
      <c r="E58" s="2" t="s">
        <v>11763</v>
      </c>
    </row>
    <row r="59">
      <c r="A59" s="2" t="s">
        <v>3997</v>
      </c>
      <c r="B59" s="7" t="s">
        <v>112</v>
      </c>
      <c r="C59" s="2" t="s">
        <v>647</v>
      </c>
      <c r="D59" s="2" t="s">
        <v>11790</v>
      </c>
      <c r="F59" s="2" t="s">
        <v>11791</v>
      </c>
    </row>
    <row r="60">
      <c r="A60" s="2" t="s">
        <v>3997</v>
      </c>
      <c r="B60" s="7" t="s">
        <v>113</v>
      </c>
      <c r="C60" s="2" t="s">
        <v>647</v>
      </c>
      <c r="D60" s="2" t="s">
        <v>11792</v>
      </c>
      <c r="F60" s="2" t="s">
        <v>11760</v>
      </c>
    </row>
    <row r="61">
      <c r="A61" s="2" t="s">
        <v>11793</v>
      </c>
      <c r="B61" s="7" t="s">
        <v>114</v>
      </c>
      <c r="C61" s="2" t="s">
        <v>11794</v>
      </c>
      <c r="E61" s="2">
        <v>2023.0</v>
      </c>
    </row>
    <row r="62">
      <c r="A62" s="2" t="s">
        <v>11795</v>
      </c>
      <c r="B62" s="7" t="s">
        <v>115</v>
      </c>
      <c r="C62" s="2" t="s">
        <v>11796</v>
      </c>
      <c r="E62" s="2" t="s">
        <v>11699</v>
      </c>
    </row>
    <row r="63">
      <c r="A63" s="2" t="s">
        <v>11797</v>
      </c>
      <c r="B63" s="7" t="s">
        <v>116</v>
      </c>
      <c r="C63" s="2" t="s">
        <v>11798</v>
      </c>
      <c r="E63" s="2" t="s">
        <v>11799</v>
      </c>
    </row>
    <row r="64">
      <c r="A64" s="2" t="s">
        <v>11800</v>
      </c>
      <c r="B64" s="7" t="s">
        <v>117</v>
      </c>
      <c r="C64" s="2" t="s">
        <v>11801</v>
      </c>
      <c r="E64" s="2" t="s">
        <v>11668</v>
      </c>
    </row>
    <row r="65">
      <c r="A65" s="2" t="s">
        <v>11802</v>
      </c>
      <c r="B65" s="7" t="s">
        <v>118</v>
      </c>
      <c r="C65" s="2" t="s">
        <v>11803</v>
      </c>
      <c r="E65" s="2">
        <v>2010.0</v>
      </c>
    </row>
    <row r="66">
      <c r="A66" s="2" t="s">
        <v>11804</v>
      </c>
      <c r="B66" s="7" t="s">
        <v>119</v>
      </c>
      <c r="C66" s="2" t="s">
        <v>11805</v>
      </c>
      <c r="E66" s="2" t="s">
        <v>11806</v>
      </c>
    </row>
    <row r="67">
      <c r="A67" s="2" t="s">
        <v>11807</v>
      </c>
      <c r="B67" s="7" t="s">
        <v>120</v>
      </c>
      <c r="C67" s="2" t="s">
        <v>11808</v>
      </c>
      <c r="E67" s="2">
        <v>2017.0</v>
      </c>
    </row>
    <row r="68">
      <c r="A68" s="2" t="s">
        <v>3997</v>
      </c>
      <c r="B68" s="7" t="s">
        <v>121</v>
      </c>
      <c r="C68" s="2" t="s">
        <v>647</v>
      </c>
      <c r="D68" s="2" t="s">
        <v>11809</v>
      </c>
      <c r="F68" s="2" t="s">
        <v>11810</v>
      </c>
    </row>
    <row r="69">
      <c r="A69" s="2" t="s">
        <v>3997</v>
      </c>
      <c r="B69" s="7" t="s">
        <v>122</v>
      </c>
      <c r="C69" s="2" t="s">
        <v>647</v>
      </c>
      <c r="D69" s="2" t="s">
        <v>11811</v>
      </c>
      <c r="F69" s="2" t="s">
        <v>11812</v>
      </c>
    </row>
    <row r="70">
      <c r="A70" s="2" t="s">
        <v>11813</v>
      </c>
      <c r="B70" s="7" t="s">
        <v>123</v>
      </c>
      <c r="C70" s="2" t="s">
        <v>11814</v>
      </c>
      <c r="E70" s="2" t="s">
        <v>11732</v>
      </c>
    </row>
    <row r="71">
      <c r="A71" s="2" t="s">
        <v>11815</v>
      </c>
      <c r="B71" s="7" t="s">
        <v>124</v>
      </c>
      <c r="C71" s="2" t="s">
        <v>11816</v>
      </c>
      <c r="E71" s="2" t="s">
        <v>11742</v>
      </c>
    </row>
    <row r="72">
      <c r="A72" s="2" t="s">
        <v>11817</v>
      </c>
      <c r="B72" s="7" t="s">
        <v>125</v>
      </c>
      <c r="C72" s="2" t="s">
        <v>11818</v>
      </c>
      <c r="E72" s="2" t="s">
        <v>11819</v>
      </c>
    </row>
    <row r="73">
      <c r="A73" s="2" t="s">
        <v>3997</v>
      </c>
      <c r="B73" s="7" t="s">
        <v>126</v>
      </c>
      <c r="C73" s="2" t="s">
        <v>647</v>
      </c>
      <c r="D73" s="2" t="s">
        <v>11820</v>
      </c>
      <c r="F73" s="2" t="s">
        <v>11810</v>
      </c>
    </row>
    <row r="74">
      <c r="A74" s="2" t="s">
        <v>11821</v>
      </c>
      <c r="B74" s="7" t="s">
        <v>127</v>
      </c>
      <c r="C74" s="2" t="s">
        <v>11822</v>
      </c>
      <c r="E74" s="2" t="s">
        <v>11722</v>
      </c>
    </row>
    <row r="75">
      <c r="A75" s="2" t="s">
        <v>11823</v>
      </c>
      <c r="B75" s="7" t="s">
        <v>128</v>
      </c>
      <c r="C75" s="2" t="s">
        <v>11824</v>
      </c>
      <c r="E75" s="2" t="s">
        <v>11663</v>
      </c>
    </row>
    <row r="76">
      <c r="A76" s="2" t="s">
        <v>3997</v>
      </c>
      <c r="B76" s="7" t="s">
        <v>129</v>
      </c>
      <c r="C76" s="2" t="s">
        <v>647</v>
      </c>
      <c r="D76" s="2" t="s">
        <v>11825</v>
      </c>
      <c r="F76" s="2" t="s">
        <v>11826</v>
      </c>
    </row>
    <row r="77">
      <c r="A77" s="2" t="s">
        <v>11827</v>
      </c>
      <c r="B77" s="7" t="s">
        <v>130</v>
      </c>
      <c r="C77" s="2" t="s">
        <v>11828</v>
      </c>
      <c r="E77" s="2">
        <v>2013.0</v>
      </c>
    </row>
    <row r="78">
      <c r="A78" s="2" t="s">
        <v>11829</v>
      </c>
      <c r="B78" s="7" t="s">
        <v>131</v>
      </c>
      <c r="C78" s="2" t="s">
        <v>11830</v>
      </c>
      <c r="E78" s="2" t="s">
        <v>11739</v>
      </c>
    </row>
    <row r="79">
      <c r="A79" s="2" t="s">
        <v>11831</v>
      </c>
      <c r="B79" s="7" t="s">
        <v>132</v>
      </c>
      <c r="C79" s="2" t="s">
        <v>11832</v>
      </c>
      <c r="E79" s="2" t="s">
        <v>11833</v>
      </c>
    </row>
    <row r="80">
      <c r="A80" s="2" t="s">
        <v>11834</v>
      </c>
      <c r="B80" s="7" t="s">
        <v>133</v>
      </c>
      <c r="C80" s="2" t="s">
        <v>11835</v>
      </c>
      <c r="E80" s="2">
        <v>2011.0</v>
      </c>
    </row>
    <row r="81">
      <c r="A81" s="2" t="s">
        <v>3997</v>
      </c>
      <c r="B81" s="7" t="s">
        <v>134</v>
      </c>
      <c r="C81" s="2" t="s">
        <v>647</v>
      </c>
      <c r="D81" s="2" t="s">
        <v>11836</v>
      </c>
      <c r="F81" s="2" t="s">
        <v>11760</v>
      </c>
    </row>
    <row r="82">
      <c r="A82" s="2" t="s">
        <v>11837</v>
      </c>
      <c r="B82" s="7" t="s">
        <v>135</v>
      </c>
      <c r="C82" s="2" t="s">
        <v>11838</v>
      </c>
      <c r="E82" s="2" t="s">
        <v>11732</v>
      </c>
    </row>
    <row r="83">
      <c r="A83" s="2" t="s">
        <v>3997</v>
      </c>
      <c r="B83" s="7" t="s">
        <v>136</v>
      </c>
      <c r="C83" s="2" t="s">
        <v>647</v>
      </c>
      <c r="D83" s="2" t="s">
        <v>11839</v>
      </c>
      <c r="F83" s="2" t="s">
        <v>11840</v>
      </c>
    </row>
    <row r="84">
      <c r="A84" s="2" t="s">
        <v>11841</v>
      </c>
      <c r="B84" s="7" t="s">
        <v>137</v>
      </c>
      <c r="C84" s="2" t="s">
        <v>11842</v>
      </c>
      <c r="E84" s="2" t="s">
        <v>11843</v>
      </c>
    </row>
    <row r="85">
      <c r="A85" s="2" t="s">
        <v>11844</v>
      </c>
      <c r="B85" s="7" t="s">
        <v>138</v>
      </c>
      <c r="C85" s="2" t="s">
        <v>11845</v>
      </c>
      <c r="E85" s="2" t="s">
        <v>11739</v>
      </c>
    </row>
    <row r="86">
      <c r="A86" s="2" t="s">
        <v>11846</v>
      </c>
      <c r="B86" s="7" t="s">
        <v>139</v>
      </c>
      <c r="C86" s="2" t="s">
        <v>11847</v>
      </c>
      <c r="E86" s="2">
        <v>2015.0</v>
      </c>
    </row>
    <row r="87">
      <c r="A87" s="2" t="s">
        <v>11848</v>
      </c>
      <c r="B87" s="7" t="s">
        <v>140</v>
      </c>
      <c r="C87" s="2" t="s">
        <v>11849</v>
      </c>
    </row>
    <row r="88">
      <c r="A88" s="2" t="s">
        <v>11850</v>
      </c>
      <c r="B88" s="7" t="s">
        <v>141</v>
      </c>
      <c r="C88" s="2" t="s">
        <v>11851</v>
      </c>
      <c r="E88" s="2">
        <v>2015.0</v>
      </c>
    </row>
    <row r="89">
      <c r="A89" s="2" t="s">
        <v>11852</v>
      </c>
      <c r="B89" s="7" t="s">
        <v>142</v>
      </c>
      <c r="C89" s="2" t="s">
        <v>11853</v>
      </c>
      <c r="E89" s="2" t="s">
        <v>11691</v>
      </c>
    </row>
    <row r="90">
      <c r="A90" s="2" t="s">
        <v>11854</v>
      </c>
      <c r="B90" s="7" t="s">
        <v>143</v>
      </c>
      <c r="C90" s="2" t="s">
        <v>11855</v>
      </c>
      <c r="E90" s="2" t="s">
        <v>11706</v>
      </c>
    </row>
    <row r="91">
      <c r="A91" s="2" t="s">
        <v>11856</v>
      </c>
      <c r="B91" s="7" t="s">
        <v>144</v>
      </c>
      <c r="C91" s="2" t="s">
        <v>11857</v>
      </c>
      <c r="E91" s="2">
        <v>2014.0</v>
      </c>
    </row>
    <row r="92">
      <c r="A92" s="2" t="s">
        <v>11858</v>
      </c>
      <c r="B92" s="7" t="s">
        <v>145</v>
      </c>
      <c r="C92" s="2" t="s">
        <v>11859</v>
      </c>
      <c r="E92" s="2" t="s">
        <v>11732</v>
      </c>
    </row>
    <row r="93">
      <c r="A93" s="2" t="s">
        <v>11860</v>
      </c>
      <c r="B93" s="7" t="s">
        <v>146</v>
      </c>
      <c r="C93" s="2" t="s">
        <v>11861</v>
      </c>
      <c r="E93" s="2" t="s">
        <v>11660</v>
      </c>
    </row>
    <row r="94">
      <c r="A94" s="2" t="s">
        <v>11862</v>
      </c>
      <c r="B94" s="7" t="s">
        <v>147</v>
      </c>
      <c r="C94" s="2" t="s">
        <v>11863</v>
      </c>
    </row>
    <row r="95">
      <c r="A95" s="2" t="s">
        <v>3997</v>
      </c>
      <c r="B95" s="7" t="s">
        <v>148</v>
      </c>
      <c r="C95" s="2" t="s">
        <v>647</v>
      </c>
      <c r="D95" s="2" t="s">
        <v>11864</v>
      </c>
      <c r="F95" s="2" t="s">
        <v>11865</v>
      </c>
    </row>
    <row r="96">
      <c r="A96" s="2" t="s">
        <v>11866</v>
      </c>
      <c r="B96" s="7" t="s">
        <v>149</v>
      </c>
      <c r="C96" s="2" t="s">
        <v>11867</v>
      </c>
      <c r="E96" s="2" t="s">
        <v>11663</v>
      </c>
    </row>
    <row r="97">
      <c r="A97" s="2" t="s">
        <v>3997</v>
      </c>
      <c r="B97" s="7" t="s">
        <v>150</v>
      </c>
      <c r="C97" s="2" t="s">
        <v>647</v>
      </c>
      <c r="D97" s="2" t="s">
        <v>11868</v>
      </c>
      <c r="F97" s="2" t="s">
        <v>11869</v>
      </c>
    </row>
    <row r="98">
      <c r="A98" s="2" t="s">
        <v>11870</v>
      </c>
      <c r="B98" s="7" t="s">
        <v>151</v>
      </c>
      <c r="C98" s="2" t="s">
        <v>11871</v>
      </c>
      <c r="E98" s="2">
        <v>2024.0</v>
      </c>
    </row>
    <row r="99">
      <c r="A99" s="2" t="s">
        <v>3997</v>
      </c>
      <c r="B99" s="7" t="s">
        <v>152</v>
      </c>
      <c r="C99" s="2" t="s">
        <v>647</v>
      </c>
      <c r="D99" s="2" t="s">
        <v>11872</v>
      </c>
      <c r="F99" s="2" t="s">
        <v>11873</v>
      </c>
    </row>
    <row r="100">
      <c r="A100" s="2" t="s">
        <v>11874</v>
      </c>
      <c r="B100" s="7" t="s">
        <v>153</v>
      </c>
      <c r="C100" s="2" t="s">
        <v>11875</v>
      </c>
      <c r="E100" s="2" t="s">
        <v>11660</v>
      </c>
    </row>
    <row r="101">
      <c r="A101" s="2" t="s">
        <v>11876</v>
      </c>
      <c r="B101" s="7" t="s">
        <v>154</v>
      </c>
      <c r="C101" s="2" t="s">
        <v>11877</v>
      </c>
      <c r="E101" s="2" t="s">
        <v>11878</v>
      </c>
    </row>
    <row r="102">
      <c r="A102" s="2" t="s">
        <v>11879</v>
      </c>
      <c r="B102" s="7" t="s">
        <v>155</v>
      </c>
      <c r="C102" s="2" t="s">
        <v>11880</v>
      </c>
      <c r="E102" s="2" t="s">
        <v>11671</v>
      </c>
    </row>
    <row r="103">
      <c r="A103" s="2" t="s">
        <v>3997</v>
      </c>
      <c r="B103" s="7" t="s">
        <v>156</v>
      </c>
      <c r="C103" s="2" t="s">
        <v>647</v>
      </c>
      <c r="D103" s="2" t="s">
        <v>11881</v>
      </c>
      <c r="F103" s="2" t="s">
        <v>11882</v>
      </c>
    </row>
    <row r="104">
      <c r="A104" s="2" t="s">
        <v>11883</v>
      </c>
      <c r="B104" s="7" t="s">
        <v>157</v>
      </c>
      <c r="C104" s="2" t="s">
        <v>11884</v>
      </c>
      <c r="E104" s="2" t="s">
        <v>11660</v>
      </c>
    </row>
    <row r="105">
      <c r="A105" s="2" t="s">
        <v>8838</v>
      </c>
      <c r="B105" s="7" t="s">
        <v>158</v>
      </c>
      <c r="C105" s="2" t="s">
        <v>11885</v>
      </c>
      <c r="E105" s="2" t="s">
        <v>11684</v>
      </c>
    </row>
    <row r="106">
      <c r="A106" s="2" t="s">
        <v>11886</v>
      </c>
      <c r="B106" s="7" t="s">
        <v>159</v>
      </c>
      <c r="C106" s="2" t="s">
        <v>11887</v>
      </c>
      <c r="E106" s="2" t="s">
        <v>11732</v>
      </c>
    </row>
    <row r="107">
      <c r="A107" s="2" t="s">
        <v>11888</v>
      </c>
      <c r="B107" s="7" t="s">
        <v>160</v>
      </c>
      <c r="C107" s="2" t="s">
        <v>11889</v>
      </c>
      <c r="E107" s="2" t="s">
        <v>11890</v>
      </c>
    </row>
    <row r="108">
      <c r="A108" s="2" t="s">
        <v>11891</v>
      </c>
      <c r="B108" s="7" t="s">
        <v>161</v>
      </c>
      <c r="C108" s="2" t="s">
        <v>11892</v>
      </c>
      <c r="E108" s="2" t="s">
        <v>11717</v>
      </c>
    </row>
    <row r="109">
      <c r="A109" s="2" t="s">
        <v>11893</v>
      </c>
      <c r="B109" s="7" t="s">
        <v>162</v>
      </c>
      <c r="C109" s="2" t="s">
        <v>11894</v>
      </c>
      <c r="E109" s="2" t="s">
        <v>11895</v>
      </c>
    </row>
    <row r="110">
      <c r="A110" s="2" t="s">
        <v>8886</v>
      </c>
      <c r="B110" s="7" t="s">
        <v>163</v>
      </c>
      <c r="C110" s="2" t="s">
        <v>11896</v>
      </c>
      <c r="E110" s="2" t="s">
        <v>11732</v>
      </c>
    </row>
    <row r="111">
      <c r="A111" s="2" t="s">
        <v>11897</v>
      </c>
      <c r="B111" s="7" t="s">
        <v>164</v>
      </c>
      <c r="C111" s="2" t="s">
        <v>11898</v>
      </c>
      <c r="E111" s="2" t="s">
        <v>11722</v>
      </c>
    </row>
    <row r="112">
      <c r="A112" s="2" t="s">
        <v>11899</v>
      </c>
      <c r="B112" s="7" t="s">
        <v>165</v>
      </c>
      <c r="C112" s="2" t="s">
        <v>11900</v>
      </c>
      <c r="E112" s="2" t="s">
        <v>11671</v>
      </c>
    </row>
    <row r="113">
      <c r="A113" s="2" t="s">
        <v>3997</v>
      </c>
      <c r="B113" s="7" t="s">
        <v>166</v>
      </c>
      <c r="C113" s="2" t="s">
        <v>647</v>
      </c>
      <c r="D113" s="2" t="s">
        <v>11901</v>
      </c>
      <c r="F113" s="2" t="s">
        <v>11826</v>
      </c>
    </row>
    <row r="114">
      <c r="A114" s="2" t="s">
        <v>11902</v>
      </c>
      <c r="B114" s="7" t="s">
        <v>167</v>
      </c>
      <c r="C114" s="2" t="s">
        <v>11903</v>
      </c>
      <c r="E114" s="2" t="s">
        <v>11739</v>
      </c>
    </row>
    <row r="115">
      <c r="A115" s="2" t="s">
        <v>11904</v>
      </c>
      <c r="B115" s="7" t="s">
        <v>168</v>
      </c>
      <c r="C115" s="2" t="s">
        <v>11905</v>
      </c>
      <c r="E115" s="2">
        <v>2015.0</v>
      </c>
    </row>
    <row r="116">
      <c r="A116" s="2" t="s">
        <v>11906</v>
      </c>
      <c r="B116" s="7" t="s">
        <v>169</v>
      </c>
      <c r="C116" s="2" t="s">
        <v>11907</v>
      </c>
      <c r="E116" s="2" t="s">
        <v>11732</v>
      </c>
    </row>
    <row r="117">
      <c r="A117" s="2" t="s">
        <v>3997</v>
      </c>
      <c r="B117" s="7" t="s">
        <v>170</v>
      </c>
      <c r="C117" s="2" t="s">
        <v>647</v>
      </c>
      <c r="D117" s="2" t="s">
        <v>11908</v>
      </c>
      <c r="F117" s="2" t="s">
        <v>11840</v>
      </c>
    </row>
    <row r="118">
      <c r="A118" s="2" t="s">
        <v>11909</v>
      </c>
      <c r="B118" s="7" t="s">
        <v>171</v>
      </c>
      <c r="C118" s="2" t="s">
        <v>11910</v>
      </c>
      <c r="E118" s="2" t="s">
        <v>11684</v>
      </c>
    </row>
    <row r="119">
      <c r="A119" s="2" t="s">
        <v>11911</v>
      </c>
      <c r="B119" s="7" t="s">
        <v>172</v>
      </c>
      <c r="C119" s="2" t="s">
        <v>11912</v>
      </c>
      <c r="E119" s="2" t="s">
        <v>11671</v>
      </c>
    </row>
    <row r="120">
      <c r="A120" s="2" t="s">
        <v>11913</v>
      </c>
      <c r="B120" s="7" t="s">
        <v>173</v>
      </c>
      <c r="C120" s="2" t="s">
        <v>11914</v>
      </c>
      <c r="E120" s="2" t="s">
        <v>11732</v>
      </c>
    </row>
    <row r="121">
      <c r="A121" s="2" t="s">
        <v>11915</v>
      </c>
      <c r="B121" s="7" t="s">
        <v>174</v>
      </c>
      <c r="C121" s="2" t="s">
        <v>11916</v>
      </c>
      <c r="E121" s="2">
        <v>2015.0</v>
      </c>
    </row>
    <row r="122">
      <c r="A122" s="2" t="s">
        <v>11917</v>
      </c>
      <c r="B122" s="7" t="s">
        <v>175</v>
      </c>
      <c r="C122" s="2" t="s">
        <v>11918</v>
      </c>
      <c r="E122" s="2" t="s">
        <v>11739</v>
      </c>
    </row>
    <row r="123">
      <c r="A123" s="2" t="s">
        <v>3997</v>
      </c>
      <c r="B123" s="7" t="s">
        <v>176</v>
      </c>
      <c r="C123" s="2" t="s">
        <v>647</v>
      </c>
      <c r="D123" s="2" t="s">
        <v>11919</v>
      </c>
      <c r="F123" s="2" t="s">
        <v>11865</v>
      </c>
    </row>
    <row r="124">
      <c r="A124" s="2" t="s">
        <v>3997</v>
      </c>
      <c r="B124" s="7" t="s">
        <v>177</v>
      </c>
      <c r="C124" s="2" t="s">
        <v>647</v>
      </c>
      <c r="D124" s="2" t="s">
        <v>11920</v>
      </c>
      <c r="F124" s="2" t="s">
        <v>11921</v>
      </c>
    </row>
    <row r="125">
      <c r="A125" s="2" t="s">
        <v>11922</v>
      </c>
      <c r="B125" s="7" t="s">
        <v>178</v>
      </c>
      <c r="C125" s="2" t="s">
        <v>11923</v>
      </c>
      <c r="E125" s="2" t="s">
        <v>11833</v>
      </c>
    </row>
    <row r="126">
      <c r="A126" s="2" t="s">
        <v>11924</v>
      </c>
      <c r="B126" s="7" t="s">
        <v>179</v>
      </c>
      <c r="C126" s="2" t="s">
        <v>11925</v>
      </c>
      <c r="E126" s="2" t="s">
        <v>11671</v>
      </c>
    </row>
    <row r="127">
      <c r="A127" s="2" t="s">
        <v>11926</v>
      </c>
      <c r="B127" s="7" t="s">
        <v>180</v>
      </c>
      <c r="C127" s="2" t="s">
        <v>11927</v>
      </c>
      <c r="E127" s="2" t="s">
        <v>11671</v>
      </c>
    </row>
    <row r="128">
      <c r="A128" s="2" t="s">
        <v>11928</v>
      </c>
      <c r="B128" s="7" t="s">
        <v>181</v>
      </c>
      <c r="C128" s="2" t="s">
        <v>11929</v>
      </c>
      <c r="E128" s="2" t="s">
        <v>11930</v>
      </c>
    </row>
    <row r="129">
      <c r="A129" s="2" t="s">
        <v>3997</v>
      </c>
      <c r="B129" s="7" t="s">
        <v>182</v>
      </c>
      <c r="C129" s="2" t="s">
        <v>647</v>
      </c>
      <c r="D129" s="2" t="s">
        <v>11931</v>
      </c>
      <c r="F129" s="2" t="s">
        <v>11932</v>
      </c>
    </row>
    <row r="130">
      <c r="A130" s="2" t="s">
        <v>11933</v>
      </c>
      <c r="B130" s="7" t="s">
        <v>183</v>
      </c>
      <c r="C130" s="2" t="s">
        <v>11934</v>
      </c>
    </row>
    <row r="131">
      <c r="A131" s="2" t="s">
        <v>11935</v>
      </c>
      <c r="B131" s="7" t="s">
        <v>184</v>
      </c>
      <c r="C131" s="2" t="s">
        <v>11936</v>
      </c>
      <c r="E131" s="2" t="s">
        <v>11937</v>
      </c>
    </row>
    <row r="132">
      <c r="A132" s="2" t="s">
        <v>11938</v>
      </c>
      <c r="B132" s="7" t="s">
        <v>185</v>
      </c>
      <c r="C132" s="2" t="s">
        <v>11939</v>
      </c>
      <c r="E132" s="2">
        <v>2021.0</v>
      </c>
    </row>
    <row r="133">
      <c r="A133" s="2" t="s">
        <v>11940</v>
      </c>
      <c r="B133" s="7" t="s">
        <v>186</v>
      </c>
      <c r="C133" s="2" t="s">
        <v>11941</v>
      </c>
      <c r="E133" s="2" t="s">
        <v>11890</v>
      </c>
    </row>
    <row r="134">
      <c r="A134" s="2" t="s">
        <v>11942</v>
      </c>
      <c r="B134" s="7" t="s">
        <v>187</v>
      </c>
      <c r="C134" s="2" t="s">
        <v>11943</v>
      </c>
      <c r="E134" s="2">
        <v>2020.0</v>
      </c>
    </row>
    <row r="135">
      <c r="A135" s="2" t="s">
        <v>3458</v>
      </c>
      <c r="B135" s="7" t="s">
        <v>188</v>
      </c>
      <c r="C135" s="2" t="s">
        <v>11944</v>
      </c>
      <c r="E135" s="2" t="s">
        <v>11742</v>
      </c>
    </row>
    <row r="136">
      <c r="A136" s="2" t="s">
        <v>11945</v>
      </c>
      <c r="B136" s="7" t="s">
        <v>189</v>
      </c>
      <c r="C136" s="2" t="s">
        <v>11946</v>
      </c>
      <c r="E136" s="2" t="s">
        <v>11819</v>
      </c>
    </row>
    <row r="137">
      <c r="A137" s="2" t="s">
        <v>11947</v>
      </c>
      <c r="B137" s="7" t="s">
        <v>190</v>
      </c>
      <c r="C137" s="2" t="s">
        <v>11948</v>
      </c>
      <c r="E137" s="2" t="s">
        <v>11949</v>
      </c>
    </row>
    <row r="138">
      <c r="A138" s="2" t="s">
        <v>11950</v>
      </c>
      <c r="B138" s="7" t="s">
        <v>191</v>
      </c>
      <c r="C138" s="2" t="s">
        <v>11951</v>
      </c>
      <c r="E138" s="2" t="s">
        <v>11668</v>
      </c>
    </row>
    <row r="139">
      <c r="A139" s="2" t="s">
        <v>5117</v>
      </c>
      <c r="B139" s="7" t="s">
        <v>192</v>
      </c>
      <c r="C139" s="2" t="s">
        <v>11952</v>
      </c>
    </row>
    <row r="140">
      <c r="A140" s="2" t="s">
        <v>11953</v>
      </c>
      <c r="B140" s="7" t="s">
        <v>193</v>
      </c>
      <c r="C140" s="2" t="s">
        <v>11954</v>
      </c>
      <c r="E140" s="2" t="s">
        <v>11949</v>
      </c>
    </row>
    <row r="141">
      <c r="A141" s="2" t="s">
        <v>11955</v>
      </c>
      <c r="B141" s="7" t="s">
        <v>194</v>
      </c>
      <c r="C141" s="2" t="s">
        <v>11956</v>
      </c>
      <c r="E141" s="2" t="s">
        <v>11699</v>
      </c>
    </row>
    <row r="142">
      <c r="A142" s="2" t="s">
        <v>11957</v>
      </c>
      <c r="B142" s="7" t="s">
        <v>195</v>
      </c>
      <c r="C142" s="2" t="s">
        <v>11958</v>
      </c>
      <c r="E142" s="2" t="s">
        <v>11739</v>
      </c>
    </row>
    <row r="143">
      <c r="A143" s="2" t="s">
        <v>1655</v>
      </c>
      <c r="B143" s="7" t="s">
        <v>196</v>
      </c>
      <c r="C143" s="2" t="s">
        <v>11959</v>
      </c>
      <c r="E143" s="2" t="s">
        <v>11663</v>
      </c>
    </row>
    <row r="144">
      <c r="A144" s="2" t="s">
        <v>11960</v>
      </c>
      <c r="B144" s="7" t="s">
        <v>197</v>
      </c>
      <c r="C144" s="2" t="s">
        <v>11961</v>
      </c>
      <c r="E144" s="2" t="s">
        <v>11671</v>
      </c>
    </row>
    <row r="145">
      <c r="A145" s="2" t="s">
        <v>3997</v>
      </c>
      <c r="B145" s="7" t="s">
        <v>198</v>
      </c>
      <c r="C145" s="2" t="s">
        <v>647</v>
      </c>
      <c r="D145" s="2" t="s">
        <v>11962</v>
      </c>
      <c r="F145" s="2" t="s">
        <v>11963</v>
      </c>
    </row>
    <row r="146">
      <c r="A146" s="2" t="s">
        <v>3997</v>
      </c>
      <c r="B146" s="7" t="s">
        <v>199</v>
      </c>
      <c r="C146" s="2" t="s">
        <v>647</v>
      </c>
      <c r="D146" s="2" t="s">
        <v>11964</v>
      </c>
      <c r="F146" s="2" t="s">
        <v>11703</v>
      </c>
    </row>
    <row r="147">
      <c r="A147" s="2" t="s">
        <v>11965</v>
      </c>
      <c r="B147" s="7" t="s">
        <v>200</v>
      </c>
      <c r="C147" s="2" t="s">
        <v>11966</v>
      </c>
      <c r="E147" s="2" t="s">
        <v>11674</v>
      </c>
    </row>
    <row r="148">
      <c r="A148" s="2" t="s">
        <v>11967</v>
      </c>
      <c r="B148" s="7" t="s">
        <v>201</v>
      </c>
      <c r="C148" s="2" t="s">
        <v>11968</v>
      </c>
      <c r="E148" s="2" t="s">
        <v>11806</v>
      </c>
    </row>
    <row r="149">
      <c r="A149" s="2" t="s">
        <v>11969</v>
      </c>
      <c r="B149" s="7" t="s">
        <v>202</v>
      </c>
      <c r="C149" s="2" t="s">
        <v>11970</v>
      </c>
      <c r="E149" s="2" t="s">
        <v>11732</v>
      </c>
    </row>
    <row r="150">
      <c r="A150" s="2" t="s">
        <v>11971</v>
      </c>
      <c r="B150" s="7" t="s">
        <v>203</v>
      </c>
      <c r="C150" s="2" t="s">
        <v>11972</v>
      </c>
      <c r="E150" s="2" t="s">
        <v>11742</v>
      </c>
    </row>
    <row r="151">
      <c r="A151" s="2" t="s">
        <v>3997</v>
      </c>
      <c r="B151" s="7" t="s">
        <v>204</v>
      </c>
      <c r="C151" s="2" t="s">
        <v>647</v>
      </c>
      <c r="D151" s="2" t="s">
        <v>11973</v>
      </c>
      <c r="F151" s="2" t="s">
        <v>11974</v>
      </c>
    </row>
    <row r="152">
      <c r="A152" s="2" t="s">
        <v>11975</v>
      </c>
      <c r="B152" s="7" t="s">
        <v>205</v>
      </c>
      <c r="C152" s="2" t="s">
        <v>11976</v>
      </c>
      <c r="E152" s="2" t="s">
        <v>11732</v>
      </c>
    </row>
    <row r="153">
      <c r="A153" s="2" t="s">
        <v>3997</v>
      </c>
      <c r="B153" s="7" t="s">
        <v>206</v>
      </c>
      <c r="C153" s="2" t="s">
        <v>647</v>
      </c>
      <c r="D153" s="2" t="s">
        <v>11977</v>
      </c>
      <c r="F153" s="2" t="s">
        <v>11978</v>
      </c>
    </row>
    <row r="154">
      <c r="A154" s="2" t="s">
        <v>11979</v>
      </c>
      <c r="B154" s="7" t="s">
        <v>207</v>
      </c>
      <c r="C154" s="2" t="s">
        <v>11980</v>
      </c>
      <c r="E154" s="2">
        <v>2015.0</v>
      </c>
    </row>
    <row r="155">
      <c r="A155" s="2" t="s">
        <v>3997</v>
      </c>
      <c r="B155" s="7" t="s">
        <v>208</v>
      </c>
      <c r="C155" s="2" t="s">
        <v>647</v>
      </c>
      <c r="D155" s="2" t="s">
        <v>11981</v>
      </c>
      <c r="F155" s="2" t="s">
        <v>11780</v>
      </c>
    </row>
    <row r="156">
      <c r="A156" s="2" t="s">
        <v>11982</v>
      </c>
      <c r="B156" s="7" t="s">
        <v>209</v>
      </c>
      <c r="C156" s="2" t="s">
        <v>11983</v>
      </c>
      <c r="E156" s="2" t="s">
        <v>11684</v>
      </c>
    </row>
    <row r="157">
      <c r="A157" s="2" t="s">
        <v>3997</v>
      </c>
      <c r="B157" s="7" t="s">
        <v>210</v>
      </c>
      <c r="C157" s="2" t="s">
        <v>647</v>
      </c>
      <c r="D157" s="2" t="s">
        <v>11984</v>
      </c>
      <c r="F157" s="2" t="s">
        <v>11736</v>
      </c>
    </row>
    <row r="158">
      <c r="A158" s="2" t="s">
        <v>11985</v>
      </c>
      <c r="B158" s="7" t="s">
        <v>211</v>
      </c>
      <c r="C158" s="2" t="s">
        <v>11986</v>
      </c>
      <c r="E158" s="2" t="s">
        <v>11699</v>
      </c>
    </row>
    <row r="159">
      <c r="A159" s="2" t="s">
        <v>11987</v>
      </c>
      <c r="B159" s="7" t="s">
        <v>212</v>
      </c>
      <c r="C159" s="2" t="s">
        <v>11988</v>
      </c>
      <c r="E159" s="2" t="s">
        <v>11732</v>
      </c>
    </row>
    <row r="160">
      <c r="A160" s="2" t="s">
        <v>11989</v>
      </c>
      <c r="B160" s="7" t="s">
        <v>213</v>
      </c>
      <c r="C160" s="2" t="s">
        <v>11990</v>
      </c>
      <c r="E160" s="2" t="s">
        <v>11691</v>
      </c>
    </row>
    <row r="161">
      <c r="A161" s="2" t="s">
        <v>3997</v>
      </c>
      <c r="B161" s="7" t="s">
        <v>214</v>
      </c>
      <c r="C161" s="2" t="s">
        <v>647</v>
      </c>
      <c r="D161" s="2" t="s">
        <v>11991</v>
      </c>
      <c r="F161" s="2" t="s">
        <v>11840</v>
      </c>
    </row>
    <row r="162">
      <c r="A162" s="2" t="s">
        <v>3997</v>
      </c>
      <c r="B162" s="7" t="s">
        <v>215</v>
      </c>
      <c r="C162" s="2" t="s">
        <v>647</v>
      </c>
      <c r="D162" s="2" t="s">
        <v>11992</v>
      </c>
      <c r="F162" s="2" t="s">
        <v>11921</v>
      </c>
    </row>
    <row r="163">
      <c r="A163" s="2" t="s">
        <v>3997</v>
      </c>
      <c r="B163" s="7" t="s">
        <v>216</v>
      </c>
      <c r="C163" s="2" t="s">
        <v>647</v>
      </c>
      <c r="D163" s="2" t="s">
        <v>11993</v>
      </c>
      <c r="F163" s="2" t="s">
        <v>11748</v>
      </c>
    </row>
    <row r="164">
      <c r="A164" s="2" t="s">
        <v>11994</v>
      </c>
      <c r="B164" s="7" t="s">
        <v>217</v>
      </c>
      <c r="C164" s="2" t="s">
        <v>11995</v>
      </c>
      <c r="E164" s="2">
        <v>2014.0</v>
      </c>
    </row>
    <row r="165">
      <c r="A165" s="2" t="s">
        <v>11996</v>
      </c>
      <c r="B165" s="7" t="s">
        <v>218</v>
      </c>
      <c r="C165" s="2" t="s">
        <v>11997</v>
      </c>
      <c r="E165" s="2" t="s">
        <v>11819</v>
      </c>
    </row>
    <row r="166">
      <c r="A166" s="2" t="s">
        <v>11998</v>
      </c>
      <c r="B166" s="7" t="s">
        <v>219</v>
      </c>
      <c r="C166" s="2" t="s">
        <v>11999</v>
      </c>
      <c r="E166" s="2">
        <v>2016.0</v>
      </c>
    </row>
    <row r="167">
      <c r="A167" s="2" t="s">
        <v>12000</v>
      </c>
      <c r="B167" s="7" t="s">
        <v>220</v>
      </c>
      <c r="C167" s="2" t="s">
        <v>12001</v>
      </c>
      <c r="E167" s="2">
        <v>2020.0</v>
      </c>
    </row>
    <row r="168">
      <c r="A168" s="2" t="s">
        <v>12002</v>
      </c>
      <c r="B168" s="7" t="s">
        <v>221</v>
      </c>
      <c r="C168" s="2" t="s">
        <v>12003</v>
      </c>
      <c r="E168" s="2" t="s">
        <v>11742</v>
      </c>
    </row>
    <row r="169">
      <c r="A169" s="2" t="s">
        <v>12004</v>
      </c>
      <c r="B169" s="7" t="s">
        <v>222</v>
      </c>
      <c r="C169" s="2" t="s">
        <v>12005</v>
      </c>
      <c r="E169" s="2" t="s">
        <v>11671</v>
      </c>
    </row>
    <row r="170">
      <c r="A170" s="2" t="s">
        <v>12006</v>
      </c>
      <c r="B170" s="7" t="s">
        <v>223</v>
      </c>
      <c r="C170" s="2" t="s">
        <v>12007</v>
      </c>
      <c r="E170" s="2" t="s">
        <v>11663</v>
      </c>
    </row>
    <row r="171">
      <c r="A171" s="2" t="s">
        <v>12008</v>
      </c>
      <c r="B171" s="7" t="s">
        <v>224</v>
      </c>
      <c r="C171" s="2" t="s">
        <v>12009</v>
      </c>
      <c r="E171" s="2" t="s">
        <v>11843</v>
      </c>
    </row>
    <row r="172">
      <c r="A172" s="2" t="s">
        <v>12010</v>
      </c>
      <c r="B172" s="7" t="s">
        <v>225</v>
      </c>
      <c r="C172" s="2" t="s">
        <v>12011</v>
      </c>
      <c r="E172" s="2" t="s">
        <v>11819</v>
      </c>
    </row>
    <row r="173">
      <c r="A173" s="2" t="s">
        <v>12012</v>
      </c>
      <c r="B173" s="7" t="s">
        <v>226</v>
      </c>
      <c r="C173" s="2" t="s">
        <v>12013</v>
      </c>
      <c r="E173" s="2" t="s">
        <v>11949</v>
      </c>
    </row>
    <row r="174">
      <c r="A174" s="2" t="s">
        <v>12014</v>
      </c>
      <c r="B174" s="7" t="s">
        <v>227</v>
      </c>
      <c r="C174" s="2" t="s">
        <v>12015</v>
      </c>
    </row>
    <row r="175">
      <c r="A175" s="2" t="s">
        <v>3997</v>
      </c>
      <c r="B175" s="7" t="s">
        <v>228</v>
      </c>
      <c r="C175" s="2" t="s">
        <v>647</v>
      </c>
      <c r="D175" s="2" t="s">
        <v>12016</v>
      </c>
      <c r="F175" s="2" t="s">
        <v>11840</v>
      </c>
    </row>
    <row r="176">
      <c r="A176" s="2" t="s">
        <v>12017</v>
      </c>
      <c r="B176" s="7" t="s">
        <v>229</v>
      </c>
      <c r="C176" s="2" t="s">
        <v>12018</v>
      </c>
      <c r="E176" s="2" t="s">
        <v>11937</v>
      </c>
    </row>
    <row r="177">
      <c r="A177" s="2" t="s">
        <v>12019</v>
      </c>
      <c r="B177" s="7" t="s">
        <v>230</v>
      </c>
      <c r="C177" s="2" t="s">
        <v>12020</v>
      </c>
      <c r="E177" s="2" t="s">
        <v>11949</v>
      </c>
    </row>
    <row r="178">
      <c r="A178" s="2" t="s">
        <v>3997</v>
      </c>
      <c r="B178" s="7" t="s">
        <v>231</v>
      </c>
      <c r="C178" s="2" t="s">
        <v>647</v>
      </c>
      <c r="D178" s="2" t="s">
        <v>12021</v>
      </c>
      <c r="F178" s="2" t="s">
        <v>11869</v>
      </c>
    </row>
    <row r="179">
      <c r="A179" s="2" t="s">
        <v>2905</v>
      </c>
      <c r="B179" s="7" t="s">
        <v>232</v>
      </c>
      <c r="C179" s="2" t="s">
        <v>12022</v>
      </c>
      <c r="E179" s="2">
        <v>2008.0</v>
      </c>
    </row>
    <row r="180">
      <c r="A180" s="2" t="s">
        <v>12023</v>
      </c>
      <c r="B180" s="7" t="s">
        <v>233</v>
      </c>
      <c r="C180" s="2" t="s">
        <v>12024</v>
      </c>
      <c r="E180" s="2" t="s">
        <v>11674</v>
      </c>
    </row>
    <row r="181">
      <c r="A181" s="2" t="s">
        <v>3997</v>
      </c>
      <c r="B181" s="7" t="s">
        <v>234</v>
      </c>
      <c r="C181" s="2" t="s">
        <v>647</v>
      </c>
      <c r="D181" s="2" t="s">
        <v>2915</v>
      </c>
      <c r="F181" s="2" t="s">
        <v>12025</v>
      </c>
    </row>
    <row r="182">
      <c r="A182" s="2" t="s">
        <v>12026</v>
      </c>
      <c r="B182" s="7" t="s">
        <v>235</v>
      </c>
      <c r="C182" s="2" t="s">
        <v>12027</v>
      </c>
      <c r="E182" s="2" t="s">
        <v>11663</v>
      </c>
    </row>
    <row r="183">
      <c r="A183" s="2" t="s">
        <v>12028</v>
      </c>
      <c r="B183" s="7" t="s">
        <v>236</v>
      </c>
      <c r="C183" s="2" t="s">
        <v>12029</v>
      </c>
      <c r="E183" s="2" t="s">
        <v>11691</v>
      </c>
    </row>
    <row r="184">
      <c r="A184" s="2" t="s">
        <v>3997</v>
      </c>
      <c r="B184" s="7" t="s">
        <v>237</v>
      </c>
      <c r="C184" s="2" t="s">
        <v>647</v>
      </c>
      <c r="D184" s="2" t="s">
        <v>12030</v>
      </c>
      <c r="F184" s="2" t="s">
        <v>12031</v>
      </c>
    </row>
    <row r="185">
      <c r="A185" s="2" t="s">
        <v>12032</v>
      </c>
      <c r="B185" s="7" t="s">
        <v>238</v>
      </c>
      <c r="C185" s="2" t="s">
        <v>12033</v>
      </c>
      <c r="E185" s="2" t="s">
        <v>11671</v>
      </c>
    </row>
    <row r="186">
      <c r="A186" s="2" t="s">
        <v>3997</v>
      </c>
      <c r="B186" s="7" t="s">
        <v>239</v>
      </c>
      <c r="C186" s="2" t="s">
        <v>647</v>
      </c>
      <c r="D186" s="2" t="s">
        <v>12034</v>
      </c>
      <c r="F186" s="2" t="s">
        <v>11882</v>
      </c>
    </row>
    <row r="187">
      <c r="A187" s="2" t="s">
        <v>12035</v>
      </c>
      <c r="B187" s="7" t="s">
        <v>240</v>
      </c>
      <c r="C187" s="2" t="s">
        <v>12036</v>
      </c>
      <c r="E187" s="2" t="s">
        <v>11819</v>
      </c>
    </row>
    <row r="188">
      <c r="A188" s="2" t="s">
        <v>12037</v>
      </c>
      <c r="B188" s="7" t="s">
        <v>241</v>
      </c>
      <c r="C188" s="2" t="s">
        <v>12038</v>
      </c>
    </row>
    <row r="189">
      <c r="A189" s="2" t="s">
        <v>3997</v>
      </c>
      <c r="B189" s="7" t="s">
        <v>242</v>
      </c>
      <c r="C189" s="2" t="s">
        <v>647</v>
      </c>
      <c r="D189" s="2" t="s">
        <v>12039</v>
      </c>
      <c r="F189" s="2" t="s">
        <v>11760</v>
      </c>
    </row>
    <row r="190">
      <c r="A190" s="2" t="s">
        <v>12040</v>
      </c>
      <c r="B190" s="7" t="s">
        <v>243</v>
      </c>
      <c r="C190" s="2" t="s">
        <v>12041</v>
      </c>
      <c r="E190" s="2" t="s">
        <v>12042</v>
      </c>
    </row>
    <row r="191">
      <c r="A191" s="2" t="s">
        <v>12043</v>
      </c>
      <c r="B191" s="7" t="s">
        <v>244</v>
      </c>
      <c r="C191" s="2" t="s">
        <v>12044</v>
      </c>
      <c r="E191" s="2" t="s">
        <v>11763</v>
      </c>
    </row>
    <row r="192">
      <c r="A192" s="2" t="s">
        <v>12045</v>
      </c>
      <c r="B192" s="7" t="s">
        <v>245</v>
      </c>
      <c r="C192" s="2" t="s">
        <v>12046</v>
      </c>
    </row>
    <row r="193">
      <c r="A193" s="7" t="s">
        <v>12047</v>
      </c>
      <c r="B193" s="7" t="s">
        <v>246</v>
      </c>
      <c r="C193" s="2" t="s">
        <v>12048</v>
      </c>
      <c r="E193" s="2" t="s">
        <v>11742</v>
      </c>
    </row>
    <row r="194">
      <c r="A194" s="2" t="s">
        <v>12049</v>
      </c>
      <c r="B194" s="7" t="s">
        <v>247</v>
      </c>
      <c r="C194" s="2" t="s">
        <v>12050</v>
      </c>
      <c r="E194" s="2" t="s">
        <v>11699</v>
      </c>
    </row>
    <row r="195">
      <c r="A195" s="2" t="s">
        <v>12051</v>
      </c>
      <c r="B195" s="7" t="s">
        <v>248</v>
      </c>
      <c r="C195" s="2" t="s">
        <v>12052</v>
      </c>
      <c r="E195" s="2">
        <v>2014.0</v>
      </c>
    </row>
    <row r="196">
      <c r="A196" s="2" t="s">
        <v>12053</v>
      </c>
      <c r="B196" s="7" t="s">
        <v>249</v>
      </c>
      <c r="C196" s="2" t="s">
        <v>12054</v>
      </c>
      <c r="E196" s="2" t="s">
        <v>11949</v>
      </c>
    </row>
    <row r="197">
      <c r="A197" s="2" t="s">
        <v>3997</v>
      </c>
      <c r="B197" s="7" t="s">
        <v>250</v>
      </c>
      <c r="C197" s="2" t="s">
        <v>647</v>
      </c>
      <c r="D197" s="2" t="s">
        <v>12055</v>
      </c>
      <c r="F197" s="2" t="s">
        <v>12056</v>
      </c>
    </row>
    <row r="198">
      <c r="A198" s="2" t="s">
        <v>12057</v>
      </c>
      <c r="B198" s="7" t="s">
        <v>251</v>
      </c>
      <c r="C198" s="2" t="s">
        <v>12058</v>
      </c>
      <c r="E198" s="2" t="s">
        <v>11684</v>
      </c>
    </row>
    <row r="199">
      <c r="A199" s="2" t="s">
        <v>12059</v>
      </c>
      <c r="B199" s="7" t="s">
        <v>252</v>
      </c>
      <c r="C199" s="2" t="s">
        <v>12060</v>
      </c>
      <c r="E199" s="2" t="s">
        <v>11671</v>
      </c>
    </row>
    <row r="200">
      <c r="A200" s="2" t="s">
        <v>3997</v>
      </c>
      <c r="B200" s="7" t="s">
        <v>253</v>
      </c>
      <c r="C200" s="2" t="s">
        <v>647</v>
      </c>
      <c r="D200" s="2" t="s">
        <v>12061</v>
      </c>
      <c r="F200" s="2" t="s">
        <v>11812</v>
      </c>
    </row>
    <row r="201">
      <c r="A201" s="2" t="s">
        <v>12062</v>
      </c>
      <c r="B201" s="7" t="s">
        <v>254</v>
      </c>
      <c r="C201" s="2" t="s">
        <v>12063</v>
      </c>
      <c r="E201" s="2" t="s">
        <v>11660</v>
      </c>
    </row>
    <row r="202">
      <c r="A202" s="2" t="s">
        <v>3997</v>
      </c>
      <c r="B202" s="7" t="s">
        <v>255</v>
      </c>
      <c r="C202" s="2" t="s">
        <v>647</v>
      </c>
      <c r="D202" s="2" t="s">
        <v>12064</v>
      </c>
      <c r="F202" s="2" t="s">
        <v>12065</v>
      </c>
    </row>
    <row r="203">
      <c r="A203" s="2" t="s">
        <v>12066</v>
      </c>
      <c r="B203" s="7" t="s">
        <v>256</v>
      </c>
      <c r="C203" s="2" t="s">
        <v>12067</v>
      </c>
      <c r="E203" s="2" t="s">
        <v>11706</v>
      </c>
    </row>
    <row r="204">
      <c r="A204" s="2" t="s">
        <v>12068</v>
      </c>
      <c r="B204" s="7" t="s">
        <v>257</v>
      </c>
      <c r="C204" s="2" t="s">
        <v>12069</v>
      </c>
      <c r="E204" s="2" t="s">
        <v>11763</v>
      </c>
    </row>
    <row r="205">
      <c r="A205" s="2" t="s">
        <v>12070</v>
      </c>
      <c r="B205" s="7" t="s">
        <v>258</v>
      </c>
      <c r="C205" s="2" t="s">
        <v>12071</v>
      </c>
      <c r="E205" s="2" t="s">
        <v>11806</v>
      </c>
    </row>
    <row r="206">
      <c r="A206" s="2" t="s">
        <v>3997</v>
      </c>
      <c r="B206" s="7" t="s">
        <v>259</v>
      </c>
      <c r="C206" s="2" t="s">
        <v>647</v>
      </c>
      <c r="D206" s="2" t="s">
        <v>12072</v>
      </c>
      <c r="F206" s="2" t="s">
        <v>11760</v>
      </c>
    </row>
    <row r="207">
      <c r="A207" s="2" t="s">
        <v>12073</v>
      </c>
      <c r="B207" s="7" t="s">
        <v>260</v>
      </c>
      <c r="C207" s="2" t="s">
        <v>12074</v>
      </c>
      <c r="E207" s="2" t="s">
        <v>11739</v>
      </c>
    </row>
    <row r="208">
      <c r="A208" s="2" t="s">
        <v>3997</v>
      </c>
      <c r="B208" s="7" t="s">
        <v>261</v>
      </c>
      <c r="C208" s="2" t="s">
        <v>647</v>
      </c>
      <c r="D208" s="2" t="s">
        <v>12075</v>
      </c>
      <c r="F208" s="2" t="s">
        <v>12076</v>
      </c>
    </row>
    <row r="209">
      <c r="A209" s="2" t="s">
        <v>12077</v>
      </c>
      <c r="B209" s="7" t="s">
        <v>262</v>
      </c>
      <c r="C209" s="2" t="s">
        <v>12078</v>
      </c>
      <c r="E209" s="2" t="s">
        <v>11691</v>
      </c>
    </row>
    <row r="210">
      <c r="A210" s="2" t="s">
        <v>3997</v>
      </c>
      <c r="B210" s="7" t="s">
        <v>263</v>
      </c>
      <c r="C210" s="2" t="s">
        <v>647</v>
      </c>
      <c r="D210" s="2" t="s">
        <v>12079</v>
      </c>
      <c r="F210" s="2" t="s">
        <v>11932</v>
      </c>
    </row>
    <row r="211">
      <c r="A211" s="2" t="s">
        <v>12080</v>
      </c>
      <c r="B211" s="7" t="s">
        <v>264</v>
      </c>
      <c r="C211" s="2" t="s">
        <v>12081</v>
      </c>
      <c r="E211" s="2" t="s">
        <v>11819</v>
      </c>
    </row>
    <row r="212">
      <c r="A212" s="2" t="s">
        <v>12082</v>
      </c>
      <c r="B212" s="7" t="s">
        <v>265</v>
      </c>
      <c r="C212" s="2" t="s">
        <v>12083</v>
      </c>
      <c r="E212" s="2" t="s">
        <v>11742</v>
      </c>
    </row>
    <row r="213">
      <c r="A213" s="2" t="s">
        <v>12084</v>
      </c>
      <c r="B213" s="7" t="s">
        <v>266</v>
      </c>
      <c r="C213" s="2" t="s">
        <v>12085</v>
      </c>
      <c r="E213" s="2">
        <v>2010.0</v>
      </c>
    </row>
    <row r="214">
      <c r="A214" s="2" t="s">
        <v>12086</v>
      </c>
      <c r="B214" s="7" t="s">
        <v>267</v>
      </c>
      <c r="C214" s="2" t="s">
        <v>12087</v>
      </c>
      <c r="E214" s="2">
        <v>2017.0</v>
      </c>
    </row>
    <row r="215">
      <c r="A215" s="2" t="s">
        <v>3997</v>
      </c>
      <c r="B215" s="7" t="s">
        <v>268</v>
      </c>
      <c r="C215" s="2" t="s">
        <v>647</v>
      </c>
      <c r="D215" s="2" t="s">
        <v>12088</v>
      </c>
      <c r="F215" s="2" t="s">
        <v>11665</v>
      </c>
    </row>
    <row r="216">
      <c r="A216" s="2" t="s">
        <v>12089</v>
      </c>
      <c r="B216" s="7" t="s">
        <v>269</v>
      </c>
      <c r="C216" s="2" t="s">
        <v>12090</v>
      </c>
      <c r="E216" s="2" t="s">
        <v>11878</v>
      </c>
    </row>
    <row r="217">
      <c r="A217" s="2" t="s">
        <v>12091</v>
      </c>
      <c r="B217" s="7" t="s">
        <v>270</v>
      </c>
      <c r="C217" s="2" t="s">
        <v>12092</v>
      </c>
      <c r="E217" s="2" t="s">
        <v>11890</v>
      </c>
    </row>
    <row r="218">
      <c r="A218" s="2" t="s">
        <v>12093</v>
      </c>
      <c r="B218" s="7" t="s">
        <v>271</v>
      </c>
      <c r="C218" s="2" t="s">
        <v>12094</v>
      </c>
      <c r="E218" s="2" t="s">
        <v>11660</v>
      </c>
    </row>
    <row r="219">
      <c r="A219" s="2" t="s">
        <v>3997</v>
      </c>
      <c r="B219" s="7" t="s">
        <v>272</v>
      </c>
      <c r="C219" s="2" t="s">
        <v>647</v>
      </c>
      <c r="D219" s="2" t="s">
        <v>12095</v>
      </c>
      <c r="F219" s="2" t="s">
        <v>12096</v>
      </c>
    </row>
    <row r="220">
      <c r="A220" s="2" t="s">
        <v>12097</v>
      </c>
      <c r="B220" s="7" t="s">
        <v>273</v>
      </c>
      <c r="C220" s="2" t="s">
        <v>12098</v>
      </c>
      <c r="E220" s="2">
        <v>2021.0</v>
      </c>
    </row>
    <row r="221">
      <c r="A221" s="2" t="s">
        <v>12099</v>
      </c>
      <c r="B221" s="7" t="s">
        <v>274</v>
      </c>
      <c r="C221" s="2" t="s">
        <v>12100</v>
      </c>
      <c r="E221" s="2" t="s">
        <v>12101</v>
      </c>
    </row>
    <row r="222">
      <c r="A222" s="2" t="s">
        <v>12102</v>
      </c>
      <c r="B222" s="7" t="s">
        <v>275</v>
      </c>
      <c r="C222" s="2" t="s">
        <v>12103</v>
      </c>
      <c r="E222" s="2">
        <v>2021.0</v>
      </c>
    </row>
    <row r="223">
      <c r="A223" s="2" t="s">
        <v>12104</v>
      </c>
      <c r="B223" s="7" t="s">
        <v>276</v>
      </c>
      <c r="C223" s="2" t="s">
        <v>12105</v>
      </c>
      <c r="E223" s="2" t="s">
        <v>11739</v>
      </c>
    </row>
    <row r="224">
      <c r="A224" s="2" t="s">
        <v>3997</v>
      </c>
      <c r="B224" s="7" t="s">
        <v>277</v>
      </c>
      <c r="C224" s="2" t="s">
        <v>647</v>
      </c>
      <c r="D224" s="2" t="s">
        <v>12106</v>
      </c>
      <c r="F224" s="2" t="s">
        <v>12107</v>
      </c>
    </row>
    <row r="225">
      <c r="A225" s="2" t="s">
        <v>12108</v>
      </c>
      <c r="B225" s="7" t="s">
        <v>278</v>
      </c>
      <c r="C225" s="2" t="s">
        <v>12109</v>
      </c>
      <c r="E225" s="2" t="s">
        <v>11843</v>
      </c>
    </row>
    <row r="226">
      <c r="A226" s="2" t="s">
        <v>12110</v>
      </c>
      <c r="B226" s="7" t="s">
        <v>279</v>
      </c>
      <c r="C226" s="2" t="s">
        <v>12111</v>
      </c>
      <c r="E226" s="2" t="s">
        <v>11674</v>
      </c>
    </row>
    <row r="227">
      <c r="A227" s="2" t="s">
        <v>3997</v>
      </c>
      <c r="B227" s="7" t="s">
        <v>280</v>
      </c>
      <c r="C227" s="2" t="s">
        <v>647</v>
      </c>
      <c r="D227" s="2" t="s">
        <v>12112</v>
      </c>
      <c r="F227" s="2" t="s">
        <v>11869</v>
      </c>
    </row>
    <row r="228">
      <c r="A228" s="2" t="s">
        <v>12113</v>
      </c>
      <c r="B228" s="7" t="s">
        <v>281</v>
      </c>
      <c r="C228" s="2" t="s">
        <v>12114</v>
      </c>
      <c r="E228" s="2" t="s">
        <v>11806</v>
      </c>
    </row>
    <row r="229">
      <c r="A229" s="2" t="s">
        <v>12115</v>
      </c>
      <c r="B229" s="7" t="s">
        <v>282</v>
      </c>
      <c r="C229" s="2" t="s">
        <v>12116</v>
      </c>
      <c r="E229" s="2" t="s">
        <v>11742</v>
      </c>
    </row>
    <row r="230">
      <c r="A230" s="2" t="s">
        <v>3997</v>
      </c>
      <c r="B230" s="7" t="s">
        <v>283</v>
      </c>
      <c r="C230" s="2" t="s">
        <v>647</v>
      </c>
      <c r="D230" s="2" t="s">
        <v>12117</v>
      </c>
      <c r="F230" s="2" t="s">
        <v>12118</v>
      </c>
    </row>
    <row r="231">
      <c r="A231" s="2" t="s">
        <v>10097</v>
      </c>
      <c r="B231" s="7" t="s">
        <v>284</v>
      </c>
      <c r="C231" s="2" t="s">
        <v>12119</v>
      </c>
      <c r="E231" s="2">
        <v>2020.0</v>
      </c>
    </row>
    <row r="232">
      <c r="A232" s="2" t="s">
        <v>12120</v>
      </c>
      <c r="B232" s="7" t="s">
        <v>285</v>
      </c>
      <c r="C232" s="2" t="s">
        <v>12121</v>
      </c>
      <c r="E232" s="2" t="s">
        <v>11819</v>
      </c>
    </row>
    <row r="233">
      <c r="A233" s="2" t="s">
        <v>12122</v>
      </c>
      <c r="B233" s="7" t="s">
        <v>286</v>
      </c>
      <c r="C233" s="2" t="s">
        <v>12123</v>
      </c>
    </row>
    <row r="234">
      <c r="A234" s="2" t="s">
        <v>12124</v>
      </c>
      <c r="B234" s="7" t="s">
        <v>287</v>
      </c>
      <c r="C234" s="2" t="s">
        <v>12125</v>
      </c>
      <c r="E234" s="2" t="s">
        <v>11706</v>
      </c>
    </row>
    <row r="235">
      <c r="A235" s="2" t="s">
        <v>12126</v>
      </c>
      <c r="B235" s="7" t="s">
        <v>288</v>
      </c>
      <c r="C235" s="2" t="s">
        <v>12127</v>
      </c>
      <c r="E235" s="2" t="s">
        <v>11732</v>
      </c>
    </row>
    <row r="236">
      <c r="A236" s="2" t="s">
        <v>12128</v>
      </c>
      <c r="B236" s="7" t="s">
        <v>289</v>
      </c>
      <c r="C236" s="2" t="s">
        <v>12129</v>
      </c>
      <c r="E236" s="2" t="s">
        <v>11833</v>
      </c>
    </row>
    <row r="237">
      <c r="A237" s="2" t="s">
        <v>5542</v>
      </c>
      <c r="B237" s="7" t="s">
        <v>290</v>
      </c>
      <c r="C237" s="2" t="s">
        <v>12130</v>
      </c>
      <c r="E237" s="2" t="s">
        <v>11663</v>
      </c>
    </row>
    <row r="238">
      <c r="A238" s="2" t="s">
        <v>12131</v>
      </c>
      <c r="B238" s="7" t="s">
        <v>291</v>
      </c>
      <c r="C238" s="2" t="s">
        <v>12132</v>
      </c>
      <c r="E238" s="2">
        <v>2024.0</v>
      </c>
    </row>
    <row r="239">
      <c r="A239" s="2" t="s">
        <v>3997</v>
      </c>
      <c r="B239" s="7" t="s">
        <v>292</v>
      </c>
      <c r="C239" s="2" t="s">
        <v>647</v>
      </c>
      <c r="D239" s="2" t="s">
        <v>12133</v>
      </c>
      <c r="F239" s="2" t="s">
        <v>11865</v>
      </c>
    </row>
    <row r="240">
      <c r="A240" s="2" t="s">
        <v>12134</v>
      </c>
      <c r="B240" s="7" t="s">
        <v>293</v>
      </c>
      <c r="C240" s="2" t="s">
        <v>12135</v>
      </c>
      <c r="E240" s="2" t="s">
        <v>11732</v>
      </c>
    </row>
    <row r="241">
      <c r="A241" s="2" t="s">
        <v>12136</v>
      </c>
      <c r="B241" s="7" t="s">
        <v>294</v>
      </c>
      <c r="C241" s="2" t="s">
        <v>12137</v>
      </c>
      <c r="E241" s="2">
        <v>2017.0</v>
      </c>
    </row>
    <row r="242">
      <c r="A242" s="2" t="s">
        <v>3997</v>
      </c>
      <c r="B242" s="7" t="s">
        <v>295</v>
      </c>
      <c r="C242" s="2" t="s">
        <v>647</v>
      </c>
      <c r="D242" s="2" t="s">
        <v>12138</v>
      </c>
      <c r="F242" s="2" t="s">
        <v>11873</v>
      </c>
    </row>
    <row r="243">
      <c r="A243" s="2" t="s">
        <v>3997</v>
      </c>
      <c r="B243" s="7" t="s">
        <v>296</v>
      </c>
      <c r="C243" s="2" t="s">
        <v>647</v>
      </c>
      <c r="D243" s="2" t="s">
        <v>4166</v>
      </c>
      <c r="F243" s="2" t="s">
        <v>12139</v>
      </c>
    </row>
    <row r="244">
      <c r="A244" s="2" t="s">
        <v>12140</v>
      </c>
      <c r="B244" s="7" t="s">
        <v>297</v>
      </c>
      <c r="C244" s="2" t="s">
        <v>12141</v>
      </c>
      <c r="E244" s="2" t="s">
        <v>11770</v>
      </c>
    </row>
    <row r="245">
      <c r="A245" s="2" t="s">
        <v>12142</v>
      </c>
      <c r="B245" s="7" t="s">
        <v>298</v>
      </c>
      <c r="C245" s="2" t="s">
        <v>12143</v>
      </c>
      <c r="E245" s="2" t="s">
        <v>11668</v>
      </c>
    </row>
    <row r="246">
      <c r="A246" s="2" t="s">
        <v>12144</v>
      </c>
      <c r="B246" s="7" t="s">
        <v>299</v>
      </c>
      <c r="C246" s="2" t="s">
        <v>12145</v>
      </c>
      <c r="E246" s="2">
        <v>2012.0</v>
      </c>
    </row>
    <row r="247">
      <c r="A247" s="2" t="s">
        <v>12146</v>
      </c>
      <c r="B247" s="7" t="s">
        <v>300</v>
      </c>
      <c r="C247" s="2" t="s">
        <v>12147</v>
      </c>
      <c r="E247" s="2" t="s">
        <v>11671</v>
      </c>
    </row>
    <row r="248">
      <c r="A248" s="2" t="s">
        <v>3997</v>
      </c>
      <c r="B248" s="7" t="s">
        <v>301</v>
      </c>
      <c r="C248" s="2" t="s">
        <v>647</v>
      </c>
      <c r="D248" s="2" t="s">
        <v>12148</v>
      </c>
      <c r="F248" s="2" t="s">
        <v>11780</v>
      </c>
    </row>
    <row r="249">
      <c r="A249" s="2" t="s">
        <v>12149</v>
      </c>
      <c r="B249" s="7" t="s">
        <v>302</v>
      </c>
      <c r="C249" s="2" t="s">
        <v>12150</v>
      </c>
      <c r="E249" s="2" t="s">
        <v>11706</v>
      </c>
    </row>
    <row r="250">
      <c r="A250" s="2" t="s">
        <v>12151</v>
      </c>
      <c r="B250" s="7" t="s">
        <v>303</v>
      </c>
      <c r="C250" s="2" t="s">
        <v>12152</v>
      </c>
      <c r="E250" s="2" t="s">
        <v>11699</v>
      </c>
    </row>
    <row r="251">
      <c r="A251" s="2" t="s">
        <v>5586</v>
      </c>
      <c r="B251" s="7" t="s">
        <v>304</v>
      </c>
      <c r="C251" s="2" t="s">
        <v>12153</v>
      </c>
      <c r="E251" s="2">
        <v>2015.0</v>
      </c>
    </row>
    <row r="252">
      <c r="A252" s="2" t="s">
        <v>12154</v>
      </c>
      <c r="B252" s="7" t="s">
        <v>305</v>
      </c>
      <c r="C252" s="2" t="s">
        <v>12155</v>
      </c>
      <c r="E252" s="2" t="s">
        <v>11763</v>
      </c>
    </row>
    <row r="253">
      <c r="A253" s="2" t="s">
        <v>3997</v>
      </c>
      <c r="B253" s="7" t="s">
        <v>306</v>
      </c>
      <c r="C253" s="2" t="s">
        <v>647</v>
      </c>
      <c r="D253" s="2" t="s">
        <v>12156</v>
      </c>
      <c r="F253" s="2" t="s">
        <v>12031</v>
      </c>
    </row>
    <row r="254">
      <c r="A254" s="2" t="s">
        <v>12157</v>
      </c>
      <c r="B254" s="7" t="s">
        <v>307</v>
      </c>
      <c r="C254" s="2" t="s">
        <v>12158</v>
      </c>
      <c r="E254" s="2" t="s">
        <v>11684</v>
      </c>
    </row>
    <row r="255">
      <c r="A255" s="2" t="s">
        <v>12159</v>
      </c>
      <c r="B255" s="7" t="s">
        <v>308</v>
      </c>
      <c r="C255" s="2" t="s">
        <v>12160</v>
      </c>
      <c r="E255" s="2" t="s">
        <v>11742</v>
      </c>
    </row>
    <row r="256">
      <c r="A256" s="2" t="s">
        <v>12161</v>
      </c>
      <c r="B256" s="7" t="s">
        <v>309</v>
      </c>
      <c r="C256" s="2" t="s">
        <v>12162</v>
      </c>
      <c r="E256" s="2" t="s">
        <v>11717</v>
      </c>
    </row>
    <row r="257">
      <c r="A257" s="2" t="s">
        <v>12163</v>
      </c>
      <c r="B257" s="7" t="s">
        <v>310</v>
      </c>
      <c r="C257" s="2" t="s">
        <v>12164</v>
      </c>
      <c r="E257" s="2">
        <v>2017.0</v>
      </c>
    </row>
    <row r="258">
      <c r="A258" s="2" t="s">
        <v>12165</v>
      </c>
      <c r="B258" s="7" t="s">
        <v>311</v>
      </c>
      <c r="C258" s="2" t="s">
        <v>12166</v>
      </c>
      <c r="E258" s="2">
        <v>2013.0</v>
      </c>
    </row>
    <row r="259">
      <c r="A259" s="2" t="s">
        <v>12167</v>
      </c>
      <c r="B259" s="7" t="s">
        <v>312</v>
      </c>
      <c r="C259" s="2" t="s">
        <v>12168</v>
      </c>
      <c r="E259" s="2" t="s">
        <v>11833</v>
      </c>
    </row>
    <row r="260">
      <c r="A260" s="2" t="s">
        <v>3997</v>
      </c>
      <c r="B260" s="7" t="s">
        <v>313</v>
      </c>
      <c r="C260" s="2" t="s">
        <v>647</v>
      </c>
      <c r="D260" s="2" t="s">
        <v>12169</v>
      </c>
      <c r="F260" s="2" t="s">
        <v>12170</v>
      </c>
    </row>
    <row r="261">
      <c r="A261" s="2" t="s">
        <v>12171</v>
      </c>
      <c r="B261" s="7" t="s">
        <v>314</v>
      </c>
      <c r="C261" s="2" t="s">
        <v>12172</v>
      </c>
      <c r="E261" s="2" t="s">
        <v>11691</v>
      </c>
    </row>
    <row r="262">
      <c r="A262" s="2" t="s">
        <v>3997</v>
      </c>
      <c r="B262" s="7" t="s">
        <v>315</v>
      </c>
      <c r="C262" s="2" t="s">
        <v>647</v>
      </c>
      <c r="D262" s="2" t="s">
        <v>12173</v>
      </c>
      <c r="F262" s="2" t="s">
        <v>11882</v>
      </c>
    </row>
    <row r="263">
      <c r="A263" s="2" t="s">
        <v>12174</v>
      </c>
      <c r="B263" s="7" t="s">
        <v>316</v>
      </c>
      <c r="C263" s="2" t="s">
        <v>12175</v>
      </c>
      <c r="E263" s="2" t="s">
        <v>11819</v>
      </c>
    </row>
    <row r="264">
      <c r="A264" s="2" t="s">
        <v>12176</v>
      </c>
      <c r="B264" s="7" t="s">
        <v>317</v>
      </c>
      <c r="C264" s="2" t="s">
        <v>12177</v>
      </c>
      <c r="E264" s="2" t="s">
        <v>11806</v>
      </c>
    </row>
    <row r="265">
      <c r="A265" s="2" t="s">
        <v>12178</v>
      </c>
      <c r="B265" s="7" t="s">
        <v>318</v>
      </c>
      <c r="C265" s="2" t="s">
        <v>12179</v>
      </c>
      <c r="E265" s="2" t="s">
        <v>11742</v>
      </c>
    </row>
    <row r="266">
      <c r="A266" s="2" t="s">
        <v>12180</v>
      </c>
      <c r="B266" s="7" t="s">
        <v>319</v>
      </c>
      <c r="C266" s="2" t="s">
        <v>12181</v>
      </c>
      <c r="E266" s="2" t="s">
        <v>11742</v>
      </c>
    </row>
    <row r="267">
      <c r="A267" s="2" t="s">
        <v>12182</v>
      </c>
      <c r="B267" s="7" t="s">
        <v>320</v>
      </c>
      <c r="C267" s="2" t="s">
        <v>12183</v>
      </c>
      <c r="E267" s="2" t="s">
        <v>11674</v>
      </c>
    </row>
    <row r="268">
      <c r="A268" s="2" t="s">
        <v>12184</v>
      </c>
      <c r="B268" s="7" t="s">
        <v>321</v>
      </c>
      <c r="C268" s="2" t="s">
        <v>12185</v>
      </c>
      <c r="E268" s="2" t="s">
        <v>11674</v>
      </c>
    </row>
    <row r="269">
      <c r="A269" s="2" t="s">
        <v>3997</v>
      </c>
      <c r="B269" s="7" t="s">
        <v>322</v>
      </c>
      <c r="C269" s="2" t="s">
        <v>647</v>
      </c>
      <c r="D269" s="2" t="s">
        <v>12186</v>
      </c>
      <c r="F269" s="2" t="s">
        <v>12187</v>
      </c>
    </row>
    <row r="270">
      <c r="A270" s="2" t="s">
        <v>12188</v>
      </c>
      <c r="B270" s="7" t="s">
        <v>323</v>
      </c>
      <c r="C270" s="2" t="s">
        <v>12189</v>
      </c>
      <c r="E270" s="2" t="s">
        <v>11742</v>
      </c>
    </row>
    <row r="271">
      <c r="A271" s="2" t="s">
        <v>12190</v>
      </c>
      <c r="B271" s="7" t="s">
        <v>324</v>
      </c>
      <c r="C271" s="2" t="s">
        <v>12191</v>
      </c>
      <c r="E271" s="2" t="s">
        <v>12192</v>
      </c>
    </row>
    <row r="272">
      <c r="A272" s="2" t="s">
        <v>12193</v>
      </c>
      <c r="B272" s="7" t="s">
        <v>325</v>
      </c>
      <c r="C272" s="2" t="s">
        <v>12194</v>
      </c>
      <c r="E272" s="2" t="s">
        <v>11668</v>
      </c>
    </row>
    <row r="273">
      <c r="A273" s="2" t="s">
        <v>3997</v>
      </c>
      <c r="B273" s="7" t="s">
        <v>326</v>
      </c>
      <c r="C273" s="2" t="s">
        <v>647</v>
      </c>
      <c r="D273" s="2" t="s">
        <v>12195</v>
      </c>
      <c r="F273" s="2" t="s">
        <v>11679</v>
      </c>
    </row>
    <row r="274">
      <c r="A274" s="2" t="s">
        <v>12196</v>
      </c>
      <c r="B274" s="7" t="s">
        <v>327</v>
      </c>
      <c r="C274" s="2" t="s">
        <v>12197</v>
      </c>
    </row>
    <row r="275">
      <c r="A275" s="2" t="s">
        <v>12198</v>
      </c>
      <c r="B275" s="7" t="s">
        <v>328</v>
      </c>
      <c r="C275" s="2" t="s">
        <v>12199</v>
      </c>
      <c r="E275" s="2" t="s">
        <v>11732</v>
      </c>
    </row>
    <row r="276">
      <c r="A276" s="2" t="s">
        <v>12200</v>
      </c>
      <c r="B276" s="7" t="s">
        <v>329</v>
      </c>
      <c r="C276" s="2" t="s">
        <v>12201</v>
      </c>
      <c r="E276" s="2" t="s">
        <v>11732</v>
      </c>
    </row>
    <row r="277">
      <c r="A277" s="2" t="s">
        <v>12202</v>
      </c>
      <c r="B277" s="7" t="s">
        <v>330</v>
      </c>
      <c r="C277" s="2" t="s">
        <v>12203</v>
      </c>
      <c r="E277" s="2" t="s">
        <v>11937</v>
      </c>
    </row>
    <row r="278">
      <c r="A278" s="2" t="s">
        <v>12204</v>
      </c>
      <c r="B278" s="7" t="s">
        <v>331</v>
      </c>
      <c r="C278" s="2" t="s">
        <v>12205</v>
      </c>
      <c r="E278" s="2" t="s">
        <v>11668</v>
      </c>
    </row>
    <row r="279">
      <c r="A279" s="2" t="s">
        <v>3997</v>
      </c>
      <c r="B279" s="7" t="s">
        <v>332</v>
      </c>
      <c r="C279" s="2" t="s">
        <v>647</v>
      </c>
      <c r="D279" s="2" t="s">
        <v>12206</v>
      </c>
      <c r="F279" s="2" t="s">
        <v>12170</v>
      </c>
    </row>
    <row r="280">
      <c r="A280" s="2" t="s">
        <v>12207</v>
      </c>
      <c r="B280" s="7" t="s">
        <v>333</v>
      </c>
      <c r="C280" s="2" t="s">
        <v>12208</v>
      </c>
      <c r="E280" s="2">
        <v>2010.0</v>
      </c>
    </row>
    <row r="281">
      <c r="A281" s="2" t="s">
        <v>12209</v>
      </c>
      <c r="B281" s="7" t="s">
        <v>334</v>
      </c>
      <c r="C281" s="2" t="s">
        <v>12210</v>
      </c>
      <c r="E281" s="2" t="s">
        <v>12042</v>
      </c>
    </row>
    <row r="282">
      <c r="A282" s="2" t="s">
        <v>12211</v>
      </c>
      <c r="B282" s="7" t="s">
        <v>335</v>
      </c>
      <c r="C282" s="2" t="s">
        <v>12212</v>
      </c>
      <c r="E282" s="2" t="s">
        <v>11684</v>
      </c>
    </row>
    <row r="283">
      <c r="A283" s="2" t="s">
        <v>12213</v>
      </c>
      <c r="B283" s="7" t="s">
        <v>336</v>
      </c>
      <c r="C283" s="2" t="s">
        <v>12214</v>
      </c>
      <c r="E283" s="2" t="s">
        <v>12215</v>
      </c>
    </row>
    <row r="284">
      <c r="A284" s="2" t="s">
        <v>12216</v>
      </c>
      <c r="B284" s="7" t="s">
        <v>337</v>
      </c>
      <c r="C284" s="2" t="s">
        <v>12217</v>
      </c>
      <c r="E284" s="2" t="s">
        <v>11949</v>
      </c>
    </row>
    <row r="285">
      <c r="A285" s="2" t="s">
        <v>3997</v>
      </c>
      <c r="B285" s="7" t="s">
        <v>338</v>
      </c>
      <c r="C285" s="2" t="s">
        <v>647</v>
      </c>
      <c r="D285" s="2" t="s">
        <v>12218</v>
      </c>
      <c r="F285" s="2" t="s">
        <v>11812</v>
      </c>
    </row>
    <row r="286">
      <c r="A286" s="2" t="s">
        <v>12219</v>
      </c>
      <c r="B286" s="7" t="s">
        <v>339</v>
      </c>
      <c r="C286" s="2" t="s">
        <v>12220</v>
      </c>
      <c r="E286" s="2" t="s">
        <v>11833</v>
      </c>
    </row>
    <row r="287">
      <c r="A287" s="2" t="s">
        <v>12221</v>
      </c>
      <c r="B287" s="7" t="s">
        <v>340</v>
      </c>
      <c r="C287" s="2" t="s">
        <v>12222</v>
      </c>
      <c r="E287" s="2" t="s">
        <v>12101</v>
      </c>
    </row>
    <row r="288">
      <c r="A288" s="2" t="s">
        <v>12223</v>
      </c>
      <c r="B288" s="7" t="s">
        <v>341</v>
      </c>
      <c r="C288" s="2" t="s">
        <v>12224</v>
      </c>
      <c r="E288" s="2" t="s">
        <v>11684</v>
      </c>
    </row>
    <row r="289">
      <c r="A289" s="2" t="s">
        <v>12225</v>
      </c>
      <c r="B289" s="7" t="s">
        <v>342</v>
      </c>
      <c r="C289" s="2" t="s">
        <v>12226</v>
      </c>
      <c r="E289" s="2" t="s">
        <v>11684</v>
      </c>
    </row>
    <row r="290">
      <c r="A290" s="2" t="s">
        <v>12227</v>
      </c>
      <c r="B290" s="7" t="s">
        <v>343</v>
      </c>
      <c r="C290" s="2" t="s">
        <v>12228</v>
      </c>
      <c r="E290" s="2" t="s">
        <v>11806</v>
      </c>
    </row>
    <row r="291">
      <c r="A291" s="2" t="s">
        <v>1312</v>
      </c>
      <c r="B291" s="7" t="s">
        <v>344</v>
      </c>
      <c r="C291" s="2" t="s">
        <v>12229</v>
      </c>
      <c r="E291" s="2">
        <v>2023.0</v>
      </c>
    </row>
    <row r="292">
      <c r="A292" s="2" t="s">
        <v>12230</v>
      </c>
      <c r="B292" s="7" t="s">
        <v>345</v>
      </c>
      <c r="C292" s="2" t="s">
        <v>12231</v>
      </c>
      <c r="E292" s="2" t="s">
        <v>11684</v>
      </c>
    </row>
    <row r="293">
      <c r="A293" s="2" t="s">
        <v>12232</v>
      </c>
      <c r="B293" s="7" t="s">
        <v>346</v>
      </c>
      <c r="C293" s="2" t="s">
        <v>12233</v>
      </c>
      <c r="E293" s="2" t="s">
        <v>11660</v>
      </c>
    </row>
    <row r="294">
      <c r="A294" s="2" t="s">
        <v>12234</v>
      </c>
      <c r="B294" s="7" t="s">
        <v>347</v>
      </c>
      <c r="C294" s="2" t="s">
        <v>12235</v>
      </c>
      <c r="E294" s="2" t="s">
        <v>11937</v>
      </c>
    </row>
    <row r="295">
      <c r="A295" s="2" t="s">
        <v>3997</v>
      </c>
      <c r="B295" s="7" t="s">
        <v>348</v>
      </c>
      <c r="C295" s="2" t="s">
        <v>647</v>
      </c>
      <c r="D295" s="2" t="s">
        <v>12236</v>
      </c>
      <c r="F295" s="2" t="s">
        <v>12237</v>
      </c>
    </row>
    <row r="296">
      <c r="A296" s="2" t="s">
        <v>12238</v>
      </c>
      <c r="B296" s="7" t="s">
        <v>349</v>
      </c>
      <c r="C296" s="2" t="s">
        <v>12239</v>
      </c>
      <c r="E296" s="2" t="s">
        <v>11727</v>
      </c>
    </row>
    <row r="297">
      <c r="A297" s="2" t="s">
        <v>12240</v>
      </c>
      <c r="B297" s="7" t="s">
        <v>350</v>
      </c>
      <c r="C297" s="2" t="s">
        <v>12241</v>
      </c>
      <c r="E297" s="2" t="s">
        <v>11732</v>
      </c>
    </row>
    <row r="298">
      <c r="A298" s="2" t="s">
        <v>12242</v>
      </c>
      <c r="B298" s="7" t="s">
        <v>351</v>
      </c>
      <c r="C298" s="2" t="s">
        <v>12243</v>
      </c>
      <c r="E298" s="2" t="s">
        <v>11732</v>
      </c>
    </row>
    <row r="299">
      <c r="A299" s="2" t="s">
        <v>12244</v>
      </c>
      <c r="B299" s="7" t="s">
        <v>352</v>
      </c>
      <c r="C299" s="2" t="s">
        <v>12245</v>
      </c>
      <c r="E299" s="2" t="s">
        <v>11706</v>
      </c>
    </row>
    <row r="300">
      <c r="A300" s="2" t="s">
        <v>10170</v>
      </c>
      <c r="B300" s="7" t="s">
        <v>353</v>
      </c>
      <c r="C300" s="2" t="s">
        <v>12246</v>
      </c>
      <c r="E300" s="2">
        <v>2020.0</v>
      </c>
    </row>
    <row r="301">
      <c r="A301" s="2" t="s">
        <v>3997</v>
      </c>
      <c r="B301" s="7" t="s">
        <v>354</v>
      </c>
      <c r="C301" s="2" t="s">
        <v>647</v>
      </c>
      <c r="D301" s="2" t="s">
        <v>12247</v>
      </c>
      <c r="F301" s="2" t="s">
        <v>12065</v>
      </c>
    </row>
    <row r="302">
      <c r="A302" s="2" t="s">
        <v>12248</v>
      </c>
      <c r="B302" s="7" t="s">
        <v>355</v>
      </c>
      <c r="C302" s="2" t="s">
        <v>12249</v>
      </c>
      <c r="E302" s="2" t="s">
        <v>11770</v>
      </c>
    </row>
    <row r="303">
      <c r="A303" s="2" t="s">
        <v>12250</v>
      </c>
      <c r="B303" s="7" t="s">
        <v>356</v>
      </c>
      <c r="C303" s="2" t="s">
        <v>12251</v>
      </c>
      <c r="E303" s="2" t="s">
        <v>11660</v>
      </c>
    </row>
    <row r="304">
      <c r="A304" s="2" t="s">
        <v>10037</v>
      </c>
      <c r="B304" s="7" t="s">
        <v>357</v>
      </c>
      <c r="C304" s="2" t="s">
        <v>12252</v>
      </c>
      <c r="E304" s="2" t="s">
        <v>11684</v>
      </c>
    </row>
    <row r="305">
      <c r="A305" s="2" t="s">
        <v>12253</v>
      </c>
      <c r="B305" s="7" t="s">
        <v>358</v>
      </c>
      <c r="C305" s="2" t="s">
        <v>12254</v>
      </c>
      <c r="E305" s="2">
        <v>2017.0</v>
      </c>
    </row>
    <row r="306">
      <c r="A306" s="2" t="s">
        <v>12255</v>
      </c>
      <c r="B306" s="7" t="s">
        <v>359</v>
      </c>
      <c r="C306" s="2" t="s">
        <v>12256</v>
      </c>
      <c r="E306" s="2" t="s">
        <v>11722</v>
      </c>
    </row>
    <row r="307">
      <c r="A307" s="2" t="s">
        <v>12257</v>
      </c>
      <c r="B307" s="7" t="s">
        <v>360</v>
      </c>
      <c r="C307" s="2" t="s">
        <v>12258</v>
      </c>
      <c r="E307" s="2" t="s">
        <v>11739</v>
      </c>
    </row>
    <row r="308">
      <c r="A308" s="2" t="s">
        <v>12259</v>
      </c>
      <c r="B308" s="7" t="s">
        <v>361</v>
      </c>
      <c r="C308" s="2" t="s">
        <v>12260</v>
      </c>
      <c r="E308" s="2" t="s">
        <v>11833</v>
      </c>
    </row>
    <row r="309">
      <c r="A309" s="2" t="s">
        <v>3997</v>
      </c>
      <c r="B309" s="7" t="s">
        <v>362</v>
      </c>
      <c r="C309" s="2" t="s">
        <v>647</v>
      </c>
      <c r="D309" s="2" t="s">
        <v>12261</v>
      </c>
      <c r="F309" s="2" t="s">
        <v>11679</v>
      </c>
    </row>
    <row r="310">
      <c r="A310" s="2" t="s">
        <v>3997</v>
      </c>
      <c r="B310" s="7" t="s">
        <v>363</v>
      </c>
      <c r="C310" s="2" t="s">
        <v>647</v>
      </c>
      <c r="D310" s="2" t="s">
        <v>12262</v>
      </c>
      <c r="F310" s="2" t="s">
        <v>11688</v>
      </c>
    </row>
    <row r="311">
      <c r="A311" s="2" t="s">
        <v>12263</v>
      </c>
      <c r="B311" s="7" t="s">
        <v>364</v>
      </c>
      <c r="C311" s="2" t="s">
        <v>12264</v>
      </c>
    </row>
    <row r="312">
      <c r="A312" s="2" t="s">
        <v>12265</v>
      </c>
      <c r="B312" s="7" t="s">
        <v>365</v>
      </c>
      <c r="C312" s="2" t="s">
        <v>12266</v>
      </c>
      <c r="E312" s="2">
        <v>2022.0</v>
      </c>
    </row>
    <row r="313">
      <c r="A313" s="2" t="s">
        <v>12267</v>
      </c>
      <c r="B313" s="7" t="s">
        <v>366</v>
      </c>
      <c r="C313" s="2" t="s">
        <v>12268</v>
      </c>
      <c r="E313" s="2" t="s">
        <v>11671</v>
      </c>
    </row>
    <row r="314">
      <c r="A314" s="2" t="s">
        <v>10100</v>
      </c>
      <c r="B314" s="7" t="s">
        <v>367</v>
      </c>
      <c r="C314" s="2" t="s">
        <v>12269</v>
      </c>
      <c r="E314" s="2" t="s">
        <v>11663</v>
      </c>
    </row>
    <row r="315">
      <c r="A315" s="2" t="s">
        <v>12270</v>
      </c>
      <c r="B315" s="7" t="s">
        <v>368</v>
      </c>
      <c r="C315" s="2" t="s">
        <v>12271</v>
      </c>
      <c r="E315" s="2" t="s">
        <v>11937</v>
      </c>
    </row>
    <row r="316">
      <c r="A316" s="2" t="s">
        <v>12272</v>
      </c>
      <c r="B316" s="7" t="s">
        <v>369</v>
      </c>
      <c r="C316" s="2" t="s">
        <v>12273</v>
      </c>
      <c r="E316" s="2" t="s">
        <v>12274</v>
      </c>
    </row>
    <row r="317">
      <c r="A317" s="2" t="s">
        <v>3997</v>
      </c>
      <c r="B317" s="7" t="s">
        <v>370</v>
      </c>
      <c r="C317" s="2" t="s">
        <v>647</v>
      </c>
      <c r="D317" s="2" t="s">
        <v>12275</v>
      </c>
      <c r="F317" s="2" t="s">
        <v>11978</v>
      </c>
    </row>
    <row r="318">
      <c r="A318" s="2" t="s">
        <v>12276</v>
      </c>
      <c r="B318" s="7" t="s">
        <v>371</v>
      </c>
      <c r="C318" s="2" t="s">
        <v>12277</v>
      </c>
      <c r="E318" s="2" t="s">
        <v>11660</v>
      </c>
    </row>
    <row r="319">
      <c r="A319" s="2" t="s">
        <v>12278</v>
      </c>
      <c r="B319" s="7" t="s">
        <v>372</v>
      </c>
      <c r="C319" s="2" t="s">
        <v>12279</v>
      </c>
      <c r="E319" s="2" t="s">
        <v>11727</v>
      </c>
    </row>
    <row r="320">
      <c r="A320" s="2" t="s">
        <v>3997</v>
      </c>
      <c r="B320" s="7" t="s">
        <v>373</v>
      </c>
      <c r="C320" s="2" t="s">
        <v>647</v>
      </c>
      <c r="D320" s="2" t="s">
        <v>12280</v>
      </c>
      <c r="F320" s="2" t="s">
        <v>11810</v>
      </c>
    </row>
    <row r="321">
      <c r="A321" s="2" t="s">
        <v>12281</v>
      </c>
      <c r="B321" s="7" t="s">
        <v>374</v>
      </c>
      <c r="C321" s="2" t="s">
        <v>12282</v>
      </c>
      <c r="E321" s="2">
        <v>2021.0</v>
      </c>
    </row>
    <row r="322">
      <c r="A322" s="2" t="s">
        <v>10167</v>
      </c>
      <c r="B322" s="7" t="s">
        <v>375</v>
      </c>
      <c r="C322" s="2" t="s">
        <v>12283</v>
      </c>
      <c r="E322" s="2" t="s">
        <v>11660</v>
      </c>
    </row>
    <row r="323">
      <c r="A323" s="2" t="s">
        <v>12284</v>
      </c>
      <c r="B323" s="7" t="s">
        <v>376</v>
      </c>
      <c r="C323" s="2" t="s">
        <v>12285</v>
      </c>
      <c r="E323" s="2" t="s">
        <v>11763</v>
      </c>
    </row>
    <row r="324">
      <c r="A324" s="2" t="s">
        <v>12286</v>
      </c>
      <c r="B324" s="7" t="s">
        <v>377</v>
      </c>
      <c r="C324" s="2" t="s">
        <v>12287</v>
      </c>
      <c r="E324" s="2" t="s">
        <v>11660</v>
      </c>
    </row>
    <row r="325">
      <c r="A325" s="2" t="s">
        <v>12288</v>
      </c>
      <c r="B325" s="7" t="s">
        <v>378</v>
      </c>
      <c r="C325" s="2" t="s">
        <v>12289</v>
      </c>
      <c r="E325" s="2" t="s">
        <v>11833</v>
      </c>
    </row>
    <row r="326">
      <c r="A326" s="2" t="s">
        <v>12290</v>
      </c>
      <c r="B326" s="7" t="s">
        <v>379</v>
      </c>
      <c r="C326" s="2" t="s">
        <v>12291</v>
      </c>
      <c r="E326" s="2" t="s">
        <v>11663</v>
      </c>
    </row>
    <row r="327">
      <c r="A327" s="2" t="s">
        <v>3997</v>
      </c>
      <c r="B327" s="7" t="s">
        <v>380</v>
      </c>
      <c r="C327" s="2" t="s">
        <v>647</v>
      </c>
      <c r="D327" s="2" t="s">
        <v>12292</v>
      </c>
      <c r="F327" s="2" t="s">
        <v>11869</v>
      </c>
    </row>
    <row r="328">
      <c r="A328" s="2" t="s">
        <v>12293</v>
      </c>
      <c r="B328" s="7" t="s">
        <v>381</v>
      </c>
      <c r="C328" s="2" t="s">
        <v>12294</v>
      </c>
      <c r="E328" s="2" t="s">
        <v>11663</v>
      </c>
    </row>
    <row r="329">
      <c r="A329" s="2" t="s">
        <v>12295</v>
      </c>
      <c r="B329" s="7" t="s">
        <v>382</v>
      </c>
      <c r="C329" s="2" t="s">
        <v>12296</v>
      </c>
      <c r="E329" s="2" t="s">
        <v>11770</v>
      </c>
    </row>
    <row r="330">
      <c r="A330" s="2" t="s">
        <v>3997</v>
      </c>
      <c r="B330" s="7" t="s">
        <v>383</v>
      </c>
      <c r="C330" s="2" t="s">
        <v>647</v>
      </c>
      <c r="D330" s="2" t="s">
        <v>12297</v>
      </c>
      <c r="F330" s="2" t="s">
        <v>11873</v>
      </c>
    </row>
    <row r="331">
      <c r="A331" s="2" t="s">
        <v>12298</v>
      </c>
      <c r="B331" s="7" t="s">
        <v>384</v>
      </c>
      <c r="C331" s="2" t="s">
        <v>12299</v>
      </c>
      <c r="E331" s="2">
        <v>2021.0</v>
      </c>
    </row>
    <row r="332">
      <c r="A332" s="2" t="s">
        <v>12300</v>
      </c>
      <c r="B332" s="7" t="s">
        <v>385</v>
      </c>
      <c r="C332" s="2" t="s">
        <v>12301</v>
      </c>
      <c r="E332" s="2" t="s">
        <v>11682</v>
      </c>
    </row>
    <row r="333">
      <c r="A333" s="2" t="s">
        <v>12302</v>
      </c>
      <c r="B333" s="7" t="s">
        <v>386</v>
      </c>
      <c r="C333" s="2" t="s">
        <v>12303</v>
      </c>
      <c r="E333" s="2" t="s">
        <v>11732</v>
      </c>
    </row>
    <row r="334">
      <c r="A334" s="2" t="s">
        <v>12304</v>
      </c>
      <c r="B334" s="7" t="s">
        <v>387</v>
      </c>
      <c r="C334" s="2" t="s">
        <v>12305</v>
      </c>
      <c r="E334" s="2" t="s">
        <v>11763</v>
      </c>
    </row>
    <row r="335">
      <c r="A335" s="2" t="s">
        <v>12306</v>
      </c>
      <c r="B335" s="7" t="s">
        <v>388</v>
      </c>
      <c r="C335" s="2" t="s">
        <v>12307</v>
      </c>
      <c r="E335" s="2" t="s">
        <v>11660</v>
      </c>
    </row>
    <row r="336">
      <c r="A336" s="2" t="s">
        <v>12308</v>
      </c>
      <c r="B336" s="7" t="s">
        <v>389</v>
      </c>
      <c r="C336" s="2" t="s">
        <v>12309</v>
      </c>
      <c r="E336" s="2" t="s">
        <v>11684</v>
      </c>
    </row>
    <row r="337">
      <c r="A337" s="2" t="s">
        <v>12310</v>
      </c>
      <c r="B337" s="7" t="s">
        <v>390</v>
      </c>
      <c r="C337" s="2" t="s">
        <v>12311</v>
      </c>
    </row>
    <row r="338">
      <c r="A338" s="2" t="s">
        <v>6036</v>
      </c>
      <c r="B338" s="7" t="s">
        <v>391</v>
      </c>
      <c r="C338" s="2" t="s">
        <v>12312</v>
      </c>
      <c r="E338" s="2">
        <v>2021.0</v>
      </c>
    </row>
    <row r="339">
      <c r="A339" s="7" t="s">
        <v>12313</v>
      </c>
      <c r="B339" s="7" t="s">
        <v>392</v>
      </c>
      <c r="C339" s="2" t="s">
        <v>12314</v>
      </c>
      <c r="E339" s="2" t="s">
        <v>11660</v>
      </c>
    </row>
    <row r="340">
      <c r="A340" s="2" t="s">
        <v>12315</v>
      </c>
      <c r="B340" s="7" t="s">
        <v>393</v>
      </c>
      <c r="C340" s="2" t="s">
        <v>12316</v>
      </c>
      <c r="E340" s="2" t="s">
        <v>11674</v>
      </c>
    </row>
    <row r="341">
      <c r="A341" s="2" t="s">
        <v>12317</v>
      </c>
      <c r="B341" s="7" t="s">
        <v>394</v>
      </c>
      <c r="C341" s="2" t="s">
        <v>12318</v>
      </c>
      <c r="E341" s="2">
        <v>2024.0</v>
      </c>
    </row>
    <row r="342">
      <c r="A342" s="2" t="s">
        <v>3997</v>
      </c>
      <c r="B342" s="7" t="s">
        <v>395</v>
      </c>
      <c r="C342" s="2" t="s">
        <v>647</v>
      </c>
      <c r="D342" s="2" t="s">
        <v>12319</v>
      </c>
      <c r="F342" s="2" t="s">
        <v>11963</v>
      </c>
    </row>
    <row r="343">
      <c r="A343" s="2" t="s">
        <v>3997</v>
      </c>
      <c r="B343" s="7" t="s">
        <v>396</v>
      </c>
      <c r="C343" s="2" t="s">
        <v>647</v>
      </c>
      <c r="D343" s="2" t="s">
        <v>12320</v>
      </c>
      <c r="F343" s="2" t="s">
        <v>12321</v>
      </c>
    </row>
    <row r="344">
      <c r="A344" s="2" t="s">
        <v>12322</v>
      </c>
      <c r="B344" s="7" t="s">
        <v>397</v>
      </c>
      <c r="C344" s="2" t="s">
        <v>12323</v>
      </c>
    </row>
    <row r="345">
      <c r="A345" s="2" t="s">
        <v>12324</v>
      </c>
      <c r="B345" s="7" t="s">
        <v>398</v>
      </c>
      <c r="C345" s="2" t="s">
        <v>12325</v>
      </c>
      <c r="E345" s="2" t="s">
        <v>11806</v>
      </c>
    </row>
    <row r="346">
      <c r="A346" s="2" t="s">
        <v>12326</v>
      </c>
      <c r="B346" s="7" t="s">
        <v>399</v>
      </c>
      <c r="C346" s="2" t="s">
        <v>12327</v>
      </c>
      <c r="E346" s="2" t="s">
        <v>11799</v>
      </c>
    </row>
    <row r="347">
      <c r="A347" s="2" t="s">
        <v>12328</v>
      </c>
      <c r="B347" s="7" t="s">
        <v>400</v>
      </c>
      <c r="C347" s="2" t="s">
        <v>12329</v>
      </c>
      <c r="E347" s="2" t="s">
        <v>11732</v>
      </c>
    </row>
    <row r="348">
      <c r="A348" s="2" t="s">
        <v>3997</v>
      </c>
      <c r="B348" s="7" t="s">
        <v>401</v>
      </c>
      <c r="C348" s="2" t="s">
        <v>647</v>
      </c>
      <c r="D348" s="2" t="s">
        <v>12330</v>
      </c>
      <c r="F348" s="2" t="s">
        <v>12331</v>
      </c>
    </row>
    <row r="349">
      <c r="A349" s="2" t="s">
        <v>12332</v>
      </c>
      <c r="B349" s="7" t="s">
        <v>402</v>
      </c>
      <c r="C349" s="2" t="s">
        <v>12333</v>
      </c>
      <c r="E349" s="2" t="s">
        <v>11691</v>
      </c>
    </row>
    <row r="350">
      <c r="A350" s="2" t="s">
        <v>12334</v>
      </c>
      <c r="B350" s="7" t="s">
        <v>403</v>
      </c>
      <c r="C350" s="2" t="s">
        <v>12335</v>
      </c>
      <c r="E350" s="2" t="s">
        <v>11674</v>
      </c>
    </row>
    <row r="351">
      <c r="A351" s="2" t="s">
        <v>12336</v>
      </c>
      <c r="B351" s="7" t="s">
        <v>404</v>
      </c>
      <c r="C351" s="2" t="s">
        <v>12337</v>
      </c>
      <c r="E351" s="2">
        <v>2022.0</v>
      </c>
    </row>
    <row r="352">
      <c r="A352" s="2" t="s">
        <v>12338</v>
      </c>
      <c r="B352" s="7" t="s">
        <v>405</v>
      </c>
      <c r="C352" s="2" t="s">
        <v>12339</v>
      </c>
    </row>
    <row r="353">
      <c r="A353" s="2" t="s">
        <v>12340</v>
      </c>
      <c r="B353" s="7" t="s">
        <v>406</v>
      </c>
      <c r="C353" s="2" t="s">
        <v>12341</v>
      </c>
      <c r="E353" s="2" t="s">
        <v>12042</v>
      </c>
    </row>
    <row r="354">
      <c r="A354" s="2" t="s">
        <v>3997</v>
      </c>
      <c r="B354" s="7" t="s">
        <v>407</v>
      </c>
      <c r="C354" s="2" t="s">
        <v>647</v>
      </c>
      <c r="D354" s="2" t="s">
        <v>12342</v>
      </c>
      <c r="F354" s="2" t="s">
        <v>11840</v>
      </c>
    </row>
    <row r="355">
      <c r="A355" s="2" t="s">
        <v>12343</v>
      </c>
      <c r="B355" s="7" t="s">
        <v>408</v>
      </c>
      <c r="C355" s="2" t="s">
        <v>12344</v>
      </c>
      <c r="E355" s="2" t="s">
        <v>11727</v>
      </c>
    </row>
    <row r="356">
      <c r="A356" s="2" t="s">
        <v>3521</v>
      </c>
      <c r="B356" s="7" t="s">
        <v>409</v>
      </c>
      <c r="C356" s="2" t="s">
        <v>12345</v>
      </c>
      <c r="E356" s="2" t="s">
        <v>11727</v>
      </c>
    </row>
    <row r="357">
      <c r="A357" s="2" t="s">
        <v>12346</v>
      </c>
      <c r="B357" s="7" t="s">
        <v>410</v>
      </c>
      <c r="C357" s="2" t="s">
        <v>12347</v>
      </c>
      <c r="E357" s="2" t="s">
        <v>12348</v>
      </c>
    </row>
    <row r="358">
      <c r="A358" s="2" t="s">
        <v>3997</v>
      </c>
      <c r="B358" s="7" t="s">
        <v>411</v>
      </c>
      <c r="C358" s="2" t="s">
        <v>647</v>
      </c>
      <c r="D358" s="2" t="s">
        <v>12349</v>
      </c>
      <c r="F358" s="2" t="s">
        <v>11780</v>
      </c>
    </row>
    <row r="359">
      <c r="A359" s="2" t="s">
        <v>12350</v>
      </c>
      <c r="B359" s="7" t="s">
        <v>412</v>
      </c>
      <c r="C359" s="2" t="s">
        <v>12351</v>
      </c>
      <c r="E359" s="2" t="s">
        <v>12352</v>
      </c>
    </row>
    <row r="360">
      <c r="A360" s="7" t="s">
        <v>12353</v>
      </c>
      <c r="B360" s="7" t="s">
        <v>413</v>
      </c>
      <c r="C360" s="2" t="s">
        <v>12354</v>
      </c>
      <c r="E360" s="2" t="s">
        <v>11691</v>
      </c>
    </row>
    <row r="361">
      <c r="A361" s="2" t="s">
        <v>12355</v>
      </c>
      <c r="B361" s="7" t="s">
        <v>414</v>
      </c>
      <c r="C361" s="2" t="s">
        <v>12356</v>
      </c>
      <c r="E361" s="2" t="s">
        <v>11674</v>
      </c>
    </row>
    <row r="362">
      <c r="A362" s="2" t="s">
        <v>12357</v>
      </c>
      <c r="B362" s="7" t="s">
        <v>415</v>
      </c>
      <c r="C362" s="2" t="s">
        <v>12358</v>
      </c>
      <c r="E362" s="2">
        <v>2016.0</v>
      </c>
    </row>
    <row r="363">
      <c r="A363" s="2" t="s">
        <v>12359</v>
      </c>
      <c r="B363" s="7" t="s">
        <v>416</v>
      </c>
      <c r="C363" s="2" t="s">
        <v>12360</v>
      </c>
      <c r="E363" s="2" t="s">
        <v>11799</v>
      </c>
    </row>
    <row r="364">
      <c r="A364" s="2" t="s">
        <v>12361</v>
      </c>
      <c r="B364" s="7" t="s">
        <v>417</v>
      </c>
      <c r="C364" s="2" t="s">
        <v>12362</v>
      </c>
      <c r="E364" s="2" t="s">
        <v>11706</v>
      </c>
    </row>
    <row r="365">
      <c r="A365" s="2" t="s">
        <v>12363</v>
      </c>
      <c r="B365" s="7" t="s">
        <v>418</v>
      </c>
      <c r="C365" s="2" t="s">
        <v>12364</v>
      </c>
      <c r="E365" s="2">
        <v>2010.0</v>
      </c>
    </row>
    <row r="366">
      <c r="A366" s="2" t="s">
        <v>12365</v>
      </c>
      <c r="B366" s="7" t="s">
        <v>419</v>
      </c>
      <c r="C366" s="2" t="s">
        <v>12366</v>
      </c>
      <c r="E366" s="2" t="s">
        <v>11732</v>
      </c>
    </row>
    <row r="367">
      <c r="A367" s="2" t="s">
        <v>12367</v>
      </c>
      <c r="B367" s="7" t="s">
        <v>420</v>
      </c>
      <c r="C367" s="2" t="s">
        <v>12368</v>
      </c>
      <c r="E367" s="2" t="s">
        <v>11806</v>
      </c>
    </row>
    <row r="368">
      <c r="A368" s="2" t="s">
        <v>12369</v>
      </c>
      <c r="B368" s="7" t="s">
        <v>421</v>
      </c>
      <c r="C368" s="2" t="s">
        <v>12370</v>
      </c>
      <c r="E368" s="2">
        <v>2021.0</v>
      </c>
    </row>
    <row r="369">
      <c r="A369" s="2" t="s">
        <v>12371</v>
      </c>
      <c r="B369" s="7" t="s">
        <v>422</v>
      </c>
      <c r="C369" s="2" t="s">
        <v>12372</v>
      </c>
      <c r="E369" s="2" t="s">
        <v>11660</v>
      </c>
    </row>
    <row r="370">
      <c r="A370" s="2" t="s">
        <v>12373</v>
      </c>
      <c r="B370" s="7" t="s">
        <v>423</v>
      </c>
      <c r="C370" s="2" t="s">
        <v>12374</v>
      </c>
      <c r="E370" s="2" t="s">
        <v>11833</v>
      </c>
    </row>
    <row r="371">
      <c r="A371" s="2" t="s">
        <v>12375</v>
      </c>
      <c r="B371" s="7" t="s">
        <v>424</v>
      </c>
      <c r="C371" s="2" t="s">
        <v>12376</v>
      </c>
      <c r="E371" s="2" t="s">
        <v>11660</v>
      </c>
    </row>
    <row r="372">
      <c r="A372" s="2" t="s">
        <v>12377</v>
      </c>
      <c r="B372" s="7" t="s">
        <v>425</v>
      </c>
      <c r="C372" s="2" t="s">
        <v>12378</v>
      </c>
      <c r="E372" s="2" t="s">
        <v>12215</v>
      </c>
    </row>
    <row r="373">
      <c r="A373" s="2" t="s">
        <v>12379</v>
      </c>
      <c r="B373" s="7" t="s">
        <v>426</v>
      </c>
      <c r="C373" s="2" t="s">
        <v>12380</v>
      </c>
      <c r="E373" s="2" t="s">
        <v>11677</v>
      </c>
    </row>
    <row r="374">
      <c r="A374" s="2" t="s">
        <v>3997</v>
      </c>
      <c r="B374" s="7" t="s">
        <v>427</v>
      </c>
      <c r="C374" s="2" t="s">
        <v>647</v>
      </c>
      <c r="D374" s="2" t="s">
        <v>12381</v>
      </c>
      <c r="F374" s="2" t="s">
        <v>12107</v>
      </c>
    </row>
    <row r="375">
      <c r="A375" s="2" t="s">
        <v>12382</v>
      </c>
      <c r="B375" s="7" t="s">
        <v>428</v>
      </c>
      <c r="C375" s="2" t="s">
        <v>12383</v>
      </c>
      <c r="E375" s="2">
        <v>2008.0</v>
      </c>
    </row>
    <row r="376">
      <c r="A376" s="2" t="s">
        <v>3997</v>
      </c>
      <c r="B376" s="7" t="s">
        <v>429</v>
      </c>
      <c r="C376" s="2" t="s">
        <v>647</v>
      </c>
      <c r="D376" s="2" t="s">
        <v>12384</v>
      </c>
      <c r="F376" s="2" t="s">
        <v>12107</v>
      </c>
    </row>
    <row r="377">
      <c r="A377" s="2" t="s">
        <v>12385</v>
      </c>
      <c r="B377" s="7" t="s">
        <v>430</v>
      </c>
      <c r="C377" s="2" t="s">
        <v>12386</v>
      </c>
      <c r="E377" s="2">
        <v>2014.0</v>
      </c>
    </row>
    <row r="378">
      <c r="A378" s="2" t="s">
        <v>3997</v>
      </c>
      <c r="B378" s="7" t="s">
        <v>431</v>
      </c>
      <c r="C378" s="2" t="s">
        <v>647</v>
      </c>
      <c r="D378" s="2" t="s">
        <v>12387</v>
      </c>
      <c r="F378" s="2" t="s">
        <v>12388</v>
      </c>
    </row>
    <row r="379">
      <c r="A379" s="2" t="s">
        <v>12389</v>
      </c>
      <c r="B379" s="7" t="s">
        <v>432</v>
      </c>
      <c r="C379" s="2" t="s">
        <v>12390</v>
      </c>
      <c r="E379" s="2" t="s">
        <v>11699</v>
      </c>
    </row>
    <row r="380">
      <c r="A380" s="2" t="s">
        <v>3997</v>
      </c>
      <c r="B380" s="7" t="s">
        <v>433</v>
      </c>
      <c r="C380" s="2" t="s">
        <v>647</v>
      </c>
      <c r="D380" s="2" t="s">
        <v>12391</v>
      </c>
      <c r="F380" s="2" t="s">
        <v>11963</v>
      </c>
    </row>
    <row r="381">
      <c r="A381" s="2" t="s">
        <v>3997</v>
      </c>
      <c r="B381" s="7" t="s">
        <v>434</v>
      </c>
      <c r="C381" s="2" t="s">
        <v>647</v>
      </c>
      <c r="D381" s="2" t="s">
        <v>12392</v>
      </c>
      <c r="F381" s="2" t="s">
        <v>11840</v>
      </c>
    </row>
    <row r="382">
      <c r="A382" s="2" t="s">
        <v>3997</v>
      </c>
      <c r="B382" s="7" t="s">
        <v>435</v>
      </c>
      <c r="C382" s="2" t="s">
        <v>647</v>
      </c>
      <c r="D382" s="2" t="s">
        <v>12393</v>
      </c>
      <c r="F382" s="2" t="s">
        <v>12065</v>
      </c>
    </row>
    <row r="383">
      <c r="A383" s="2" t="s">
        <v>12394</v>
      </c>
      <c r="B383" s="7" t="s">
        <v>436</v>
      </c>
      <c r="C383" s="2" t="s">
        <v>12395</v>
      </c>
      <c r="E383" s="2">
        <v>2021.0</v>
      </c>
    </row>
    <row r="384">
      <c r="A384" s="2" t="s">
        <v>3997</v>
      </c>
      <c r="B384" s="7" t="s">
        <v>437</v>
      </c>
      <c r="C384" s="2" t="s">
        <v>647</v>
      </c>
      <c r="D384" s="2" t="s">
        <v>12396</v>
      </c>
      <c r="F384" s="2" t="s">
        <v>12170</v>
      </c>
    </row>
    <row r="385">
      <c r="A385" s="2" t="s">
        <v>12397</v>
      </c>
      <c r="B385" s="7" t="s">
        <v>438</v>
      </c>
      <c r="C385" s="2" t="s">
        <v>12398</v>
      </c>
      <c r="E385" s="2" t="s">
        <v>11660</v>
      </c>
    </row>
    <row r="386">
      <c r="A386" s="2" t="s">
        <v>12399</v>
      </c>
      <c r="B386" s="7" t="s">
        <v>439</v>
      </c>
      <c r="C386" s="2" t="s">
        <v>12400</v>
      </c>
      <c r="E386" s="2" t="s">
        <v>11833</v>
      </c>
    </row>
    <row r="387">
      <c r="A387" s="2" t="s">
        <v>12401</v>
      </c>
      <c r="B387" s="7" t="s">
        <v>440</v>
      </c>
      <c r="C387" s="2" t="s">
        <v>12402</v>
      </c>
      <c r="E387" s="2">
        <v>2024.0</v>
      </c>
    </row>
    <row r="388">
      <c r="A388" s="2" t="s">
        <v>12403</v>
      </c>
      <c r="B388" s="7" t="s">
        <v>441</v>
      </c>
      <c r="C388" s="2" t="s">
        <v>12404</v>
      </c>
      <c r="E388" s="2" t="s">
        <v>11696</v>
      </c>
    </row>
    <row r="389">
      <c r="A389" s="2" t="s">
        <v>12405</v>
      </c>
      <c r="B389" s="7" t="s">
        <v>442</v>
      </c>
      <c r="C389" s="2" t="s">
        <v>12406</v>
      </c>
      <c r="E389" s="2" t="s">
        <v>11696</v>
      </c>
    </row>
    <row r="390">
      <c r="A390" s="2" t="s">
        <v>12407</v>
      </c>
      <c r="B390" s="7" t="s">
        <v>443</v>
      </c>
      <c r="C390" s="2" t="s">
        <v>12408</v>
      </c>
      <c r="E390" s="2" t="s">
        <v>11660</v>
      </c>
    </row>
    <row r="391">
      <c r="A391" s="2" t="s">
        <v>12409</v>
      </c>
      <c r="B391" s="7" t="s">
        <v>444</v>
      </c>
      <c r="C391" s="2" t="s">
        <v>12410</v>
      </c>
      <c r="E391" s="2">
        <v>2011.0</v>
      </c>
    </row>
    <row r="392">
      <c r="A392" s="2" t="s">
        <v>12411</v>
      </c>
      <c r="B392" s="7" t="s">
        <v>445</v>
      </c>
      <c r="C392" s="2" t="s">
        <v>12412</v>
      </c>
      <c r="E392" s="2" t="s">
        <v>11691</v>
      </c>
    </row>
    <row r="393">
      <c r="A393" s="2" t="s">
        <v>12413</v>
      </c>
      <c r="B393" s="7" t="s">
        <v>446</v>
      </c>
      <c r="C393" s="2" t="s">
        <v>12414</v>
      </c>
      <c r="E393" s="2" t="s">
        <v>11949</v>
      </c>
    </row>
    <row r="394">
      <c r="A394" s="2" t="s">
        <v>12415</v>
      </c>
      <c r="B394" s="7" t="s">
        <v>447</v>
      </c>
      <c r="C394" s="2" t="s">
        <v>12416</v>
      </c>
      <c r="E394" s="2" t="s">
        <v>11949</v>
      </c>
    </row>
    <row r="395">
      <c r="A395" s="2" t="s">
        <v>12417</v>
      </c>
      <c r="B395" s="7" t="s">
        <v>448</v>
      </c>
      <c r="C395" s="2" t="s">
        <v>12418</v>
      </c>
      <c r="E395" s="2">
        <v>2020.0</v>
      </c>
    </row>
    <row r="396">
      <c r="A396" s="2" t="s">
        <v>12419</v>
      </c>
      <c r="B396" s="7" t="s">
        <v>449</v>
      </c>
      <c r="C396" s="2" t="s">
        <v>12420</v>
      </c>
      <c r="E396" s="2" t="s">
        <v>12215</v>
      </c>
    </row>
    <row r="397">
      <c r="A397" s="2" t="s">
        <v>12421</v>
      </c>
      <c r="B397" s="7" t="s">
        <v>450</v>
      </c>
      <c r="C397" s="2" t="s">
        <v>12422</v>
      </c>
      <c r="E397" s="2" t="s">
        <v>11949</v>
      </c>
    </row>
    <row r="398">
      <c r="A398" s="2" t="s">
        <v>12423</v>
      </c>
      <c r="B398" s="7" t="s">
        <v>451</v>
      </c>
      <c r="C398" s="2" t="s">
        <v>12424</v>
      </c>
      <c r="E398" s="2" t="s">
        <v>11699</v>
      </c>
    </row>
    <row r="399">
      <c r="A399" s="2" t="s">
        <v>12425</v>
      </c>
      <c r="B399" s="7" t="s">
        <v>452</v>
      </c>
      <c r="C399" s="2" t="s">
        <v>12426</v>
      </c>
      <c r="E399" s="2" t="s">
        <v>11722</v>
      </c>
    </row>
    <row r="400">
      <c r="A400" s="2" t="s">
        <v>12427</v>
      </c>
      <c r="B400" s="7" t="s">
        <v>453</v>
      </c>
      <c r="C400" s="2" t="s">
        <v>12428</v>
      </c>
      <c r="E400" s="2" t="s">
        <v>11684</v>
      </c>
    </row>
    <row r="401">
      <c r="A401" s="2" t="s">
        <v>12429</v>
      </c>
      <c r="B401" s="7" t="s">
        <v>454</v>
      </c>
      <c r="C401" s="2" t="s">
        <v>12430</v>
      </c>
      <c r="E401" s="2" t="s">
        <v>11660</v>
      </c>
    </row>
    <row r="402">
      <c r="A402" s="2" t="s">
        <v>12431</v>
      </c>
      <c r="B402" s="7" t="s">
        <v>455</v>
      </c>
      <c r="C402" s="2" t="s">
        <v>12432</v>
      </c>
      <c r="E402" s="2" t="s">
        <v>11691</v>
      </c>
    </row>
    <row r="403">
      <c r="A403" s="2" t="s">
        <v>12433</v>
      </c>
      <c r="B403" s="7" t="s">
        <v>456</v>
      </c>
      <c r="C403" s="2" t="s">
        <v>12434</v>
      </c>
      <c r="E403" s="2">
        <v>2012.0</v>
      </c>
    </row>
    <row r="404">
      <c r="A404" s="2" t="s">
        <v>6369</v>
      </c>
      <c r="B404" s="7" t="s">
        <v>457</v>
      </c>
      <c r="C404" s="2" t="s">
        <v>12435</v>
      </c>
      <c r="E404" s="2" t="s">
        <v>11671</v>
      </c>
    </row>
    <row r="405">
      <c r="A405" s="2" t="s">
        <v>12436</v>
      </c>
      <c r="B405" s="7" t="s">
        <v>458</v>
      </c>
      <c r="C405" s="2" t="s">
        <v>12437</v>
      </c>
      <c r="E405" s="2" t="s">
        <v>11674</v>
      </c>
    </row>
    <row r="406">
      <c r="A406" s="2" t="s">
        <v>12438</v>
      </c>
      <c r="B406" s="7" t="s">
        <v>459</v>
      </c>
      <c r="C406" s="2" t="s">
        <v>12439</v>
      </c>
      <c r="E406" s="2">
        <v>2014.0</v>
      </c>
    </row>
    <row r="407">
      <c r="A407" s="2" t="s">
        <v>12440</v>
      </c>
      <c r="B407" s="7" t="s">
        <v>460</v>
      </c>
      <c r="C407" s="2" t="s">
        <v>12441</v>
      </c>
      <c r="E407" s="2" t="s">
        <v>11732</v>
      </c>
    </row>
    <row r="408">
      <c r="A408" s="2" t="s">
        <v>12442</v>
      </c>
      <c r="B408" s="7" t="s">
        <v>461</v>
      </c>
      <c r="C408" s="2" t="s">
        <v>12443</v>
      </c>
      <c r="E408" s="2" t="s">
        <v>11843</v>
      </c>
    </row>
    <row r="409">
      <c r="A409" s="2" t="s">
        <v>12444</v>
      </c>
      <c r="B409" s="7" t="s">
        <v>462</v>
      </c>
      <c r="C409" s="2" t="s">
        <v>12445</v>
      </c>
      <c r="E409" s="2" t="s">
        <v>11663</v>
      </c>
    </row>
    <row r="410">
      <c r="A410" s="2" t="s">
        <v>3997</v>
      </c>
      <c r="B410" s="7" t="s">
        <v>463</v>
      </c>
      <c r="C410" s="2" t="s">
        <v>647</v>
      </c>
      <c r="D410" s="2" t="s">
        <v>12446</v>
      </c>
      <c r="F410" s="2" t="s">
        <v>12065</v>
      </c>
    </row>
    <row r="411">
      <c r="A411" s="2" t="s">
        <v>12447</v>
      </c>
      <c r="B411" s="7" t="s">
        <v>464</v>
      </c>
      <c r="C411" s="2" t="s">
        <v>12038</v>
      </c>
      <c r="E411" s="2">
        <v>2014.0</v>
      </c>
    </row>
    <row r="412">
      <c r="A412" s="2" t="s">
        <v>12448</v>
      </c>
      <c r="B412" s="7" t="s">
        <v>465</v>
      </c>
      <c r="C412" s="2" t="s">
        <v>12449</v>
      </c>
      <c r="E412" s="2">
        <v>1998.0</v>
      </c>
    </row>
    <row r="413">
      <c r="A413" s="2" t="s">
        <v>12450</v>
      </c>
      <c r="B413" s="7" t="s">
        <v>466</v>
      </c>
      <c r="C413" s="2" t="s">
        <v>12451</v>
      </c>
      <c r="E413" s="2">
        <v>2010.0</v>
      </c>
    </row>
    <row r="414">
      <c r="A414" s="2" t="s">
        <v>12452</v>
      </c>
      <c r="B414" s="7" t="s">
        <v>467</v>
      </c>
      <c r="C414" s="2" t="s">
        <v>12453</v>
      </c>
      <c r="E414" s="2" t="s">
        <v>12215</v>
      </c>
    </row>
    <row r="415">
      <c r="A415" s="2" t="s">
        <v>12454</v>
      </c>
      <c r="B415" s="7" t="s">
        <v>468</v>
      </c>
      <c r="C415" s="2" t="s">
        <v>12455</v>
      </c>
      <c r="E415" s="2" t="s">
        <v>11691</v>
      </c>
    </row>
    <row r="416">
      <c r="A416" s="2" t="s">
        <v>10652</v>
      </c>
      <c r="B416" s="7" t="s">
        <v>469</v>
      </c>
      <c r="C416" s="2" t="s">
        <v>12456</v>
      </c>
      <c r="E416" s="2" t="s">
        <v>11684</v>
      </c>
    </row>
    <row r="417">
      <c r="A417" s="2" t="s">
        <v>12457</v>
      </c>
      <c r="B417" s="7" t="s">
        <v>470</v>
      </c>
      <c r="C417" s="2" t="s">
        <v>12458</v>
      </c>
      <c r="E417" s="2">
        <v>2015.0</v>
      </c>
    </row>
    <row r="418">
      <c r="A418" s="2" t="s">
        <v>12459</v>
      </c>
      <c r="B418" s="7" t="s">
        <v>471</v>
      </c>
      <c r="C418" s="2" t="s">
        <v>12460</v>
      </c>
      <c r="E418" s="2">
        <v>2021.0</v>
      </c>
    </row>
    <row r="419">
      <c r="A419" s="2" t="s">
        <v>12461</v>
      </c>
      <c r="B419" s="7" t="s">
        <v>472</v>
      </c>
      <c r="C419" s="2" t="s">
        <v>12462</v>
      </c>
    </row>
    <row r="420">
      <c r="A420" s="2" t="s">
        <v>6409</v>
      </c>
      <c r="B420" s="7" t="s">
        <v>473</v>
      </c>
      <c r="C420" s="2" t="s">
        <v>12463</v>
      </c>
      <c r="E420" s="2" t="s">
        <v>11706</v>
      </c>
    </row>
    <row r="421">
      <c r="A421" s="2" t="s">
        <v>10674</v>
      </c>
      <c r="B421" s="7" t="s">
        <v>474</v>
      </c>
      <c r="C421" s="2" t="s">
        <v>12464</v>
      </c>
      <c r="E421" s="2" t="s">
        <v>11671</v>
      </c>
    </row>
    <row r="422">
      <c r="A422" s="7" t="s">
        <v>12465</v>
      </c>
      <c r="B422" s="7" t="s">
        <v>475</v>
      </c>
      <c r="C422" s="2" t="s">
        <v>12466</v>
      </c>
      <c r="E422" s="2" t="s">
        <v>11706</v>
      </c>
    </row>
    <row r="423">
      <c r="A423" s="2" t="s">
        <v>12467</v>
      </c>
      <c r="B423" s="7" t="s">
        <v>476</v>
      </c>
      <c r="C423" s="2" t="s">
        <v>12468</v>
      </c>
      <c r="E423" s="2" t="s">
        <v>12469</v>
      </c>
    </row>
    <row r="424">
      <c r="A424" s="2" t="s">
        <v>3997</v>
      </c>
      <c r="B424" s="7" t="s">
        <v>477</v>
      </c>
      <c r="C424" s="2" t="s">
        <v>647</v>
      </c>
      <c r="D424" s="2" t="s">
        <v>12470</v>
      </c>
      <c r="F424" s="2" t="s">
        <v>12065</v>
      </c>
    </row>
    <row r="425">
      <c r="A425" s="2" t="s">
        <v>3997</v>
      </c>
      <c r="B425" s="7" t="s">
        <v>478</v>
      </c>
      <c r="C425" s="2" t="s">
        <v>647</v>
      </c>
      <c r="D425" s="2" t="s">
        <v>12471</v>
      </c>
      <c r="F425" s="2" t="s">
        <v>11840</v>
      </c>
    </row>
    <row r="426">
      <c r="A426" s="2" t="s">
        <v>12472</v>
      </c>
      <c r="B426" s="7" t="s">
        <v>479</v>
      </c>
      <c r="C426" s="2" t="s">
        <v>12473</v>
      </c>
      <c r="E426" s="2" t="s">
        <v>11763</v>
      </c>
    </row>
    <row r="427">
      <c r="A427" s="2" t="s">
        <v>12474</v>
      </c>
      <c r="B427" s="7" t="s">
        <v>480</v>
      </c>
      <c r="C427" s="2" t="s">
        <v>12475</v>
      </c>
      <c r="E427" s="2" t="s">
        <v>11684</v>
      </c>
    </row>
    <row r="428">
      <c r="A428" s="2" t="s">
        <v>12476</v>
      </c>
      <c r="B428" s="7" t="s">
        <v>481</v>
      </c>
      <c r="C428" s="2" t="s">
        <v>12477</v>
      </c>
    </row>
    <row r="429">
      <c r="A429" s="2" t="s">
        <v>12478</v>
      </c>
      <c r="B429" s="7" t="s">
        <v>482</v>
      </c>
      <c r="C429" s="2" t="s">
        <v>12479</v>
      </c>
      <c r="E429" s="2" t="s">
        <v>11819</v>
      </c>
    </row>
    <row r="430">
      <c r="A430" s="2" t="s">
        <v>12480</v>
      </c>
      <c r="B430" s="7" t="s">
        <v>483</v>
      </c>
      <c r="C430" s="2" t="s">
        <v>12481</v>
      </c>
      <c r="E430" s="2" t="s">
        <v>11684</v>
      </c>
    </row>
    <row r="431">
      <c r="A431" s="2" t="s">
        <v>12482</v>
      </c>
      <c r="B431" s="7" t="s">
        <v>484</v>
      </c>
      <c r="C431" s="2" t="s">
        <v>12483</v>
      </c>
      <c r="E431" s="2">
        <v>2018.0</v>
      </c>
    </row>
    <row r="432">
      <c r="A432" s="2" t="s">
        <v>12484</v>
      </c>
      <c r="B432" s="7" t="s">
        <v>485</v>
      </c>
      <c r="C432" s="2" t="s">
        <v>12485</v>
      </c>
      <c r="E432" s="2" t="s">
        <v>11668</v>
      </c>
    </row>
    <row r="433">
      <c r="A433" s="2" t="s">
        <v>12486</v>
      </c>
      <c r="B433" s="7" t="s">
        <v>486</v>
      </c>
      <c r="C433" s="2" t="s">
        <v>12487</v>
      </c>
      <c r="E433" s="2" t="s">
        <v>11722</v>
      </c>
    </row>
    <row r="434">
      <c r="A434" s="2" t="s">
        <v>12488</v>
      </c>
      <c r="B434" s="7" t="s">
        <v>487</v>
      </c>
      <c r="C434" s="2" t="s">
        <v>12489</v>
      </c>
      <c r="E434" s="2" t="s">
        <v>11739</v>
      </c>
    </row>
    <row r="435">
      <c r="A435" s="2" t="s">
        <v>12490</v>
      </c>
      <c r="B435" s="7" t="s">
        <v>488</v>
      </c>
      <c r="C435" s="2" t="s">
        <v>12491</v>
      </c>
      <c r="E435" s="2" t="s">
        <v>11763</v>
      </c>
    </row>
    <row r="436">
      <c r="A436" s="2" t="s">
        <v>12492</v>
      </c>
      <c r="B436" s="7" t="s">
        <v>489</v>
      </c>
      <c r="C436" s="2" t="s">
        <v>12493</v>
      </c>
    </row>
    <row r="437">
      <c r="A437" s="2" t="s">
        <v>12494</v>
      </c>
      <c r="B437" s="7" t="s">
        <v>490</v>
      </c>
      <c r="C437" s="2" t="s">
        <v>12495</v>
      </c>
      <c r="E437" s="2" t="s">
        <v>11819</v>
      </c>
    </row>
    <row r="438">
      <c r="A438" s="2" t="s">
        <v>12496</v>
      </c>
      <c r="B438" s="7" t="s">
        <v>491</v>
      </c>
      <c r="C438" s="2" t="s">
        <v>12497</v>
      </c>
      <c r="E438" s="2">
        <v>2021.0</v>
      </c>
    </row>
    <row r="439">
      <c r="A439" s="2" t="s">
        <v>12498</v>
      </c>
      <c r="B439" s="7" t="s">
        <v>492</v>
      </c>
      <c r="C439" s="2" t="s">
        <v>12499</v>
      </c>
      <c r="E439" s="2">
        <v>2017.0</v>
      </c>
    </row>
    <row r="440">
      <c r="A440" s="2" t="s">
        <v>12500</v>
      </c>
      <c r="B440" s="7" t="s">
        <v>493</v>
      </c>
      <c r="C440" s="2" t="s">
        <v>12501</v>
      </c>
      <c r="E440" s="2">
        <v>2025.0</v>
      </c>
    </row>
    <row r="441">
      <c r="A441" s="2" t="s">
        <v>12502</v>
      </c>
      <c r="B441" s="7" t="s">
        <v>494</v>
      </c>
      <c r="C441" s="2" t="s">
        <v>12503</v>
      </c>
      <c r="E441" s="2" t="s">
        <v>11674</v>
      </c>
    </row>
    <row r="442">
      <c r="A442" s="2" t="s">
        <v>3997</v>
      </c>
      <c r="B442" s="7" t="s">
        <v>495</v>
      </c>
      <c r="C442" s="2" t="s">
        <v>647</v>
      </c>
      <c r="D442" s="2" t="s">
        <v>2155</v>
      </c>
      <c r="F442" s="2" t="s">
        <v>11865</v>
      </c>
    </row>
    <row r="443">
      <c r="A443" s="2" t="s">
        <v>12504</v>
      </c>
      <c r="B443" s="7" t="s">
        <v>496</v>
      </c>
      <c r="C443" s="2" t="s">
        <v>12505</v>
      </c>
      <c r="E443" s="2" t="s">
        <v>11671</v>
      </c>
    </row>
    <row r="444">
      <c r="A444" s="2" t="s">
        <v>12506</v>
      </c>
      <c r="B444" s="7" t="s">
        <v>497</v>
      </c>
      <c r="C444" s="2" t="s">
        <v>12507</v>
      </c>
      <c r="E444" s="2" t="s">
        <v>11696</v>
      </c>
    </row>
    <row r="445">
      <c r="A445" s="2" t="s">
        <v>10864</v>
      </c>
      <c r="B445" s="7" t="s">
        <v>498</v>
      </c>
      <c r="C445" s="2" t="s">
        <v>12508</v>
      </c>
      <c r="E445" s="2" t="s">
        <v>11663</v>
      </c>
    </row>
    <row r="446">
      <c r="A446" s="2" t="s">
        <v>12509</v>
      </c>
      <c r="B446" s="7" t="s">
        <v>499</v>
      </c>
      <c r="C446" s="2" t="s">
        <v>12510</v>
      </c>
      <c r="E446" s="2">
        <v>2014.0</v>
      </c>
    </row>
    <row r="447">
      <c r="A447" s="2" t="s">
        <v>12511</v>
      </c>
      <c r="B447" s="7" t="s">
        <v>500</v>
      </c>
      <c r="C447" s="2" t="s">
        <v>12512</v>
      </c>
      <c r="E447" s="2" t="s">
        <v>11671</v>
      </c>
    </row>
    <row r="448">
      <c r="A448" s="2" t="s">
        <v>3997</v>
      </c>
      <c r="B448" s="7" t="s">
        <v>501</v>
      </c>
      <c r="C448" s="2" t="s">
        <v>647</v>
      </c>
      <c r="D448" s="2" t="s">
        <v>12513</v>
      </c>
      <c r="F448" s="2" t="s">
        <v>11882</v>
      </c>
    </row>
    <row r="449">
      <c r="A449" s="2" t="s">
        <v>12514</v>
      </c>
      <c r="B449" s="7" t="s">
        <v>502</v>
      </c>
      <c r="C449" s="2" t="s">
        <v>12515</v>
      </c>
      <c r="E449" s="2" t="s">
        <v>11937</v>
      </c>
    </row>
    <row r="450">
      <c r="A450" s="2" t="s">
        <v>12516</v>
      </c>
      <c r="B450" s="7" t="s">
        <v>503</v>
      </c>
      <c r="C450" s="2" t="s">
        <v>12517</v>
      </c>
      <c r="E450" s="2" t="s">
        <v>11833</v>
      </c>
    </row>
    <row r="451">
      <c r="A451" s="2" t="s">
        <v>3997</v>
      </c>
      <c r="B451" s="7" t="s">
        <v>504</v>
      </c>
      <c r="C451" s="2" t="s">
        <v>647</v>
      </c>
      <c r="D451" s="2" t="s">
        <v>12518</v>
      </c>
      <c r="F451" s="2" t="s">
        <v>12388</v>
      </c>
    </row>
    <row r="452">
      <c r="A452" s="2" t="s">
        <v>12519</v>
      </c>
      <c r="B452" s="7" t="s">
        <v>505</v>
      </c>
      <c r="C452" s="2" t="s">
        <v>12520</v>
      </c>
      <c r="E452" s="2" t="s">
        <v>11739</v>
      </c>
    </row>
    <row r="453">
      <c r="A453" s="2" t="s">
        <v>3997</v>
      </c>
      <c r="B453" s="7" t="s">
        <v>506</v>
      </c>
      <c r="C453" s="2" t="s">
        <v>647</v>
      </c>
      <c r="D453" s="2" t="s">
        <v>12521</v>
      </c>
      <c r="F453" s="2" t="s">
        <v>11760</v>
      </c>
    </row>
    <row r="454">
      <c r="A454" s="2" t="s">
        <v>3997</v>
      </c>
      <c r="B454" s="7" t="s">
        <v>507</v>
      </c>
      <c r="C454" s="2" t="s">
        <v>647</v>
      </c>
      <c r="D454" s="2" t="s">
        <v>12522</v>
      </c>
      <c r="F454" s="2" t="s">
        <v>12107</v>
      </c>
    </row>
    <row r="455">
      <c r="A455" s="2" t="s">
        <v>3997</v>
      </c>
      <c r="B455" s="7" t="s">
        <v>508</v>
      </c>
      <c r="C455" s="2" t="s">
        <v>647</v>
      </c>
      <c r="D455" s="2" t="s">
        <v>12523</v>
      </c>
      <c r="F455" s="2" t="s">
        <v>11865</v>
      </c>
    </row>
    <row r="456">
      <c r="A456" s="2" t="s">
        <v>12524</v>
      </c>
      <c r="B456" s="7" t="s">
        <v>509</v>
      </c>
      <c r="C456" s="2" t="s">
        <v>12525</v>
      </c>
      <c r="E456" s="2">
        <v>2022.0</v>
      </c>
    </row>
    <row r="457">
      <c r="A457" s="7" t="s">
        <v>12526</v>
      </c>
      <c r="B457" s="7" t="s">
        <v>510</v>
      </c>
      <c r="C457" s="2" t="s">
        <v>12527</v>
      </c>
      <c r="E457" s="2" t="s">
        <v>12215</v>
      </c>
    </row>
    <row r="458">
      <c r="A458" s="2" t="s">
        <v>12528</v>
      </c>
      <c r="B458" s="7" t="s">
        <v>511</v>
      </c>
      <c r="C458" s="2" t="s">
        <v>12529</v>
      </c>
      <c r="E458" s="2" t="s">
        <v>11763</v>
      </c>
    </row>
    <row r="459">
      <c r="A459" s="2" t="s">
        <v>12530</v>
      </c>
      <c r="B459" s="7" t="s">
        <v>512</v>
      </c>
      <c r="C459" s="2" t="s">
        <v>12531</v>
      </c>
      <c r="E459" s="2" t="s">
        <v>12215</v>
      </c>
    </row>
    <row r="460">
      <c r="A460" s="2" t="s">
        <v>12532</v>
      </c>
      <c r="B460" s="7" t="s">
        <v>513</v>
      </c>
      <c r="C460" s="2" t="s">
        <v>12533</v>
      </c>
      <c r="E460" s="2" t="s">
        <v>12534</v>
      </c>
    </row>
    <row r="461">
      <c r="A461" s="2" t="s">
        <v>12535</v>
      </c>
      <c r="B461" s="7" t="s">
        <v>514</v>
      </c>
      <c r="C461" s="2" t="s">
        <v>12536</v>
      </c>
      <c r="E461" s="2" t="s">
        <v>11706</v>
      </c>
    </row>
    <row r="462">
      <c r="A462" s="2" t="s">
        <v>12537</v>
      </c>
      <c r="B462" s="7" t="s">
        <v>515</v>
      </c>
      <c r="C462" s="2" t="s">
        <v>12538</v>
      </c>
      <c r="E462" s="2" t="s">
        <v>11663</v>
      </c>
    </row>
    <row r="463">
      <c r="A463" s="2" t="s">
        <v>12539</v>
      </c>
      <c r="B463" s="7" t="s">
        <v>516</v>
      </c>
      <c r="C463" s="2" t="s">
        <v>12540</v>
      </c>
      <c r="E463" s="2" t="s">
        <v>11833</v>
      </c>
    </row>
    <row r="464">
      <c r="A464" s="2" t="s">
        <v>3997</v>
      </c>
      <c r="B464" s="7" t="s">
        <v>517</v>
      </c>
      <c r="C464" s="2" t="s">
        <v>647</v>
      </c>
      <c r="D464" s="2" t="s">
        <v>12541</v>
      </c>
      <c r="F464" s="2" t="s">
        <v>11840</v>
      </c>
    </row>
    <row r="465">
      <c r="A465" s="2" t="s">
        <v>3997</v>
      </c>
      <c r="B465" s="7" t="s">
        <v>518</v>
      </c>
      <c r="C465" s="2" t="s">
        <v>647</v>
      </c>
      <c r="D465" s="2" t="s">
        <v>12542</v>
      </c>
      <c r="F465" s="2" t="s">
        <v>12543</v>
      </c>
    </row>
    <row r="466">
      <c r="A466" s="2" t="s">
        <v>3997</v>
      </c>
      <c r="B466" s="7" t="s">
        <v>519</v>
      </c>
      <c r="C466" s="2" t="s">
        <v>647</v>
      </c>
      <c r="D466" s="2" t="s">
        <v>12544</v>
      </c>
      <c r="F466" s="2" t="s">
        <v>12545</v>
      </c>
    </row>
    <row r="467">
      <c r="A467" s="2" t="s">
        <v>12546</v>
      </c>
      <c r="B467" s="7" t="s">
        <v>520</v>
      </c>
      <c r="C467" s="2" t="s">
        <v>12547</v>
      </c>
      <c r="E467" s="2" t="s">
        <v>11684</v>
      </c>
    </row>
    <row r="468">
      <c r="A468" s="2" t="s">
        <v>12548</v>
      </c>
      <c r="B468" s="7" t="s">
        <v>521</v>
      </c>
      <c r="C468" s="2" t="s">
        <v>12549</v>
      </c>
      <c r="E468" s="2" t="s">
        <v>11717</v>
      </c>
    </row>
    <row r="469">
      <c r="A469" s="2" t="s">
        <v>12550</v>
      </c>
      <c r="B469" s="7" t="s">
        <v>522</v>
      </c>
      <c r="C469" s="2" t="s">
        <v>12551</v>
      </c>
      <c r="E469" s="2" t="s">
        <v>11819</v>
      </c>
    </row>
    <row r="470">
      <c r="A470" s="2" t="s">
        <v>3997</v>
      </c>
      <c r="B470" s="7" t="s">
        <v>523</v>
      </c>
      <c r="C470" s="2" t="s">
        <v>647</v>
      </c>
      <c r="D470" s="2" t="s">
        <v>12552</v>
      </c>
      <c r="F470" s="2" t="s">
        <v>11810</v>
      </c>
    </row>
    <row r="471">
      <c r="A471" s="2" t="s">
        <v>12553</v>
      </c>
      <c r="B471" s="7" t="s">
        <v>524</v>
      </c>
      <c r="C471" s="2" t="s">
        <v>12554</v>
      </c>
      <c r="E471" s="2" t="s">
        <v>11739</v>
      </c>
    </row>
    <row r="472">
      <c r="A472" s="2" t="s">
        <v>12555</v>
      </c>
      <c r="B472" s="7" t="s">
        <v>525</v>
      </c>
      <c r="C472" s="2" t="s">
        <v>12556</v>
      </c>
      <c r="E472" s="2">
        <v>2010.0</v>
      </c>
    </row>
    <row r="473">
      <c r="A473" s="2" t="s">
        <v>12557</v>
      </c>
      <c r="B473" s="7" t="s">
        <v>526</v>
      </c>
      <c r="C473" s="2" t="s">
        <v>12558</v>
      </c>
      <c r="E473" s="2" t="s">
        <v>11806</v>
      </c>
    </row>
    <row r="474">
      <c r="A474" s="2" t="s">
        <v>12559</v>
      </c>
      <c r="B474" s="7" t="s">
        <v>527</v>
      </c>
      <c r="C474" s="2" t="s">
        <v>12560</v>
      </c>
      <c r="E474" s="2" t="s">
        <v>11684</v>
      </c>
    </row>
    <row r="475">
      <c r="A475" s="2" t="s">
        <v>12561</v>
      </c>
      <c r="B475" s="7" t="s">
        <v>528</v>
      </c>
      <c r="C475" s="2" t="s">
        <v>12562</v>
      </c>
      <c r="E475" s="2" t="s">
        <v>11663</v>
      </c>
    </row>
    <row r="476">
      <c r="A476" s="2" t="s">
        <v>12563</v>
      </c>
      <c r="B476" s="7" t="s">
        <v>529</v>
      </c>
      <c r="C476" s="2" t="s">
        <v>12564</v>
      </c>
      <c r="E476" s="2">
        <v>2024.0</v>
      </c>
    </row>
    <row r="477">
      <c r="A477" s="2" t="s">
        <v>3997</v>
      </c>
      <c r="B477" s="7" t="s">
        <v>530</v>
      </c>
      <c r="C477" s="2" t="s">
        <v>647</v>
      </c>
      <c r="D477" s="2" t="s">
        <v>12565</v>
      </c>
      <c r="F477" s="2" t="s">
        <v>11665</v>
      </c>
    </row>
    <row r="478">
      <c r="A478" s="2" t="s">
        <v>12566</v>
      </c>
      <c r="B478" s="7" t="s">
        <v>531</v>
      </c>
      <c r="C478" s="2" t="s">
        <v>12567</v>
      </c>
      <c r="E478" s="2">
        <v>2018.0</v>
      </c>
    </row>
    <row r="479">
      <c r="A479" s="2" t="s">
        <v>3997</v>
      </c>
      <c r="B479" s="7" t="s">
        <v>532</v>
      </c>
      <c r="C479" s="2" t="s">
        <v>647</v>
      </c>
      <c r="D479" s="2" t="s">
        <v>12568</v>
      </c>
      <c r="F479" s="2" t="s">
        <v>11791</v>
      </c>
    </row>
    <row r="480">
      <c r="A480" s="2" t="s">
        <v>6691</v>
      </c>
      <c r="B480" s="7" t="s">
        <v>533</v>
      </c>
      <c r="C480" s="2" t="s">
        <v>12569</v>
      </c>
      <c r="E480" s="2" t="s">
        <v>11949</v>
      </c>
    </row>
    <row r="481">
      <c r="A481" s="2" t="s">
        <v>6695</v>
      </c>
      <c r="B481" s="7" t="s">
        <v>534</v>
      </c>
      <c r="C481" s="2" t="s">
        <v>12570</v>
      </c>
      <c r="E481" s="2" t="s">
        <v>11732</v>
      </c>
    </row>
    <row r="482">
      <c r="A482" s="2" t="s">
        <v>12571</v>
      </c>
      <c r="B482" s="7" t="s">
        <v>535</v>
      </c>
      <c r="C482" s="2" t="s">
        <v>12572</v>
      </c>
      <c r="E482" s="2" t="s">
        <v>11742</v>
      </c>
    </row>
    <row r="483">
      <c r="A483" s="2" t="s">
        <v>3997</v>
      </c>
      <c r="B483" s="7" t="s">
        <v>536</v>
      </c>
      <c r="C483" s="2" t="s">
        <v>647</v>
      </c>
      <c r="D483" s="2" t="s">
        <v>2510</v>
      </c>
      <c r="F483" s="2" t="s">
        <v>11748</v>
      </c>
    </row>
    <row r="484">
      <c r="A484" s="2" t="s">
        <v>12573</v>
      </c>
      <c r="B484" s="7" t="s">
        <v>537</v>
      </c>
      <c r="C484" s="2" t="s">
        <v>12574</v>
      </c>
      <c r="E484" s="2" t="s">
        <v>11819</v>
      </c>
    </row>
    <row r="485">
      <c r="A485" s="2" t="s">
        <v>12575</v>
      </c>
      <c r="B485" s="7" t="s">
        <v>538</v>
      </c>
      <c r="C485" s="2" t="s">
        <v>12576</v>
      </c>
      <c r="E485" s="2" t="s">
        <v>11742</v>
      </c>
    </row>
    <row r="486">
      <c r="A486" s="2" t="s">
        <v>3601</v>
      </c>
      <c r="B486" s="7" t="s">
        <v>539</v>
      </c>
      <c r="C486" s="2" t="s">
        <v>12577</v>
      </c>
      <c r="E486" s="2" t="s">
        <v>11663</v>
      </c>
    </row>
    <row r="487">
      <c r="A487" s="2" t="s">
        <v>12578</v>
      </c>
      <c r="B487" s="7" t="s">
        <v>540</v>
      </c>
      <c r="C487" s="2" t="s">
        <v>12579</v>
      </c>
      <c r="E487" s="2" t="s">
        <v>11671</v>
      </c>
    </row>
    <row r="488">
      <c r="A488" s="2" t="s">
        <v>12580</v>
      </c>
      <c r="B488" s="7" t="s">
        <v>541</v>
      </c>
      <c r="C488" s="2" t="s">
        <v>12581</v>
      </c>
      <c r="E488" s="2" t="s">
        <v>11663</v>
      </c>
    </row>
    <row r="489">
      <c r="A489" s="2" t="s">
        <v>12582</v>
      </c>
      <c r="B489" s="7" t="s">
        <v>542</v>
      </c>
      <c r="C489" s="2" t="s">
        <v>12583</v>
      </c>
      <c r="E489" s="2" t="s">
        <v>11706</v>
      </c>
    </row>
    <row r="490">
      <c r="A490" s="2" t="s">
        <v>12584</v>
      </c>
      <c r="B490" s="7" t="s">
        <v>543</v>
      </c>
      <c r="C490" s="2" t="s">
        <v>12585</v>
      </c>
      <c r="E490" s="2">
        <v>2009.0</v>
      </c>
    </row>
    <row r="491">
      <c r="A491" s="2" t="s">
        <v>12586</v>
      </c>
      <c r="B491" s="7" t="s">
        <v>544</v>
      </c>
      <c r="C491" s="2" t="s">
        <v>12587</v>
      </c>
      <c r="E491" s="2" t="s">
        <v>11684</v>
      </c>
    </row>
    <row r="492">
      <c r="A492" s="2" t="s">
        <v>3997</v>
      </c>
      <c r="B492" s="7" t="s">
        <v>545</v>
      </c>
      <c r="C492" s="2" t="s">
        <v>647</v>
      </c>
      <c r="D492" s="2" t="s">
        <v>12588</v>
      </c>
      <c r="F492" s="2" t="s">
        <v>11812</v>
      </c>
    </row>
    <row r="493">
      <c r="A493" s="2" t="s">
        <v>12589</v>
      </c>
      <c r="B493" s="7" t="s">
        <v>546</v>
      </c>
      <c r="C493" s="2" t="s">
        <v>12590</v>
      </c>
      <c r="E493" s="2" t="s">
        <v>11668</v>
      </c>
    </row>
    <row r="494">
      <c r="A494" s="2" t="s">
        <v>12591</v>
      </c>
      <c r="B494" s="7" t="s">
        <v>547</v>
      </c>
      <c r="C494" s="2" t="s">
        <v>12592</v>
      </c>
      <c r="E494" s="2" t="s">
        <v>11696</v>
      </c>
    </row>
    <row r="495">
      <c r="A495" s="2" t="s">
        <v>12593</v>
      </c>
      <c r="B495" s="7" t="s">
        <v>548</v>
      </c>
      <c r="C495" s="2" t="s">
        <v>12594</v>
      </c>
    </row>
    <row r="496">
      <c r="A496" s="2" t="s">
        <v>12595</v>
      </c>
      <c r="B496" s="7" t="s">
        <v>549</v>
      </c>
      <c r="C496" s="2" t="s">
        <v>12596</v>
      </c>
      <c r="E496" s="2" t="s">
        <v>11727</v>
      </c>
    </row>
    <row r="497">
      <c r="A497" s="2" t="s">
        <v>12597</v>
      </c>
      <c r="B497" s="7" t="s">
        <v>550</v>
      </c>
      <c r="C497" s="2" t="s">
        <v>12598</v>
      </c>
      <c r="E497" s="2" t="s">
        <v>11833</v>
      </c>
    </row>
    <row r="498">
      <c r="A498" s="7" t="s">
        <v>12599</v>
      </c>
      <c r="B498" s="7" t="s">
        <v>551</v>
      </c>
      <c r="C498" s="2" t="s">
        <v>12600</v>
      </c>
      <c r="E498" s="2" t="s">
        <v>11843</v>
      </c>
    </row>
    <row r="499">
      <c r="A499" s="2" t="s">
        <v>12601</v>
      </c>
      <c r="B499" s="7" t="s">
        <v>552</v>
      </c>
      <c r="C499" s="2" t="s">
        <v>12602</v>
      </c>
      <c r="E499" s="2" t="s">
        <v>11949</v>
      </c>
    </row>
    <row r="500">
      <c r="A500" s="2" t="s">
        <v>12603</v>
      </c>
      <c r="B500" s="7" t="s">
        <v>553</v>
      </c>
      <c r="C500" s="2" t="s">
        <v>12604</v>
      </c>
      <c r="E500" s="2" t="s">
        <v>11949</v>
      </c>
    </row>
    <row r="501">
      <c r="A501" s="2" t="s">
        <v>12605</v>
      </c>
      <c r="B501" s="7" t="s">
        <v>554</v>
      </c>
      <c r="C501" s="2" t="s">
        <v>12606</v>
      </c>
      <c r="E501" s="2" t="s">
        <v>11691</v>
      </c>
    </row>
    <row r="502">
      <c r="A502" s="2" t="s">
        <v>2189</v>
      </c>
      <c r="B502" s="7" t="s">
        <v>555</v>
      </c>
      <c r="C502" s="2" t="s">
        <v>12607</v>
      </c>
      <c r="E502" s="2" t="s">
        <v>11663</v>
      </c>
    </row>
    <row r="503">
      <c r="A503" s="2" t="s">
        <v>3997</v>
      </c>
      <c r="B503" s="7" t="s">
        <v>556</v>
      </c>
      <c r="C503" s="2" t="s">
        <v>647</v>
      </c>
      <c r="D503" s="2" t="s">
        <v>12608</v>
      </c>
      <c r="F503" s="2" t="s">
        <v>11736</v>
      </c>
    </row>
    <row r="504">
      <c r="A504" s="2" t="s">
        <v>12609</v>
      </c>
      <c r="B504" s="7" t="s">
        <v>557</v>
      </c>
      <c r="C504" s="2" t="s">
        <v>12610</v>
      </c>
      <c r="E504" s="2" t="s">
        <v>11732</v>
      </c>
    </row>
    <row r="505">
      <c r="A505" s="2" t="s">
        <v>3997</v>
      </c>
      <c r="B505" s="7" t="s">
        <v>558</v>
      </c>
      <c r="C505" s="2" t="s">
        <v>647</v>
      </c>
      <c r="D505" s="2" t="s">
        <v>12611</v>
      </c>
      <c r="F505" s="2" t="s">
        <v>11760</v>
      </c>
    </row>
    <row r="506">
      <c r="A506" s="2" t="s">
        <v>12612</v>
      </c>
      <c r="B506" s="7" t="s">
        <v>559</v>
      </c>
      <c r="C506" s="2" t="s">
        <v>12613</v>
      </c>
      <c r="E506" s="2">
        <v>2023.0</v>
      </c>
    </row>
    <row r="507">
      <c r="A507" s="2" t="s">
        <v>12614</v>
      </c>
      <c r="B507" s="7" t="s">
        <v>560</v>
      </c>
      <c r="C507" s="2" t="s">
        <v>12615</v>
      </c>
      <c r="E507" s="2" t="s">
        <v>11706</v>
      </c>
    </row>
    <row r="508">
      <c r="A508" s="7" t="s">
        <v>12616</v>
      </c>
      <c r="B508" s="7" t="s">
        <v>561</v>
      </c>
      <c r="C508" s="2" t="s">
        <v>12617</v>
      </c>
      <c r="E508" s="2" t="s">
        <v>12101</v>
      </c>
    </row>
    <row r="509">
      <c r="A509" s="2" t="s">
        <v>12618</v>
      </c>
      <c r="B509" s="7" t="s">
        <v>562</v>
      </c>
      <c r="C509" s="2" t="s">
        <v>12619</v>
      </c>
      <c r="E509" s="2" t="s">
        <v>11930</v>
      </c>
    </row>
    <row r="510">
      <c r="A510" s="2" t="s">
        <v>12620</v>
      </c>
      <c r="B510" s="7" t="s">
        <v>563</v>
      </c>
      <c r="C510" s="2" t="s">
        <v>12621</v>
      </c>
      <c r="E510" s="2" t="s">
        <v>11890</v>
      </c>
    </row>
    <row r="511">
      <c r="A511" s="2" t="s">
        <v>3133</v>
      </c>
      <c r="B511" s="7" t="s">
        <v>564</v>
      </c>
      <c r="C511" s="2" t="s">
        <v>12622</v>
      </c>
      <c r="E511" s="2" t="s">
        <v>11819</v>
      </c>
    </row>
    <row r="512">
      <c r="A512" s="2" t="s">
        <v>3997</v>
      </c>
      <c r="B512" s="7" t="s">
        <v>565</v>
      </c>
      <c r="C512" s="2" t="s">
        <v>647</v>
      </c>
    </row>
    <row r="513">
      <c r="A513" s="2" t="s">
        <v>12623</v>
      </c>
      <c r="B513" s="7" t="s">
        <v>566</v>
      </c>
      <c r="C513" s="2" t="s">
        <v>12624</v>
      </c>
      <c r="E513" s="2" t="s">
        <v>11732</v>
      </c>
    </row>
    <row r="514">
      <c r="A514" s="2" t="s">
        <v>12625</v>
      </c>
      <c r="B514" s="7" t="s">
        <v>567</v>
      </c>
      <c r="C514" s="2" t="s">
        <v>12626</v>
      </c>
      <c r="E514" s="2" t="s">
        <v>11691</v>
      </c>
    </row>
    <row r="515">
      <c r="A515" s="2" t="s">
        <v>1390</v>
      </c>
      <c r="B515" s="7" t="s">
        <v>568</v>
      </c>
      <c r="C515" s="2" t="s">
        <v>12627</v>
      </c>
      <c r="E515" s="2" t="s">
        <v>12042</v>
      </c>
    </row>
    <row r="516">
      <c r="A516" s="2" t="s">
        <v>12628</v>
      </c>
      <c r="B516" s="7" t="s">
        <v>569</v>
      </c>
      <c r="C516" s="2" t="s">
        <v>12629</v>
      </c>
      <c r="E516" s="2" t="s">
        <v>11660</v>
      </c>
    </row>
    <row r="517">
      <c r="A517" s="2" t="s">
        <v>3997</v>
      </c>
      <c r="B517" s="7" t="s">
        <v>570</v>
      </c>
      <c r="C517" s="2" t="s">
        <v>647</v>
      </c>
    </row>
    <row r="518">
      <c r="A518" s="2" t="s">
        <v>12630</v>
      </c>
      <c r="B518" s="7" t="s">
        <v>571</v>
      </c>
      <c r="C518" s="2" t="s">
        <v>12631</v>
      </c>
      <c r="E518" s="2">
        <v>2017.0</v>
      </c>
    </row>
    <row r="519">
      <c r="A519" s="2" t="s">
        <v>3997</v>
      </c>
      <c r="B519" s="7" t="s">
        <v>572</v>
      </c>
      <c r="C519" s="2" t="s">
        <v>647</v>
      </c>
    </row>
    <row r="520">
      <c r="A520" s="2" t="s">
        <v>12632</v>
      </c>
      <c r="B520" s="7" t="s">
        <v>573</v>
      </c>
      <c r="C520" s="2" t="s">
        <v>12633</v>
      </c>
      <c r="E520" s="2" t="s">
        <v>11663</v>
      </c>
    </row>
    <row r="521">
      <c r="A521" s="2" t="s">
        <v>12634</v>
      </c>
      <c r="B521" s="7" t="s">
        <v>574</v>
      </c>
      <c r="C521" s="2" t="s">
        <v>12635</v>
      </c>
      <c r="E521" s="2" t="s">
        <v>11706</v>
      </c>
    </row>
    <row r="522">
      <c r="A522" s="2" t="s">
        <v>6885</v>
      </c>
      <c r="B522" s="7" t="s">
        <v>575</v>
      </c>
      <c r="C522" s="2" t="s">
        <v>12636</v>
      </c>
      <c r="E522" s="2">
        <v>2021.0</v>
      </c>
    </row>
    <row r="523">
      <c r="A523" s="2" t="s">
        <v>3997</v>
      </c>
      <c r="B523" s="7" t="s">
        <v>576</v>
      </c>
      <c r="C523" s="2" t="s">
        <v>647</v>
      </c>
    </row>
    <row r="524">
      <c r="A524" s="2" t="s">
        <v>12637</v>
      </c>
      <c r="B524" s="7" t="s">
        <v>577</v>
      </c>
      <c r="C524" s="2" t="s">
        <v>12638</v>
      </c>
      <c r="E524" s="2" t="s">
        <v>11663</v>
      </c>
    </row>
    <row r="525">
      <c r="A525" s="2" t="s">
        <v>12639</v>
      </c>
      <c r="B525" s="7" t="s">
        <v>578</v>
      </c>
      <c r="C525" s="2" t="s">
        <v>12640</v>
      </c>
      <c r="E525" s="2" t="s">
        <v>11937</v>
      </c>
    </row>
    <row r="526">
      <c r="A526" s="2" t="s">
        <v>3997</v>
      </c>
      <c r="B526" s="7" t="s">
        <v>579</v>
      </c>
      <c r="C526" s="2" t="s">
        <v>647</v>
      </c>
      <c r="D526" s="2" t="s">
        <v>12641</v>
      </c>
      <c r="F526" s="2" t="s">
        <v>11679</v>
      </c>
    </row>
    <row r="527">
      <c r="A527" s="2" t="s">
        <v>1952</v>
      </c>
      <c r="B527" s="7" t="s">
        <v>580</v>
      </c>
      <c r="C527" s="2" t="s">
        <v>12642</v>
      </c>
      <c r="E527" s="2" t="s">
        <v>11699</v>
      </c>
    </row>
    <row r="528">
      <c r="A528" s="2" t="s">
        <v>12643</v>
      </c>
      <c r="B528" s="7" t="s">
        <v>581</v>
      </c>
      <c r="C528" s="2" t="s">
        <v>12644</v>
      </c>
      <c r="E528" s="2" t="s">
        <v>11763</v>
      </c>
    </row>
    <row r="529">
      <c r="A529" s="2" t="s">
        <v>3997</v>
      </c>
      <c r="B529" s="7" t="s">
        <v>582</v>
      </c>
      <c r="C529" s="2" t="s">
        <v>647</v>
      </c>
    </row>
    <row r="530">
      <c r="A530" s="2" t="s">
        <v>12645</v>
      </c>
      <c r="B530" s="7" t="s">
        <v>583</v>
      </c>
      <c r="C530" s="2" t="s">
        <v>12646</v>
      </c>
      <c r="E530" s="2" t="s">
        <v>11663</v>
      </c>
    </row>
    <row r="531">
      <c r="A531" s="2" t="s">
        <v>12647</v>
      </c>
      <c r="B531" s="7" t="s">
        <v>584</v>
      </c>
      <c r="C531" s="2" t="s">
        <v>12648</v>
      </c>
      <c r="E531" s="2" t="s">
        <v>11660</v>
      </c>
    </row>
    <row r="532">
      <c r="A532" s="2" t="s">
        <v>3997</v>
      </c>
      <c r="B532" s="7" t="s">
        <v>585</v>
      </c>
      <c r="C532" s="2" t="s">
        <v>647</v>
      </c>
      <c r="D532" s="2" t="s">
        <v>12649</v>
      </c>
      <c r="F532" s="2" t="s">
        <v>11840</v>
      </c>
    </row>
    <row r="533">
      <c r="A533" s="2" t="s">
        <v>11316</v>
      </c>
      <c r="B533" s="7" t="s">
        <v>586</v>
      </c>
      <c r="C533" s="2" t="s">
        <v>12650</v>
      </c>
      <c r="E533" s="2" t="s">
        <v>11663</v>
      </c>
    </row>
    <row r="534">
      <c r="A534" s="2" t="s">
        <v>3997</v>
      </c>
      <c r="B534" s="7" t="s">
        <v>587</v>
      </c>
      <c r="C534" s="2" t="s">
        <v>647</v>
      </c>
    </row>
    <row r="535">
      <c r="A535" s="2" t="s">
        <v>12651</v>
      </c>
      <c r="B535" s="7" t="s">
        <v>588</v>
      </c>
      <c r="C535" s="2" t="s">
        <v>12652</v>
      </c>
      <c r="E535" s="2" t="s">
        <v>11671</v>
      </c>
    </row>
    <row r="536">
      <c r="A536" s="2" t="s">
        <v>3997</v>
      </c>
      <c r="B536" s="7" t="s">
        <v>589</v>
      </c>
      <c r="C536" s="2" t="s">
        <v>647</v>
      </c>
    </row>
    <row r="537">
      <c r="A537" s="2" t="s">
        <v>12653</v>
      </c>
      <c r="B537" s="7" t="s">
        <v>590</v>
      </c>
      <c r="C537" s="2" t="s">
        <v>12654</v>
      </c>
      <c r="E537" s="2" t="s">
        <v>11684</v>
      </c>
    </row>
    <row r="538">
      <c r="A538" s="2" t="s">
        <v>3997</v>
      </c>
      <c r="B538" s="7" t="s">
        <v>591</v>
      </c>
      <c r="C538" s="2" t="s">
        <v>647</v>
      </c>
      <c r="D538" s="2" t="s">
        <v>12655</v>
      </c>
      <c r="F538" s="2" t="s">
        <v>12170</v>
      </c>
    </row>
    <row r="539">
      <c r="A539" s="2" t="s">
        <v>12656</v>
      </c>
      <c r="B539" s="7" t="s">
        <v>592</v>
      </c>
      <c r="C539" s="2" t="s">
        <v>12657</v>
      </c>
      <c r="E539" s="2" t="s">
        <v>11949</v>
      </c>
    </row>
    <row r="540">
      <c r="A540" s="2" t="s">
        <v>12658</v>
      </c>
      <c r="B540" s="7" t="s">
        <v>593</v>
      </c>
      <c r="C540" s="2" t="s">
        <v>12659</v>
      </c>
    </row>
    <row r="541">
      <c r="A541" s="2" t="s">
        <v>3997</v>
      </c>
      <c r="B541" s="7" t="s">
        <v>594</v>
      </c>
      <c r="C541" s="2" t="s">
        <v>647</v>
      </c>
    </row>
    <row r="542">
      <c r="A542" s="2" t="s">
        <v>12660</v>
      </c>
      <c r="B542" s="7" t="s">
        <v>595</v>
      </c>
      <c r="C542" s="2" t="s">
        <v>12661</v>
      </c>
      <c r="E542" s="2">
        <v>2021.0</v>
      </c>
    </row>
    <row r="543">
      <c r="A543" s="2" t="s">
        <v>12662</v>
      </c>
      <c r="B543" s="7" t="s">
        <v>596</v>
      </c>
      <c r="C543" s="2" t="s">
        <v>12663</v>
      </c>
      <c r="E543" s="29">
        <v>45524.0</v>
      </c>
    </row>
    <row r="544">
      <c r="A544" s="2" t="s">
        <v>3997</v>
      </c>
      <c r="B544" s="7" t="s">
        <v>597</v>
      </c>
      <c r="C544" s="2" t="s">
        <v>647</v>
      </c>
    </row>
    <row r="545">
      <c r="A545" s="2" t="s">
        <v>3997</v>
      </c>
      <c r="B545" s="7" t="s">
        <v>598</v>
      </c>
      <c r="C545" s="2" t="s">
        <v>647</v>
      </c>
      <c r="D545" s="2" t="s">
        <v>12664</v>
      </c>
      <c r="F545" s="2" t="s">
        <v>11963</v>
      </c>
    </row>
    <row r="546">
      <c r="A546" s="2" t="s">
        <v>12665</v>
      </c>
      <c r="B546" s="7" t="s">
        <v>599</v>
      </c>
      <c r="C546" s="2" t="s">
        <v>12666</v>
      </c>
      <c r="E546" s="2" t="s">
        <v>11806</v>
      </c>
    </row>
    <row r="547">
      <c r="A547" s="2" t="s">
        <v>3997</v>
      </c>
      <c r="B547" s="7" t="s">
        <v>600</v>
      </c>
      <c r="C547" s="2" t="s">
        <v>647</v>
      </c>
    </row>
    <row r="548">
      <c r="A548" s="2" t="s">
        <v>12667</v>
      </c>
      <c r="B548" s="7" t="s">
        <v>601</v>
      </c>
      <c r="C548" s="2" t="s">
        <v>12668</v>
      </c>
      <c r="E548" s="2" t="s">
        <v>11663</v>
      </c>
    </row>
    <row r="549">
      <c r="A549" s="2" t="s">
        <v>3997</v>
      </c>
      <c r="B549" s="7" t="s">
        <v>602</v>
      </c>
      <c r="C549" s="2" t="s">
        <v>647</v>
      </c>
      <c r="D549" s="2" t="s">
        <v>12669</v>
      </c>
      <c r="F549" s="2" t="s">
        <v>11963</v>
      </c>
    </row>
    <row r="550">
      <c r="A550" s="2" t="s">
        <v>3997</v>
      </c>
      <c r="B550" s="7" t="s">
        <v>603</v>
      </c>
      <c r="C550" s="2" t="s">
        <v>647</v>
      </c>
      <c r="D550" s="2" t="s">
        <v>12670</v>
      </c>
      <c r="F550" s="2" t="s">
        <v>11703</v>
      </c>
    </row>
    <row r="551">
      <c r="A551" s="2" t="s">
        <v>3997</v>
      </c>
      <c r="B551" s="7" t="s">
        <v>604</v>
      </c>
      <c r="C551" s="2" t="s">
        <v>647</v>
      </c>
    </row>
    <row r="552">
      <c r="A552" s="2" t="s">
        <v>3997</v>
      </c>
      <c r="B552" s="7" t="s">
        <v>605</v>
      </c>
      <c r="C552" s="2" t="s">
        <v>647</v>
      </c>
      <c r="D552" s="2" t="s">
        <v>12671</v>
      </c>
      <c r="F552" s="2" t="s">
        <v>12672</v>
      </c>
    </row>
    <row r="553">
      <c r="A553" s="2" t="s">
        <v>12673</v>
      </c>
      <c r="B553" s="7" t="s">
        <v>606</v>
      </c>
      <c r="C553" s="2" t="s">
        <v>12674</v>
      </c>
      <c r="E553" s="2" t="s">
        <v>11660</v>
      </c>
    </row>
    <row r="554">
      <c r="A554" s="2" t="s">
        <v>3997</v>
      </c>
      <c r="B554" s="7" t="s">
        <v>607</v>
      </c>
      <c r="C554" s="2" t="s">
        <v>647</v>
      </c>
    </row>
    <row r="555">
      <c r="A555" s="2" t="s">
        <v>3997</v>
      </c>
      <c r="B555" s="7" t="s">
        <v>608</v>
      </c>
      <c r="C555" s="2" t="s">
        <v>647</v>
      </c>
      <c r="D555" s="2" t="s">
        <v>12675</v>
      </c>
      <c r="F555" s="2" t="s">
        <v>11810</v>
      </c>
    </row>
    <row r="556">
      <c r="A556" s="2" t="s">
        <v>12676</v>
      </c>
      <c r="B556" s="7" t="s">
        <v>609</v>
      </c>
      <c r="C556" s="2" t="s">
        <v>12677</v>
      </c>
      <c r="E556" s="2">
        <v>2021.0</v>
      </c>
    </row>
    <row r="557">
      <c r="A557" s="2" t="s">
        <v>12678</v>
      </c>
      <c r="B557" s="7" t="s">
        <v>610</v>
      </c>
      <c r="C557" s="2" t="s">
        <v>12679</v>
      </c>
      <c r="E557" s="2">
        <v>2022.0</v>
      </c>
    </row>
    <row r="558">
      <c r="A558" s="2" t="s">
        <v>3997</v>
      </c>
      <c r="B558" s="7" t="s">
        <v>611</v>
      </c>
      <c r="C558" s="2" t="s">
        <v>647</v>
      </c>
      <c r="D558" s="2" t="s">
        <v>12680</v>
      </c>
      <c r="F558" s="2" t="s">
        <v>11873</v>
      </c>
    </row>
    <row r="559">
      <c r="A559" s="2" t="s">
        <v>12681</v>
      </c>
      <c r="B559" s="7" t="s">
        <v>612</v>
      </c>
      <c r="C559" s="2" t="s">
        <v>12682</v>
      </c>
      <c r="E559" s="2" t="s">
        <v>11684</v>
      </c>
    </row>
    <row r="560">
      <c r="A560" s="2" t="s">
        <v>12683</v>
      </c>
      <c r="B560" s="7" t="s">
        <v>613</v>
      </c>
      <c r="C560" s="2" t="s">
        <v>12684</v>
      </c>
      <c r="E560" s="2" t="s">
        <v>11819</v>
      </c>
    </row>
    <row r="561">
      <c r="A561" s="2" t="s">
        <v>3997</v>
      </c>
      <c r="B561" s="7" t="s">
        <v>614</v>
      </c>
      <c r="C561" s="2" t="s">
        <v>647</v>
      </c>
    </row>
    <row r="562">
      <c r="A562" s="2" t="s">
        <v>12685</v>
      </c>
      <c r="B562" s="7" t="s">
        <v>615</v>
      </c>
      <c r="C562" s="2" t="s">
        <v>12686</v>
      </c>
    </row>
    <row r="563">
      <c r="A563" s="2" t="s">
        <v>3997</v>
      </c>
      <c r="C563" s="2" t="s">
        <v>647</v>
      </c>
    </row>
    <row r="564">
      <c r="A564" s="2" t="s">
        <v>12687</v>
      </c>
      <c r="C564" s="2" t="s">
        <v>12688</v>
      </c>
      <c r="E564" s="2" t="s">
        <v>12689</v>
      </c>
    </row>
    <row r="565">
      <c r="A565" s="2" t="s">
        <v>12690</v>
      </c>
      <c r="C565" s="2" t="s">
        <v>12691</v>
      </c>
      <c r="E565" s="2" t="s">
        <v>11682</v>
      </c>
    </row>
    <row r="566">
      <c r="A566" s="2" t="s">
        <v>3997</v>
      </c>
      <c r="C566" s="2" t="s">
        <v>647</v>
      </c>
    </row>
    <row r="567">
      <c r="A567" s="2" t="s">
        <v>12692</v>
      </c>
      <c r="C567" s="2" t="s">
        <v>12693</v>
      </c>
      <c r="E567" s="2" t="s">
        <v>11833</v>
      </c>
    </row>
    <row r="568">
      <c r="A568" s="2" t="s">
        <v>12694</v>
      </c>
      <c r="C568" s="2" t="s">
        <v>647</v>
      </c>
      <c r="E568" s="2" t="s">
        <v>11833</v>
      </c>
    </row>
    <row r="569">
      <c r="A569" s="2" t="s">
        <v>3997</v>
      </c>
      <c r="C569" s="2" t="s">
        <v>647</v>
      </c>
    </row>
    <row r="570">
      <c r="A570" s="2" t="s">
        <v>3997</v>
      </c>
      <c r="C570" s="2" t="s">
        <v>647</v>
      </c>
      <c r="D570" s="2" t="s">
        <v>12695</v>
      </c>
      <c r="F570" s="2" t="s">
        <v>11665</v>
      </c>
    </row>
    <row r="571">
      <c r="A571" s="2" t="s">
        <v>12696</v>
      </c>
      <c r="C571" s="2" t="s">
        <v>12697</v>
      </c>
      <c r="E571" s="2" t="s">
        <v>11684</v>
      </c>
    </row>
    <row r="572">
      <c r="A572" s="2" t="s">
        <v>3997</v>
      </c>
      <c r="C572" s="2" t="s">
        <v>647</v>
      </c>
    </row>
    <row r="573">
      <c r="A573" s="2" t="s">
        <v>12698</v>
      </c>
      <c r="C573" s="2" t="s">
        <v>12699</v>
      </c>
      <c r="E573" s="2" t="s">
        <v>11799</v>
      </c>
    </row>
    <row r="574">
      <c r="A574" s="2" t="s">
        <v>3997</v>
      </c>
      <c r="C574" s="2" t="s">
        <v>647</v>
      </c>
    </row>
    <row r="575">
      <c r="A575" s="2" t="s">
        <v>12700</v>
      </c>
      <c r="C575" s="2" t="s">
        <v>12701</v>
      </c>
      <c r="E575" s="2" t="s">
        <v>11732</v>
      </c>
    </row>
    <row r="576">
      <c r="A576" s="2" t="s">
        <v>3997</v>
      </c>
      <c r="C576" s="2" t="s">
        <v>647</v>
      </c>
      <c r="D576" s="2" t="s">
        <v>12702</v>
      </c>
      <c r="F576" s="2" t="s">
        <v>12139</v>
      </c>
    </row>
    <row r="577">
      <c r="A577" s="2" t="s">
        <v>3997</v>
      </c>
      <c r="C577" s="2" t="s">
        <v>647</v>
      </c>
    </row>
    <row r="578">
      <c r="A578" s="2" t="s">
        <v>3997</v>
      </c>
      <c r="C578" s="2" t="s">
        <v>647</v>
      </c>
      <c r="D578" s="2" t="s">
        <v>12703</v>
      </c>
      <c r="F578" s="2" t="s">
        <v>11873</v>
      </c>
    </row>
    <row r="579">
      <c r="A579" s="2" t="s">
        <v>12704</v>
      </c>
      <c r="C579" s="2" t="s">
        <v>12705</v>
      </c>
      <c r="E579" s="2" t="s">
        <v>11684</v>
      </c>
    </row>
    <row r="580">
      <c r="A580" s="2" t="s">
        <v>3997</v>
      </c>
      <c r="C580" s="2" t="s">
        <v>647</v>
      </c>
    </row>
    <row r="581">
      <c r="A581" s="2" t="s">
        <v>3997</v>
      </c>
      <c r="C581" s="2" t="s">
        <v>647</v>
      </c>
      <c r="D581" s="2" t="s">
        <v>12706</v>
      </c>
      <c r="F581" s="2" t="s">
        <v>11780</v>
      </c>
    </row>
    <row r="582">
      <c r="A582" s="2" t="s">
        <v>12707</v>
      </c>
      <c r="C582" s="2" t="s">
        <v>12708</v>
      </c>
    </row>
    <row r="583">
      <c r="A583" s="2" t="s">
        <v>3997</v>
      </c>
      <c r="C583" s="2" t="s">
        <v>647</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 r:id="rId16" ref="B16"/>
    <hyperlink r:id="rId17" ref="B17"/>
    <hyperlink r:id="rId18" ref="B18"/>
    <hyperlink r:id="rId19" ref="B19"/>
    <hyperlink r:id="rId20" ref="B20"/>
    <hyperlink r:id="rId21" ref="B21"/>
    <hyperlink r:id="rId22" ref="B22"/>
    <hyperlink r:id="rId23" ref="B23"/>
    <hyperlink r:id="rId24" ref="B24"/>
    <hyperlink r:id="rId25" ref="B25"/>
    <hyperlink r:id="rId26" ref="B26"/>
    <hyperlink r:id="rId27" ref="B27"/>
    <hyperlink r:id="rId28" ref="B28"/>
    <hyperlink r:id="rId29" ref="B29"/>
    <hyperlink r:id="rId30" ref="B30"/>
    <hyperlink r:id="rId31" ref="B31"/>
    <hyperlink r:id="rId32" ref="B32"/>
    <hyperlink r:id="rId33" ref="A33"/>
    <hyperlink r:id="rId34" ref="B33"/>
    <hyperlink r:id="rId35" ref="B34"/>
    <hyperlink r:id="rId36" ref="B35"/>
    <hyperlink r:id="rId37" ref="B36"/>
    <hyperlink r:id="rId38" ref="B37"/>
    <hyperlink r:id="rId39" ref="B38"/>
    <hyperlink r:id="rId40" ref="B39"/>
    <hyperlink r:id="rId41" ref="B40"/>
    <hyperlink r:id="rId42" ref="B41"/>
    <hyperlink r:id="rId43" ref="B42"/>
    <hyperlink r:id="rId44" ref="B43"/>
    <hyperlink r:id="rId45" ref="B44"/>
    <hyperlink r:id="rId46" ref="B45"/>
    <hyperlink r:id="rId47" ref="B46"/>
    <hyperlink r:id="rId48" ref="B47"/>
    <hyperlink r:id="rId49" ref="B48"/>
    <hyperlink r:id="rId50" ref="B49"/>
    <hyperlink r:id="rId51" ref="B50"/>
    <hyperlink r:id="rId52" ref="B51"/>
    <hyperlink r:id="rId53" ref="B52"/>
    <hyperlink r:id="rId54" ref="B53"/>
    <hyperlink r:id="rId55" ref="B54"/>
    <hyperlink r:id="rId56" ref="B55"/>
    <hyperlink r:id="rId57" ref="B56"/>
    <hyperlink r:id="rId58" ref="B57"/>
    <hyperlink r:id="rId59" ref="B58"/>
    <hyperlink r:id="rId60" ref="B59"/>
    <hyperlink r:id="rId61" ref="B60"/>
    <hyperlink r:id="rId62" ref="B61"/>
    <hyperlink r:id="rId63" ref="B62"/>
    <hyperlink r:id="rId64" ref="B63"/>
    <hyperlink r:id="rId65" ref="B64"/>
    <hyperlink r:id="rId66" ref="B65"/>
    <hyperlink r:id="rId67" ref="B66"/>
    <hyperlink r:id="rId68" ref="B67"/>
    <hyperlink r:id="rId69" ref="B68"/>
    <hyperlink r:id="rId70" ref="B69"/>
    <hyperlink r:id="rId71" ref="B70"/>
    <hyperlink r:id="rId72" ref="B71"/>
    <hyperlink r:id="rId73" ref="B72"/>
    <hyperlink r:id="rId74" ref="B73"/>
    <hyperlink r:id="rId75" ref="B74"/>
    <hyperlink r:id="rId76" ref="B75"/>
    <hyperlink r:id="rId77" ref="B76"/>
    <hyperlink r:id="rId78" ref="B77"/>
    <hyperlink r:id="rId79" ref="B78"/>
    <hyperlink r:id="rId80" ref="B79"/>
    <hyperlink r:id="rId81" ref="B80"/>
    <hyperlink r:id="rId82" ref="B81"/>
    <hyperlink r:id="rId83" ref="B82"/>
    <hyperlink r:id="rId84" ref="B83"/>
    <hyperlink r:id="rId85" ref="B84"/>
    <hyperlink r:id="rId86" ref="B85"/>
    <hyperlink r:id="rId87" ref="B86"/>
    <hyperlink r:id="rId88" ref="B87"/>
    <hyperlink r:id="rId89" ref="B88"/>
    <hyperlink r:id="rId90" ref="B89"/>
    <hyperlink r:id="rId91" ref="B90"/>
    <hyperlink r:id="rId92" ref="B91"/>
    <hyperlink r:id="rId93" ref="B92"/>
    <hyperlink r:id="rId94" ref="B93"/>
    <hyperlink r:id="rId95" ref="B94"/>
    <hyperlink r:id="rId96" ref="B95"/>
    <hyperlink r:id="rId97" ref="B96"/>
    <hyperlink r:id="rId98" ref="B97"/>
    <hyperlink r:id="rId99" ref="B98"/>
    <hyperlink r:id="rId100" ref="B99"/>
    <hyperlink r:id="rId101" ref="B100"/>
    <hyperlink r:id="rId102" ref="B101"/>
    <hyperlink r:id="rId103" ref="B102"/>
    <hyperlink r:id="rId104" ref="B103"/>
    <hyperlink r:id="rId105" ref="B104"/>
    <hyperlink r:id="rId106" ref="B105"/>
    <hyperlink r:id="rId107" ref="B106"/>
    <hyperlink r:id="rId108" ref="B107"/>
    <hyperlink r:id="rId109" ref="B108"/>
    <hyperlink r:id="rId110" ref="B109"/>
    <hyperlink r:id="rId111" ref="B110"/>
    <hyperlink r:id="rId112" ref="B111"/>
    <hyperlink r:id="rId113" ref="B112"/>
    <hyperlink r:id="rId114" ref="B113"/>
    <hyperlink r:id="rId115" ref="B114"/>
    <hyperlink r:id="rId116" ref="B115"/>
    <hyperlink r:id="rId117" ref="B116"/>
    <hyperlink r:id="rId118" ref="B117"/>
    <hyperlink r:id="rId119" ref="B118"/>
    <hyperlink r:id="rId120" ref="B119"/>
    <hyperlink r:id="rId121" ref="B120"/>
    <hyperlink r:id="rId122" ref="B121"/>
    <hyperlink r:id="rId123" ref="B122"/>
    <hyperlink r:id="rId124" ref="B123"/>
    <hyperlink r:id="rId125" ref="B124"/>
    <hyperlink r:id="rId126" ref="B125"/>
    <hyperlink r:id="rId127" ref="B126"/>
    <hyperlink r:id="rId128" ref="B127"/>
    <hyperlink r:id="rId129" ref="B128"/>
    <hyperlink r:id="rId130" ref="B129"/>
    <hyperlink r:id="rId131" ref="B130"/>
    <hyperlink r:id="rId132" ref="B131"/>
    <hyperlink r:id="rId133" ref="B132"/>
    <hyperlink r:id="rId134" ref="B133"/>
    <hyperlink r:id="rId135" ref="B134"/>
    <hyperlink r:id="rId136" ref="B135"/>
    <hyperlink r:id="rId137" ref="B136"/>
    <hyperlink r:id="rId138" ref="B137"/>
    <hyperlink r:id="rId139" ref="B138"/>
    <hyperlink r:id="rId140" ref="B139"/>
    <hyperlink r:id="rId141" ref="B140"/>
    <hyperlink r:id="rId142" ref="B141"/>
    <hyperlink r:id="rId143" ref="B142"/>
    <hyperlink r:id="rId144" ref="B143"/>
    <hyperlink r:id="rId145" ref="B144"/>
    <hyperlink r:id="rId146" ref="B145"/>
    <hyperlink r:id="rId147" ref="B146"/>
    <hyperlink r:id="rId148" ref="B147"/>
    <hyperlink r:id="rId149" ref="B148"/>
    <hyperlink r:id="rId150" ref="B149"/>
    <hyperlink r:id="rId151" ref="B150"/>
    <hyperlink r:id="rId152" ref="B151"/>
    <hyperlink r:id="rId153" ref="B152"/>
    <hyperlink r:id="rId154" ref="B153"/>
    <hyperlink r:id="rId155" ref="B154"/>
    <hyperlink r:id="rId156" ref="B155"/>
    <hyperlink r:id="rId157" ref="B156"/>
    <hyperlink r:id="rId158" ref="B157"/>
    <hyperlink r:id="rId159" ref="B158"/>
    <hyperlink r:id="rId160" ref="B159"/>
    <hyperlink r:id="rId161" ref="B160"/>
    <hyperlink r:id="rId162" ref="B161"/>
    <hyperlink r:id="rId163" ref="B162"/>
    <hyperlink r:id="rId164" ref="B163"/>
    <hyperlink r:id="rId165" ref="B164"/>
    <hyperlink r:id="rId166" ref="B165"/>
    <hyperlink r:id="rId167" ref="B166"/>
    <hyperlink r:id="rId168" ref="B167"/>
    <hyperlink r:id="rId169" ref="B168"/>
    <hyperlink r:id="rId170" ref="B169"/>
    <hyperlink r:id="rId171" ref="B170"/>
    <hyperlink r:id="rId172" ref="B171"/>
    <hyperlink r:id="rId173" ref="B172"/>
    <hyperlink r:id="rId174" ref="B173"/>
    <hyperlink r:id="rId175" ref="B174"/>
    <hyperlink r:id="rId176" ref="B175"/>
    <hyperlink r:id="rId177" ref="B176"/>
    <hyperlink r:id="rId178" ref="B177"/>
    <hyperlink r:id="rId179" ref="B178"/>
    <hyperlink r:id="rId180" ref="B179"/>
    <hyperlink r:id="rId181" ref="B180"/>
    <hyperlink r:id="rId182" ref="B181"/>
    <hyperlink r:id="rId183" ref="B182"/>
    <hyperlink r:id="rId184" ref="B183"/>
    <hyperlink r:id="rId185" ref="B184"/>
    <hyperlink r:id="rId186" ref="B185"/>
    <hyperlink r:id="rId187" ref="B186"/>
    <hyperlink r:id="rId188" ref="B187"/>
    <hyperlink r:id="rId189" ref="B188"/>
    <hyperlink r:id="rId190" ref="B189"/>
    <hyperlink r:id="rId191" ref="B190"/>
    <hyperlink r:id="rId192" ref="B191"/>
    <hyperlink r:id="rId193" ref="B192"/>
    <hyperlink r:id="rId194" ref="A193"/>
    <hyperlink r:id="rId195" ref="B193"/>
    <hyperlink r:id="rId196" ref="B194"/>
    <hyperlink r:id="rId197" ref="B195"/>
    <hyperlink r:id="rId198" ref="B196"/>
    <hyperlink r:id="rId199" ref="B197"/>
    <hyperlink r:id="rId200" ref="B198"/>
    <hyperlink r:id="rId201" ref="B199"/>
    <hyperlink r:id="rId202" ref="B200"/>
    <hyperlink r:id="rId203" ref="B201"/>
    <hyperlink r:id="rId204" ref="B202"/>
    <hyperlink r:id="rId205" ref="B203"/>
    <hyperlink r:id="rId206" ref="B204"/>
    <hyperlink r:id="rId207" ref="B205"/>
    <hyperlink r:id="rId208" ref="B206"/>
    <hyperlink r:id="rId209" ref="B207"/>
    <hyperlink r:id="rId210" ref="B208"/>
    <hyperlink r:id="rId211" ref="B209"/>
    <hyperlink r:id="rId212" ref="B210"/>
    <hyperlink r:id="rId213" ref="B211"/>
    <hyperlink r:id="rId214" ref="B212"/>
    <hyperlink r:id="rId215" ref="B213"/>
    <hyperlink r:id="rId216" ref="B214"/>
    <hyperlink r:id="rId217" ref="B215"/>
    <hyperlink r:id="rId218" ref="B216"/>
    <hyperlink r:id="rId219" ref="B217"/>
    <hyperlink r:id="rId220" ref="B218"/>
    <hyperlink r:id="rId221" ref="B219"/>
    <hyperlink r:id="rId222" ref="B220"/>
    <hyperlink r:id="rId223" ref="B221"/>
    <hyperlink r:id="rId224" ref="B222"/>
    <hyperlink r:id="rId225" ref="B223"/>
    <hyperlink r:id="rId226" ref="B224"/>
    <hyperlink r:id="rId227" ref="B225"/>
    <hyperlink r:id="rId228" ref="B226"/>
    <hyperlink r:id="rId229" ref="B227"/>
    <hyperlink r:id="rId230" ref="B228"/>
    <hyperlink r:id="rId231" ref="B229"/>
    <hyperlink r:id="rId232" ref="B230"/>
    <hyperlink r:id="rId233" ref="B231"/>
    <hyperlink r:id="rId234" ref="B232"/>
    <hyperlink r:id="rId235" ref="B233"/>
    <hyperlink r:id="rId236" ref="B234"/>
    <hyperlink r:id="rId237" ref="B235"/>
    <hyperlink r:id="rId238" ref="B236"/>
    <hyperlink r:id="rId239" ref="B237"/>
    <hyperlink r:id="rId240" ref="B238"/>
    <hyperlink r:id="rId241" ref="B239"/>
    <hyperlink r:id="rId242" ref="B240"/>
    <hyperlink r:id="rId243" ref="B241"/>
    <hyperlink r:id="rId244" ref="B242"/>
    <hyperlink r:id="rId245" ref="B243"/>
    <hyperlink r:id="rId246" ref="B244"/>
    <hyperlink r:id="rId247" ref="B245"/>
    <hyperlink r:id="rId248" ref="B246"/>
    <hyperlink r:id="rId249" ref="B247"/>
    <hyperlink r:id="rId250" ref="B248"/>
    <hyperlink r:id="rId251" ref="B249"/>
    <hyperlink r:id="rId252" ref="B250"/>
    <hyperlink r:id="rId253" ref="B251"/>
    <hyperlink r:id="rId254" ref="B252"/>
    <hyperlink r:id="rId255" ref="B253"/>
    <hyperlink r:id="rId256" ref="B254"/>
    <hyperlink r:id="rId257" ref="B255"/>
    <hyperlink r:id="rId258" ref="B256"/>
    <hyperlink r:id="rId259" ref="B257"/>
    <hyperlink r:id="rId260" ref="B258"/>
    <hyperlink r:id="rId261" ref="B259"/>
    <hyperlink r:id="rId262" ref="B260"/>
    <hyperlink r:id="rId263" ref="B261"/>
    <hyperlink r:id="rId264" ref="B262"/>
    <hyperlink r:id="rId265" ref="B263"/>
    <hyperlink r:id="rId266" ref="B264"/>
    <hyperlink r:id="rId267" ref="B265"/>
    <hyperlink r:id="rId268" ref="B266"/>
    <hyperlink r:id="rId269" ref="B267"/>
    <hyperlink r:id="rId270" ref="B268"/>
    <hyperlink r:id="rId271" ref="B269"/>
    <hyperlink r:id="rId272" ref="B270"/>
    <hyperlink r:id="rId273" ref="B271"/>
    <hyperlink r:id="rId274" ref="B272"/>
    <hyperlink r:id="rId275" ref="B273"/>
    <hyperlink r:id="rId276" ref="B274"/>
    <hyperlink r:id="rId277" ref="B275"/>
    <hyperlink r:id="rId278" ref="B276"/>
    <hyperlink r:id="rId279" ref="B277"/>
    <hyperlink r:id="rId280" ref="B278"/>
    <hyperlink r:id="rId281" ref="B279"/>
    <hyperlink r:id="rId282" ref="B280"/>
    <hyperlink r:id="rId283" ref="B281"/>
    <hyperlink r:id="rId284" ref="B282"/>
    <hyperlink r:id="rId285" ref="B283"/>
    <hyperlink r:id="rId286" ref="B284"/>
    <hyperlink r:id="rId287" ref="B285"/>
    <hyperlink r:id="rId288" ref="B286"/>
    <hyperlink r:id="rId289" ref="B287"/>
    <hyperlink r:id="rId290" ref="B288"/>
    <hyperlink r:id="rId291" ref="B289"/>
    <hyperlink r:id="rId292" ref="B290"/>
    <hyperlink r:id="rId293" ref="B291"/>
    <hyperlink r:id="rId294" ref="B292"/>
    <hyperlink r:id="rId295" ref="B293"/>
    <hyperlink r:id="rId296" ref="B294"/>
    <hyperlink r:id="rId297" ref="B295"/>
    <hyperlink r:id="rId298" ref="B296"/>
    <hyperlink r:id="rId299" ref="B297"/>
    <hyperlink r:id="rId300" ref="B298"/>
    <hyperlink r:id="rId301" ref="B299"/>
    <hyperlink r:id="rId302" ref="B300"/>
    <hyperlink r:id="rId303" ref="B301"/>
    <hyperlink r:id="rId304" ref="B302"/>
    <hyperlink r:id="rId305" ref="B303"/>
    <hyperlink r:id="rId306" ref="B304"/>
    <hyperlink r:id="rId307" ref="B305"/>
    <hyperlink r:id="rId308" ref="B306"/>
    <hyperlink r:id="rId309" ref="B307"/>
    <hyperlink r:id="rId310" ref="B308"/>
    <hyperlink r:id="rId311" ref="B309"/>
    <hyperlink r:id="rId312" location="home" ref="B310"/>
    <hyperlink r:id="rId313" ref="B311"/>
    <hyperlink r:id="rId314" ref="B312"/>
    <hyperlink r:id="rId315" ref="B313"/>
    <hyperlink r:id="rId316" ref="B314"/>
    <hyperlink r:id="rId317" ref="B315"/>
    <hyperlink r:id="rId318" ref="B316"/>
    <hyperlink r:id="rId319" ref="B317"/>
    <hyperlink r:id="rId320" ref="B318"/>
    <hyperlink r:id="rId321" ref="B319"/>
    <hyperlink r:id="rId322" ref="B320"/>
    <hyperlink r:id="rId323" ref="B321"/>
    <hyperlink r:id="rId324" ref="B322"/>
    <hyperlink r:id="rId325" ref="B323"/>
    <hyperlink r:id="rId326" ref="B324"/>
    <hyperlink r:id="rId327" ref="B325"/>
    <hyperlink r:id="rId328" ref="B326"/>
    <hyperlink r:id="rId329" ref="B327"/>
    <hyperlink r:id="rId330" ref="B328"/>
    <hyperlink r:id="rId331" ref="B329"/>
    <hyperlink r:id="rId332" ref="B330"/>
    <hyperlink r:id="rId333" ref="B331"/>
    <hyperlink r:id="rId334" ref="B332"/>
    <hyperlink r:id="rId335" ref="B333"/>
    <hyperlink r:id="rId336" ref="B334"/>
    <hyperlink r:id="rId337" ref="B335"/>
    <hyperlink r:id="rId338" ref="B336"/>
    <hyperlink r:id="rId339" ref="B337"/>
    <hyperlink r:id="rId340" ref="B338"/>
    <hyperlink r:id="rId341" ref="A339"/>
    <hyperlink r:id="rId342" ref="B339"/>
    <hyperlink r:id="rId343" ref="B340"/>
    <hyperlink r:id="rId344" ref="B341"/>
    <hyperlink r:id="rId345" ref="B342"/>
    <hyperlink r:id="rId346" ref="B343"/>
    <hyperlink r:id="rId347" ref="B344"/>
    <hyperlink r:id="rId348" ref="B345"/>
    <hyperlink r:id="rId349" ref="B346"/>
    <hyperlink r:id="rId350" location="home" ref="B347"/>
    <hyperlink r:id="rId351" ref="B348"/>
    <hyperlink r:id="rId352" ref="B349"/>
    <hyperlink r:id="rId353" ref="B350"/>
    <hyperlink r:id="rId354" ref="B351"/>
    <hyperlink r:id="rId355" ref="B352"/>
    <hyperlink r:id="rId356" ref="B353"/>
    <hyperlink r:id="rId357" ref="B354"/>
    <hyperlink r:id="rId358" ref="B355"/>
    <hyperlink r:id="rId359" ref="B356"/>
    <hyperlink r:id="rId360" ref="B357"/>
    <hyperlink r:id="rId361" ref="B358"/>
    <hyperlink r:id="rId362" ref="B359"/>
    <hyperlink r:id="rId363" ref="A360"/>
    <hyperlink r:id="rId364" ref="B360"/>
    <hyperlink r:id="rId365" ref="B361"/>
    <hyperlink r:id="rId366" ref="B362"/>
    <hyperlink r:id="rId367" ref="B363"/>
    <hyperlink r:id="rId368" ref="B364"/>
    <hyperlink r:id="rId369" ref="B365"/>
    <hyperlink r:id="rId370" ref="B366"/>
    <hyperlink r:id="rId371" ref="B367"/>
    <hyperlink r:id="rId372" ref="B368"/>
    <hyperlink r:id="rId373" ref="B369"/>
    <hyperlink r:id="rId374" ref="B370"/>
    <hyperlink r:id="rId375" ref="B371"/>
    <hyperlink r:id="rId376" ref="B372"/>
    <hyperlink r:id="rId377" ref="B373"/>
    <hyperlink r:id="rId378" ref="B374"/>
    <hyperlink r:id="rId379" ref="B375"/>
    <hyperlink r:id="rId380" ref="B376"/>
    <hyperlink r:id="rId381" ref="B377"/>
    <hyperlink r:id="rId382" ref="B378"/>
    <hyperlink r:id="rId383" ref="B379"/>
    <hyperlink r:id="rId384" ref="B380"/>
    <hyperlink r:id="rId385" ref="B381"/>
    <hyperlink r:id="rId386" ref="B382"/>
    <hyperlink r:id="rId387" ref="B383"/>
    <hyperlink r:id="rId388" ref="B384"/>
    <hyperlink r:id="rId389" ref="B385"/>
    <hyperlink r:id="rId390" ref="B386"/>
    <hyperlink r:id="rId391" ref="B387"/>
    <hyperlink r:id="rId392" ref="B388"/>
    <hyperlink r:id="rId393" ref="B389"/>
    <hyperlink r:id="rId394" ref="B390"/>
    <hyperlink r:id="rId395" ref="B391"/>
    <hyperlink r:id="rId396" ref="B392"/>
    <hyperlink r:id="rId397" ref="B393"/>
    <hyperlink r:id="rId398" ref="B394"/>
    <hyperlink r:id="rId399" ref="B395"/>
    <hyperlink r:id="rId400" ref="B396"/>
    <hyperlink r:id="rId401" ref="B397"/>
    <hyperlink r:id="rId402" ref="B398"/>
    <hyperlink r:id="rId403" ref="B399"/>
    <hyperlink r:id="rId404" ref="B400"/>
    <hyperlink r:id="rId405" ref="B401"/>
    <hyperlink r:id="rId406" ref="B402"/>
    <hyperlink r:id="rId407" ref="B403"/>
    <hyperlink r:id="rId408" ref="B404"/>
    <hyperlink r:id="rId409" ref="B405"/>
    <hyperlink r:id="rId410" ref="B406"/>
    <hyperlink r:id="rId411" ref="B407"/>
    <hyperlink r:id="rId412" ref="B408"/>
    <hyperlink r:id="rId413" ref="B409"/>
    <hyperlink r:id="rId414" ref="B410"/>
    <hyperlink r:id="rId415" ref="B411"/>
    <hyperlink r:id="rId416" ref="B412"/>
    <hyperlink r:id="rId417" ref="B413"/>
    <hyperlink r:id="rId418" ref="B414"/>
    <hyperlink r:id="rId419" ref="B415"/>
    <hyperlink r:id="rId420" ref="B416"/>
    <hyperlink r:id="rId421" ref="B417"/>
    <hyperlink r:id="rId422" ref="B418"/>
    <hyperlink r:id="rId423" ref="B419"/>
    <hyperlink r:id="rId424" ref="B420"/>
    <hyperlink r:id="rId425" ref="B421"/>
    <hyperlink r:id="rId426" ref="A422"/>
    <hyperlink r:id="rId427" ref="B422"/>
    <hyperlink r:id="rId428" ref="B423"/>
    <hyperlink r:id="rId429" ref="B424"/>
    <hyperlink r:id="rId430" ref="B425"/>
    <hyperlink r:id="rId431" ref="B426"/>
    <hyperlink r:id="rId432" ref="B427"/>
    <hyperlink r:id="rId433" ref="B428"/>
    <hyperlink r:id="rId434" ref="B429"/>
    <hyperlink r:id="rId435" ref="B430"/>
    <hyperlink r:id="rId436" ref="B431"/>
    <hyperlink r:id="rId437" ref="B432"/>
    <hyperlink r:id="rId438" ref="B433"/>
    <hyperlink r:id="rId439" ref="B434"/>
    <hyperlink r:id="rId440" ref="B435"/>
    <hyperlink r:id="rId441" ref="B436"/>
    <hyperlink r:id="rId442" ref="B437"/>
    <hyperlink r:id="rId443" ref="B438"/>
    <hyperlink r:id="rId444" ref="B439"/>
    <hyperlink r:id="rId445" ref="B440"/>
    <hyperlink r:id="rId446" ref="B441"/>
    <hyperlink r:id="rId447" ref="B442"/>
    <hyperlink r:id="rId448" ref="B443"/>
    <hyperlink r:id="rId449" ref="B444"/>
    <hyperlink r:id="rId450" ref="B445"/>
    <hyperlink r:id="rId451" ref="B446"/>
    <hyperlink r:id="rId452" ref="B447"/>
    <hyperlink r:id="rId453" ref="B448"/>
    <hyperlink r:id="rId454" ref="B449"/>
    <hyperlink r:id="rId455" ref="B450"/>
    <hyperlink r:id="rId456" ref="B451"/>
    <hyperlink r:id="rId457" ref="B452"/>
    <hyperlink r:id="rId458" ref="B453"/>
    <hyperlink r:id="rId459" ref="B454"/>
    <hyperlink r:id="rId460" ref="B455"/>
    <hyperlink r:id="rId461" ref="B456"/>
    <hyperlink r:id="rId462" ref="A457"/>
    <hyperlink r:id="rId463" ref="B457"/>
    <hyperlink r:id="rId464" ref="B458"/>
    <hyperlink r:id="rId465" ref="B459"/>
    <hyperlink r:id="rId466" ref="B460"/>
    <hyperlink r:id="rId467" ref="B461"/>
    <hyperlink r:id="rId468" ref="B462"/>
    <hyperlink r:id="rId469" ref="B463"/>
    <hyperlink r:id="rId470" ref="B464"/>
    <hyperlink r:id="rId471" ref="B465"/>
    <hyperlink r:id="rId472" ref="B466"/>
    <hyperlink r:id="rId473" ref="B467"/>
    <hyperlink r:id="rId474" ref="B468"/>
    <hyperlink r:id="rId475" ref="B469"/>
    <hyperlink r:id="rId476" ref="B470"/>
    <hyperlink r:id="rId477" ref="B471"/>
    <hyperlink r:id="rId478" ref="B472"/>
    <hyperlink r:id="rId479" ref="B473"/>
    <hyperlink r:id="rId480" ref="B474"/>
    <hyperlink r:id="rId481" ref="B475"/>
    <hyperlink r:id="rId482" ref="B476"/>
    <hyperlink r:id="rId483" ref="B477"/>
    <hyperlink r:id="rId484" ref="B478"/>
    <hyperlink r:id="rId485" ref="B479"/>
    <hyperlink r:id="rId486" ref="B480"/>
    <hyperlink r:id="rId487" ref="B481"/>
    <hyperlink r:id="rId488" ref="B482"/>
    <hyperlink r:id="rId489" ref="B483"/>
    <hyperlink r:id="rId490" ref="B484"/>
    <hyperlink r:id="rId491" ref="B485"/>
    <hyperlink r:id="rId492" ref="B486"/>
    <hyperlink r:id="rId493" ref="B487"/>
    <hyperlink r:id="rId494" ref="B488"/>
    <hyperlink r:id="rId495" ref="B489"/>
    <hyperlink r:id="rId496" ref="B490"/>
    <hyperlink r:id="rId497" ref="B491"/>
    <hyperlink r:id="rId498" ref="B492"/>
    <hyperlink r:id="rId499" ref="B493"/>
    <hyperlink r:id="rId500" ref="B494"/>
    <hyperlink r:id="rId501" ref="B495"/>
    <hyperlink r:id="rId502" ref="B496"/>
    <hyperlink r:id="rId503" ref="B497"/>
    <hyperlink r:id="rId504" ref="A498"/>
    <hyperlink r:id="rId505" ref="B498"/>
    <hyperlink r:id="rId506" ref="B499"/>
    <hyperlink r:id="rId507" ref="B500"/>
    <hyperlink r:id="rId508" ref="B501"/>
    <hyperlink r:id="rId509" ref="B502"/>
    <hyperlink r:id="rId510" ref="B503"/>
    <hyperlink r:id="rId511" ref="B504"/>
    <hyperlink r:id="rId512" ref="B505"/>
    <hyperlink r:id="rId513" ref="B506"/>
    <hyperlink r:id="rId514" ref="B507"/>
    <hyperlink r:id="rId515" ref="A508"/>
    <hyperlink r:id="rId516" ref="B508"/>
    <hyperlink r:id="rId517" ref="B509"/>
    <hyperlink r:id="rId518" ref="B510"/>
    <hyperlink r:id="rId519" ref="B511"/>
    <hyperlink r:id="rId520" ref="B512"/>
    <hyperlink r:id="rId521" ref="B513"/>
    <hyperlink r:id="rId522" ref="B514"/>
    <hyperlink r:id="rId523" ref="B515"/>
    <hyperlink r:id="rId524" ref="B516"/>
    <hyperlink r:id="rId525" ref="B517"/>
    <hyperlink r:id="rId526" ref="B518"/>
    <hyperlink r:id="rId527" ref="B519"/>
    <hyperlink r:id="rId528" ref="B520"/>
    <hyperlink r:id="rId529" ref="B521"/>
    <hyperlink r:id="rId530" ref="B522"/>
    <hyperlink r:id="rId531" ref="B523"/>
    <hyperlink r:id="rId532" ref="B524"/>
    <hyperlink r:id="rId533" ref="B525"/>
    <hyperlink r:id="rId534" ref="B526"/>
    <hyperlink r:id="rId535" ref="B527"/>
    <hyperlink r:id="rId536" ref="B528"/>
    <hyperlink r:id="rId537" ref="B529"/>
    <hyperlink r:id="rId538" ref="B530"/>
    <hyperlink r:id="rId539" ref="B531"/>
    <hyperlink r:id="rId540" ref="B532"/>
    <hyperlink r:id="rId541" ref="B533"/>
    <hyperlink r:id="rId542" ref="B534"/>
    <hyperlink r:id="rId543" ref="B535"/>
    <hyperlink r:id="rId544" ref="B536"/>
    <hyperlink r:id="rId545" ref="B537"/>
    <hyperlink r:id="rId546" ref="B538"/>
    <hyperlink r:id="rId547" ref="B539"/>
    <hyperlink r:id="rId548" ref="B540"/>
    <hyperlink r:id="rId549" ref="B541"/>
    <hyperlink r:id="rId550" ref="B542"/>
    <hyperlink r:id="rId551" ref="B543"/>
    <hyperlink r:id="rId552" ref="B544"/>
    <hyperlink r:id="rId553" ref="B545"/>
    <hyperlink r:id="rId554" ref="B546"/>
    <hyperlink r:id="rId555" ref="B547"/>
    <hyperlink r:id="rId556" ref="B548"/>
    <hyperlink r:id="rId557" ref="B549"/>
    <hyperlink r:id="rId558" ref="B550"/>
    <hyperlink r:id="rId559" ref="B551"/>
    <hyperlink r:id="rId560" ref="B552"/>
    <hyperlink r:id="rId561" ref="B553"/>
    <hyperlink r:id="rId562" ref="B554"/>
    <hyperlink r:id="rId563" ref="B555"/>
    <hyperlink r:id="rId564" ref="B556"/>
    <hyperlink r:id="rId565" ref="B557"/>
    <hyperlink r:id="rId566" ref="B558"/>
    <hyperlink r:id="rId567" ref="B559"/>
    <hyperlink r:id="rId568" ref="B560"/>
    <hyperlink r:id="rId569" ref="B561"/>
    <hyperlink r:id="rId570" ref="B562"/>
  </hyperlinks>
  <drawing r:id="rId57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0.25"/>
  </cols>
  <sheetData>
    <row r="1">
      <c r="A1" s="2" t="s">
        <v>3946</v>
      </c>
      <c r="B1" s="2" t="s">
        <v>12709</v>
      </c>
      <c r="C1" s="2" t="s">
        <v>1269</v>
      </c>
      <c r="D1" s="2" t="s">
        <v>12710</v>
      </c>
      <c r="E1" s="2" t="s">
        <v>3386</v>
      </c>
      <c r="F1" s="2" t="s">
        <v>12711</v>
      </c>
      <c r="G1" s="2" t="s">
        <v>12712</v>
      </c>
      <c r="H1" s="2" t="s">
        <v>12713</v>
      </c>
      <c r="I1" s="2" t="s">
        <v>1268</v>
      </c>
    </row>
    <row r="2">
      <c r="A2" s="2" t="s">
        <v>12714</v>
      </c>
      <c r="B2" s="7" t="s">
        <v>712</v>
      </c>
      <c r="C2" s="2" t="s">
        <v>12715</v>
      </c>
      <c r="D2" s="2" t="s">
        <v>647</v>
      </c>
      <c r="E2" s="2" t="s">
        <v>647</v>
      </c>
      <c r="F2" s="2" t="s">
        <v>647</v>
      </c>
      <c r="G2" s="2" t="s">
        <v>647</v>
      </c>
      <c r="I2" s="2" t="s">
        <v>12716</v>
      </c>
    </row>
    <row r="3">
      <c r="A3" s="2" t="s">
        <v>12717</v>
      </c>
      <c r="B3" s="7" t="s">
        <v>713</v>
      </c>
      <c r="C3" s="2" t="s">
        <v>12718</v>
      </c>
      <c r="D3" s="2" t="s">
        <v>647</v>
      </c>
      <c r="E3" s="2" t="s">
        <v>647</v>
      </c>
      <c r="F3" s="2" t="s">
        <v>647</v>
      </c>
      <c r="G3" s="2" t="s">
        <v>647</v>
      </c>
      <c r="H3" s="2" t="s">
        <v>12719</v>
      </c>
      <c r="I3" s="2" t="s">
        <v>12720</v>
      </c>
    </row>
    <row r="4">
      <c r="A4" s="2" t="s">
        <v>12721</v>
      </c>
      <c r="B4" s="7" t="s">
        <v>714</v>
      </c>
      <c r="C4" s="2" t="s">
        <v>12722</v>
      </c>
      <c r="D4" s="2" t="s">
        <v>647</v>
      </c>
      <c r="E4" s="2" t="s">
        <v>647</v>
      </c>
      <c r="F4" s="2" t="s">
        <v>647</v>
      </c>
      <c r="G4" s="2" t="s">
        <v>647</v>
      </c>
      <c r="H4" s="2" t="s">
        <v>12723</v>
      </c>
      <c r="I4" s="2" t="s">
        <v>12724</v>
      </c>
    </row>
    <row r="5">
      <c r="A5" s="2" t="s">
        <v>12725</v>
      </c>
      <c r="B5" s="7" t="s">
        <v>715</v>
      </c>
      <c r="C5" s="2" t="s">
        <v>12726</v>
      </c>
      <c r="D5" s="2" t="s">
        <v>647</v>
      </c>
      <c r="E5" s="2" t="s">
        <v>647</v>
      </c>
      <c r="F5" s="2" t="s">
        <v>647</v>
      </c>
      <c r="G5" s="2" t="s">
        <v>647</v>
      </c>
      <c r="H5" s="2" t="s">
        <v>12723</v>
      </c>
      <c r="I5" s="2" t="s">
        <v>12727</v>
      </c>
    </row>
    <row r="6">
      <c r="A6" s="2" t="s">
        <v>12728</v>
      </c>
      <c r="B6" s="7" t="s">
        <v>716</v>
      </c>
      <c r="C6" s="2" t="s">
        <v>12729</v>
      </c>
      <c r="D6" s="2" t="s">
        <v>647</v>
      </c>
      <c r="E6" s="2" t="s">
        <v>647</v>
      </c>
      <c r="F6" s="2" t="s">
        <v>647</v>
      </c>
      <c r="G6" s="2" t="s">
        <v>647</v>
      </c>
      <c r="H6" s="2" t="s">
        <v>12719</v>
      </c>
      <c r="I6" s="2" t="s">
        <v>12730</v>
      </c>
    </row>
    <row r="7">
      <c r="A7" s="2" t="s">
        <v>12731</v>
      </c>
      <c r="B7" s="7" t="s">
        <v>717</v>
      </c>
      <c r="C7" s="2" t="s">
        <v>12732</v>
      </c>
      <c r="D7" s="2" t="s">
        <v>647</v>
      </c>
      <c r="E7" s="2" t="s">
        <v>647</v>
      </c>
      <c r="F7" s="2" t="s">
        <v>647</v>
      </c>
      <c r="G7" s="2" t="s">
        <v>647</v>
      </c>
      <c r="H7" s="2" t="s">
        <v>12733</v>
      </c>
      <c r="I7" s="2" t="s">
        <v>12734</v>
      </c>
    </row>
    <row r="8">
      <c r="A8" s="2" t="s">
        <v>12735</v>
      </c>
      <c r="B8" s="7" t="s">
        <v>718</v>
      </c>
      <c r="C8" s="2" t="s">
        <v>12736</v>
      </c>
      <c r="D8" s="2" t="s">
        <v>647</v>
      </c>
      <c r="E8" s="2" t="s">
        <v>647</v>
      </c>
      <c r="F8" s="2" t="s">
        <v>647</v>
      </c>
      <c r="G8" s="2" t="s">
        <v>647</v>
      </c>
      <c r="H8" s="2" t="s">
        <v>12723</v>
      </c>
      <c r="I8" s="2" t="s">
        <v>12737</v>
      </c>
    </row>
    <row r="9">
      <c r="A9" s="2" t="s">
        <v>12738</v>
      </c>
      <c r="B9" s="7" t="s">
        <v>719</v>
      </c>
      <c r="C9" s="2" t="s">
        <v>12739</v>
      </c>
      <c r="D9" s="2" t="s">
        <v>647</v>
      </c>
      <c r="E9" s="2" t="s">
        <v>647</v>
      </c>
      <c r="F9" s="2" t="s">
        <v>647</v>
      </c>
      <c r="G9" s="2" t="s">
        <v>647</v>
      </c>
      <c r="I9" s="2" t="s">
        <v>12740</v>
      </c>
    </row>
    <row r="10">
      <c r="A10" s="2" t="s">
        <v>12741</v>
      </c>
      <c r="B10" s="7" t="s">
        <v>720</v>
      </c>
      <c r="C10" s="2" t="s">
        <v>12742</v>
      </c>
      <c r="D10" s="2" t="s">
        <v>647</v>
      </c>
      <c r="E10" s="2" t="s">
        <v>647</v>
      </c>
      <c r="F10" s="2" t="s">
        <v>647</v>
      </c>
      <c r="G10" s="2" t="s">
        <v>647</v>
      </c>
      <c r="H10" s="2" t="s">
        <v>12719</v>
      </c>
      <c r="I10" s="2" t="s">
        <v>12743</v>
      </c>
    </row>
    <row r="11">
      <c r="A11" s="2" t="s">
        <v>12744</v>
      </c>
      <c r="B11" s="7" t="s">
        <v>721</v>
      </c>
      <c r="C11" s="2" t="s">
        <v>12745</v>
      </c>
      <c r="D11" s="2" t="s">
        <v>647</v>
      </c>
      <c r="E11" s="2" t="s">
        <v>647</v>
      </c>
      <c r="F11" s="2" t="s">
        <v>647</v>
      </c>
      <c r="G11" s="2" t="s">
        <v>647</v>
      </c>
      <c r="H11" s="2" t="s">
        <v>12733</v>
      </c>
      <c r="I11" s="2" t="s">
        <v>12746</v>
      </c>
    </row>
    <row r="12">
      <c r="A12" s="2" t="s">
        <v>12747</v>
      </c>
      <c r="B12" s="7" t="s">
        <v>722</v>
      </c>
      <c r="C12" s="2" t="s">
        <v>12748</v>
      </c>
      <c r="D12" s="2" t="s">
        <v>647</v>
      </c>
      <c r="E12" s="2" t="s">
        <v>647</v>
      </c>
      <c r="F12" s="2" t="s">
        <v>647</v>
      </c>
      <c r="G12" s="2" t="s">
        <v>647</v>
      </c>
      <c r="H12" s="2" t="s">
        <v>12723</v>
      </c>
      <c r="I12" s="2" t="s">
        <v>12749</v>
      </c>
    </row>
    <row r="13">
      <c r="A13" s="2" t="s">
        <v>12750</v>
      </c>
      <c r="B13" s="7" t="s">
        <v>723</v>
      </c>
      <c r="C13" s="2" t="s">
        <v>12751</v>
      </c>
      <c r="D13" s="2" t="s">
        <v>647</v>
      </c>
      <c r="E13" s="2" t="s">
        <v>647</v>
      </c>
      <c r="F13" s="2" t="s">
        <v>647</v>
      </c>
      <c r="G13" s="2" t="s">
        <v>647</v>
      </c>
      <c r="H13" s="2" t="s">
        <v>12723</v>
      </c>
      <c r="I13" s="2" t="s">
        <v>12752</v>
      </c>
    </row>
    <row r="14">
      <c r="A14" s="2" t="s">
        <v>12753</v>
      </c>
      <c r="B14" s="7" t="s">
        <v>724</v>
      </c>
      <c r="C14" s="2" t="s">
        <v>12754</v>
      </c>
      <c r="D14" s="2" t="s">
        <v>647</v>
      </c>
      <c r="E14" s="2" t="s">
        <v>647</v>
      </c>
      <c r="F14" s="2" t="s">
        <v>647</v>
      </c>
      <c r="G14" s="2" t="s">
        <v>647</v>
      </c>
      <c r="H14" s="2" t="s">
        <v>12723</v>
      </c>
      <c r="I14" s="2" t="s">
        <v>12755</v>
      </c>
    </row>
    <row r="15">
      <c r="A15" s="2" t="s">
        <v>12756</v>
      </c>
      <c r="B15" s="7" t="s">
        <v>725</v>
      </c>
      <c r="C15" s="2" t="s">
        <v>12757</v>
      </c>
      <c r="D15" s="2" t="s">
        <v>647</v>
      </c>
      <c r="E15" s="2" t="s">
        <v>647</v>
      </c>
      <c r="F15" s="2" t="s">
        <v>647</v>
      </c>
      <c r="G15" s="2" t="s">
        <v>647</v>
      </c>
      <c r="I15" s="2" t="s">
        <v>12758</v>
      </c>
    </row>
    <row r="16">
      <c r="A16" s="2" t="s">
        <v>12759</v>
      </c>
      <c r="B16" s="7" t="s">
        <v>726</v>
      </c>
      <c r="C16" s="2" t="s">
        <v>12760</v>
      </c>
      <c r="D16" s="2" t="s">
        <v>647</v>
      </c>
      <c r="E16" s="2" t="s">
        <v>647</v>
      </c>
      <c r="F16" s="2" t="s">
        <v>647</v>
      </c>
      <c r="G16" s="2" t="s">
        <v>647</v>
      </c>
      <c r="H16" s="2" t="s">
        <v>647</v>
      </c>
      <c r="I16" s="2" t="s">
        <v>12761</v>
      </c>
    </row>
    <row r="17">
      <c r="A17" s="2" t="s">
        <v>12762</v>
      </c>
      <c r="B17" s="7" t="s">
        <v>727</v>
      </c>
      <c r="C17" s="2" t="s">
        <v>12763</v>
      </c>
      <c r="D17" s="2" t="s">
        <v>647</v>
      </c>
      <c r="E17" s="2" t="s">
        <v>647</v>
      </c>
      <c r="F17" s="2" t="s">
        <v>647</v>
      </c>
      <c r="G17" s="2" t="s">
        <v>647</v>
      </c>
      <c r="H17" s="2" t="s">
        <v>12723</v>
      </c>
      <c r="I17" s="2" t="s">
        <v>12764</v>
      </c>
    </row>
    <row r="18">
      <c r="A18" s="2" t="s">
        <v>12765</v>
      </c>
      <c r="B18" s="7" t="s">
        <v>728</v>
      </c>
      <c r="C18" s="2" t="s">
        <v>12766</v>
      </c>
      <c r="D18" s="2" t="s">
        <v>647</v>
      </c>
      <c r="E18" s="2" t="s">
        <v>647</v>
      </c>
      <c r="F18" s="2" t="s">
        <v>647</v>
      </c>
      <c r="G18" s="2" t="s">
        <v>647</v>
      </c>
      <c r="H18" s="2" t="s">
        <v>12723</v>
      </c>
      <c r="I18" s="2" t="s">
        <v>12767</v>
      </c>
    </row>
    <row r="19">
      <c r="A19" s="2" t="s">
        <v>12768</v>
      </c>
      <c r="B19" s="7" t="s">
        <v>729</v>
      </c>
      <c r="C19" s="2" t="s">
        <v>12769</v>
      </c>
      <c r="D19" s="2" t="s">
        <v>647</v>
      </c>
      <c r="E19" s="2" t="s">
        <v>647</v>
      </c>
      <c r="F19" s="2" t="s">
        <v>647</v>
      </c>
      <c r="G19" s="2" t="s">
        <v>647</v>
      </c>
      <c r="H19" s="2" t="s">
        <v>12723</v>
      </c>
      <c r="I19" s="2" t="s">
        <v>12770</v>
      </c>
    </row>
    <row r="20">
      <c r="A20" s="2" t="s">
        <v>12771</v>
      </c>
      <c r="B20" s="7" t="s">
        <v>730</v>
      </c>
      <c r="C20" s="2" t="s">
        <v>12772</v>
      </c>
      <c r="D20" s="2" t="s">
        <v>647</v>
      </c>
      <c r="E20" s="2" t="s">
        <v>647</v>
      </c>
      <c r="F20" s="2" t="s">
        <v>647</v>
      </c>
      <c r="G20" s="2" t="s">
        <v>647</v>
      </c>
      <c r="H20" s="2" t="s">
        <v>12733</v>
      </c>
      <c r="I20" s="2" t="s">
        <v>12773</v>
      </c>
    </row>
    <row r="21">
      <c r="A21" s="2" t="s">
        <v>12774</v>
      </c>
      <c r="B21" s="7" t="s">
        <v>731</v>
      </c>
      <c r="C21" s="2" t="s">
        <v>12775</v>
      </c>
      <c r="D21" s="2" t="s">
        <v>647</v>
      </c>
      <c r="E21" s="2" t="s">
        <v>647</v>
      </c>
      <c r="F21" s="2" t="s">
        <v>647</v>
      </c>
      <c r="G21" s="2" t="s">
        <v>647</v>
      </c>
      <c r="H21" s="2" t="s">
        <v>12719</v>
      </c>
      <c r="I21" s="2" t="s">
        <v>12776</v>
      </c>
    </row>
    <row r="22">
      <c r="A22" s="2" t="s">
        <v>12777</v>
      </c>
      <c r="B22" s="7" t="s">
        <v>732</v>
      </c>
      <c r="C22" s="2" t="s">
        <v>12778</v>
      </c>
      <c r="D22" s="2" t="s">
        <v>647</v>
      </c>
      <c r="E22" s="2" t="s">
        <v>647</v>
      </c>
      <c r="F22" s="2" t="s">
        <v>647</v>
      </c>
      <c r="G22" s="2" t="s">
        <v>647</v>
      </c>
      <c r="H22" s="2" t="s">
        <v>12723</v>
      </c>
      <c r="I22" s="2" t="s">
        <v>12779</v>
      </c>
    </row>
    <row r="23">
      <c r="A23" s="2" t="s">
        <v>12780</v>
      </c>
      <c r="B23" s="7" t="s">
        <v>733</v>
      </c>
      <c r="C23" s="2" t="s">
        <v>12781</v>
      </c>
      <c r="D23" s="2" t="s">
        <v>647</v>
      </c>
      <c r="E23" s="2" t="s">
        <v>647</v>
      </c>
      <c r="F23" s="2" t="s">
        <v>647</v>
      </c>
      <c r="G23" s="2" t="s">
        <v>647</v>
      </c>
      <c r="I23" s="2" t="s">
        <v>12782</v>
      </c>
    </row>
    <row r="24">
      <c r="A24" s="2" t="s">
        <v>12783</v>
      </c>
      <c r="B24" s="7" t="s">
        <v>734</v>
      </c>
      <c r="C24" s="2" t="s">
        <v>12784</v>
      </c>
      <c r="D24" s="2" t="s">
        <v>647</v>
      </c>
      <c r="E24" s="2" t="s">
        <v>647</v>
      </c>
      <c r="F24" s="2" t="s">
        <v>647</v>
      </c>
      <c r="G24" s="2" t="s">
        <v>647</v>
      </c>
      <c r="H24" s="2" t="s">
        <v>12723</v>
      </c>
      <c r="I24" s="2" t="s">
        <v>12785</v>
      </c>
    </row>
    <row r="25">
      <c r="A25" s="2" t="s">
        <v>12786</v>
      </c>
      <c r="B25" s="7" t="s">
        <v>735</v>
      </c>
      <c r="C25" s="2" t="s">
        <v>12787</v>
      </c>
      <c r="D25" s="2" t="s">
        <v>647</v>
      </c>
      <c r="E25" s="2" t="s">
        <v>647</v>
      </c>
      <c r="F25" s="2" t="s">
        <v>647</v>
      </c>
      <c r="G25" s="2" t="s">
        <v>647</v>
      </c>
      <c r="H25" s="2" t="s">
        <v>12723</v>
      </c>
      <c r="I25" s="2" t="s">
        <v>12788</v>
      </c>
    </row>
    <row r="26">
      <c r="A26" s="2" t="s">
        <v>12789</v>
      </c>
      <c r="B26" s="7" t="s">
        <v>736</v>
      </c>
      <c r="C26" s="2" t="s">
        <v>12790</v>
      </c>
      <c r="D26" s="2" t="s">
        <v>647</v>
      </c>
      <c r="E26" s="2" t="s">
        <v>647</v>
      </c>
      <c r="F26" s="2" t="s">
        <v>647</v>
      </c>
      <c r="G26" s="2" t="s">
        <v>647</v>
      </c>
      <c r="H26" s="2" t="s">
        <v>12723</v>
      </c>
      <c r="I26" s="2" t="s">
        <v>12791</v>
      </c>
    </row>
    <row r="27">
      <c r="A27" s="2" t="s">
        <v>12792</v>
      </c>
      <c r="B27" s="7" t="s">
        <v>737</v>
      </c>
      <c r="C27" s="2" t="s">
        <v>12793</v>
      </c>
      <c r="D27" s="2" t="s">
        <v>647</v>
      </c>
      <c r="E27" s="2" t="s">
        <v>647</v>
      </c>
      <c r="F27" s="2" t="s">
        <v>647</v>
      </c>
      <c r="G27" s="2" t="s">
        <v>647</v>
      </c>
      <c r="H27" s="2" t="s">
        <v>12723</v>
      </c>
      <c r="I27" s="2" t="s">
        <v>12794</v>
      </c>
    </row>
    <row r="28">
      <c r="A28" s="2" t="s">
        <v>12795</v>
      </c>
      <c r="B28" s="7" t="s">
        <v>738</v>
      </c>
      <c r="C28" s="2" t="s">
        <v>12796</v>
      </c>
      <c r="D28" s="2" t="s">
        <v>647</v>
      </c>
      <c r="E28" s="2" t="s">
        <v>647</v>
      </c>
      <c r="F28" s="2" t="s">
        <v>647</v>
      </c>
      <c r="G28" s="2" t="s">
        <v>647</v>
      </c>
      <c r="H28" s="2" t="s">
        <v>12723</v>
      </c>
      <c r="I28" s="2" t="s">
        <v>12797</v>
      </c>
    </row>
    <row r="29">
      <c r="A29" s="2" t="s">
        <v>12798</v>
      </c>
      <c r="B29" s="7" t="s">
        <v>739</v>
      </c>
      <c r="C29" s="2" t="s">
        <v>12799</v>
      </c>
      <c r="D29" s="2" t="s">
        <v>647</v>
      </c>
      <c r="E29" s="2" t="s">
        <v>647</v>
      </c>
      <c r="F29" s="2" t="s">
        <v>647</v>
      </c>
      <c r="G29" s="2" t="s">
        <v>647</v>
      </c>
      <c r="I29" s="2" t="s">
        <v>12800</v>
      </c>
    </row>
    <row r="30">
      <c r="A30" s="2" t="s">
        <v>12801</v>
      </c>
      <c r="B30" s="7" t="s">
        <v>740</v>
      </c>
      <c r="C30" s="2" t="s">
        <v>12802</v>
      </c>
      <c r="D30" s="2" t="s">
        <v>647</v>
      </c>
      <c r="E30" s="2" t="s">
        <v>647</v>
      </c>
      <c r="F30" s="2" t="s">
        <v>647</v>
      </c>
      <c r="G30" s="2" t="s">
        <v>647</v>
      </c>
      <c r="H30" s="2" t="s">
        <v>12719</v>
      </c>
      <c r="I30" s="2" t="s">
        <v>12803</v>
      </c>
    </row>
    <row r="31">
      <c r="A31" s="2" t="s">
        <v>12804</v>
      </c>
      <c r="B31" s="7" t="s">
        <v>741</v>
      </c>
      <c r="C31" s="2" t="s">
        <v>12805</v>
      </c>
      <c r="D31" s="2" t="s">
        <v>647</v>
      </c>
      <c r="E31" s="2" t="s">
        <v>647</v>
      </c>
      <c r="F31" s="2" t="s">
        <v>647</v>
      </c>
      <c r="G31" s="2" t="s">
        <v>647</v>
      </c>
      <c r="I31" s="2" t="s">
        <v>12806</v>
      </c>
    </row>
    <row r="32">
      <c r="A32" s="2" t="s">
        <v>12807</v>
      </c>
      <c r="B32" s="7" t="s">
        <v>742</v>
      </c>
      <c r="C32" s="2" t="s">
        <v>12808</v>
      </c>
      <c r="D32" s="2" t="s">
        <v>647</v>
      </c>
      <c r="E32" s="2" t="s">
        <v>647</v>
      </c>
      <c r="F32" s="2" t="s">
        <v>647</v>
      </c>
      <c r="G32" s="2" t="s">
        <v>647</v>
      </c>
      <c r="I32" s="2" t="s">
        <v>12809</v>
      </c>
    </row>
    <row r="33">
      <c r="A33" s="2" t="s">
        <v>12810</v>
      </c>
      <c r="B33" s="7" t="s">
        <v>743</v>
      </c>
      <c r="C33" s="2" t="s">
        <v>12811</v>
      </c>
      <c r="D33" s="2" t="s">
        <v>647</v>
      </c>
      <c r="E33" s="2" t="s">
        <v>647</v>
      </c>
      <c r="F33" s="2" t="s">
        <v>647</v>
      </c>
      <c r="G33" s="2" t="s">
        <v>647</v>
      </c>
      <c r="H33" s="2" t="s">
        <v>12723</v>
      </c>
      <c r="I33" s="2" t="s">
        <v>12812</v>
      </c>
    </row>
    <row r="34">
      <c r="A34" s="2" t="s">
        <v>12813</v>
      </c>
      <c r="B34" s="7" t="s">
        <v>744</v>
      </c>
      <c r="C34" s="2" t="s">
        <v>12814</v>
      </c>
      <c r="D34" s="2" t="s">
        <v>647</v>
      </c>
      <c r="E34" s="2" t="s">
        <v>647</v>
      </c>
      <c r="F34" s="2" t="s">
        <v>647</v>
      </c>
      <c r="G34" s="2" t="s">
        <v>647</v>
      </c>
      <c r="I34" s="2" t="s">
        <v>12815</v>
      </c>
    </row>
    <row r="35">
      <c r="A35" s="2" t="s">
        <v>12816</v>
      </c>
      <c r="B35" s="7" t="s">
        <v>745</v>
      </c>
      <c r="C35" s="2" t="s">
        <v>12817</v>
      </c>
      <c r="D35" s="2" t="s">
        <v>647</v>
      </c>
      <c r="E35" s="2" t="s">
        <v>647</v>
      </c>
      <c r="F35" s="2" t="s">
        <v>647</v>
      </c>
      <c r="G35" s="2" t="s">
        <v>647</v>
      </c>
      <c r="H35" s="2" t="s">
        <v>12719</v>
      </c>
      <c r="I35" s="2" t="s">
        <v>12818</v>
      </c>
    </row>
    <row r="36">
      <c r="A36" s="2" t="s">
        <v>12819</v>
      </c>
      <c r="B36" s="7" t="s">
        <v>746</v>
      </c>
      <c r="C36" s="2" t="s">
        <v>12820</v>
      </c>
      <c r="D36" s="2" t="s">
        <v>647</v>
      </c>
      <c r="E36" s="2" t="s">
        <v>647</v>
      </c>
      <c r="F36" s="2" t="s">
        <v>647</v>
      </c>
      <c r="G36" s="2" t="s">
        <v>647</v>
      </c>
      <c r="I36" s="2" t="s">
        <v>12821</v>
      </c>
    </row>
    <row r="37">
      <c r="A37" s="2" t="s">
        <v>12822</v>
      </c>
      <c r="B37" s="7" t="s">
        <v>747</v>
      </c>
      <c r="C37" s="2" t="s">
        <v>12823</v>
      </c>
      <c r="D37" s="2" t="s">
        <v>647</v>
      </c>
      <c r="E37" s="2" t="s">
        <v>647</v>
      </c>
      <c r="F37" s="2" t="s">
        <v>647</v>
      </c>
      <c r="G37" s="2" t="s">
        <v>647</v>
      </c>
      <c r="H37" s="2" t="s">
        <v>12719</v>
      </c>
      <c r="I37" s="2" t="s">
        <v>12824</v>
      </c>
    </row>
    <row r="38">
      <c r="A38" s="2" t="s">
        <v>12825</v>
      </c>
      <c r="B38" s="7" t="s">
        <v>748</v>
      </c>
      <c r="C38" s="2" t="s">
        <v>12826</v>
      </c>
      <c r="D38" s="2" t="s">
        <v>647</v>
      </c>
      <c r="E38" s="2" t="s">
        <v>647</v>
      </c>
      <c r="F38" s="2" t="s">
        <v>647</v>
      </c>
      <c r="G38" s="2" t="s">
        <v>647</v>
      </c>
      <c r="H38" s="2" t="s">
        <v>12723</v>
      </c>
      <c r="I38" s="2" t="s">
        <v>12827</v>
      </c>
    </row>
    <row r="39">
      <c r="A39" s="2" t="s">
        <v>12828</v>
      </c>
      <c r="B39" s="7" t="s">
        <v>749</v>
      </c>
      <c r="C39" s="2" t="s">
        <v>12829</v>
      </c>
      <c r="D39" s="2" t="s">
        <v>647</v>
      </c>
      <c r="E39" s="2" t="s">
        <v>647</v>
      </c>
      <c r="F39" s="2" t="s">
        <v>647</v>
      </c>
      <c r="G39" s="2" t="s">
        <v>647</v>
      </c>
      <c r="H39" s="2" t="s">
        <v>647</v>
      </c>
      <c r="I39" s="2" t="s">
        <v>12830</v>
      </c>
    </row>
    <row r="40">
      <c r="A40" s="2" t="s">
        <v>12831</v>
      </c>
      <c r="B40" s="7" t="s">
        <v>750</v>
      </c>
      <c r="C40" s="2" t="s">
        <v>12832</v>
      </c>
      <c r="D40" s="2" t="s">
        <v>647</v>
      </c>
      <c r="E40" s="2" t="s">
        <v>647</v>
      </c>
      <c r="F40" s="2" t="s">
        <v>647</v>
      </c>
      <c r="G40" s="2" t="s">
        <v>647</v>
      </c>
      <c r="H40" s="2" t="s">
        <v>12719</v>
      </c>
      <c r="I40" s="2" t="s">
        <v>12833</v>
      </c>
    </row>
    <row r="41">
      <c r="A41" s="2" t="s">
        <v>12834</v>
      </c>
      <c r="B41" s="7" t="s">
        <v>751</v>
      </c>
      <c r="C41" s="2" t="s">
        <v>12835</v>
      </c>
      <c r="D41" s="2" t="s">
        <v>647</v>
      </c>
      <c r="E41" s="2" t="s">
        <v>647</v>
      </c>
      <c r="F41" s="2" t="s">
        <v>647</v>
      </c>
      <c r="G41" s="2" t="s">
        <v>647</v>
      </c>
      <c r="H41" s="2" t="s">
        <v>12719</v>
      </c>
      <c r="I41" s="2" t="s">
        <v>12836</v>
      </c>
    </row>
    <row r="42">
      <c r="A42" s="2" t="s">
        <v>3997</v>
      </c>
      <c r="B42" s="7" t="s">
        <v>752</v>
      </c>
      <c r="C42" s="2" t="s">
        <v>12733</v>
      </c>
      <c r="D42" s="2" t="s">
        <v>647</v>
      </c>
      <c r="E42" s="2" t="s">
        <v>647</v>
      </c>
      <c r="F42" s="2" t="s">
        <v>647</v>
      </c>
      <c r="G42" s="2" t="s">
        <v>647</v>
      </c>
    </row>
    <row r="43">
      <c r="A43" s="2" t="s">
        <v>12837</v>
      </c>
      <c r="B43" s="7" t="s">
        <v>753</v>
      </c>
      <c r="C43" s="2" t="s">
        <v>12838</v>
      </c>
      <c r="D43" s="2" t="s">
        <v>647</v>
      </c>
      <c r="E43" s="2" t="s">
        <v>647</v>
      </c>
      <c r="F43" s="2" t="s">
        <v>647</v>
      </c>
      <c r="G43" s="2" t="s">
        <v>647</v>
      </c>
      <c r="H43" s="2" t="s">
        <v>12719</v>
      </c>
      <c r="I43" s="2" t="s">
        <v>12839</v>
      </c>
    </row>
    <row r="44">
      <c r="A44" s="2" t="s">
        <v>12840</v>
      </c>
      <c r="B44" s="7" t="s">
        <v>754</v>
      </c>
      <c r="C44" s="2" t="s">
        <v>12841</v>
      </c>
      <c r="D44" s="2" t="s">
        <v>647</v>
      </c>
      <c r="E44" s="2" t="s">
        <v>647</v>
      </c>
      <c r="F44" s="2" t="s">
        <v>647</v>
      </c>
      <c r="G44" s="2" t="s">
        <v>647</v>
      </c>
      <c r="H44" s="2" t="s">
        <v>12723</v>
      </c>
      <c r="I44" s="2" t="s">
        <v>12842</v>
      </c>
    </row>
    <row r="45">
      <c r="A45" s="2" t="s">
        <v>12843</v>
      </c>
      <c r="B45" s="7" t="s">
        <v>755</v>
      </c>
      <c r="C45" s="2" t="s">
        <v>12844</v>
      </c>
      <c r="D45" s="2" t="s">
        <v>647</v>
      </c>
      <c r="E45" s="2" t="s">
        <v>647</v>
      </c>
      <c r="F45" s="2" t="s">
        <v>647</v>
      </c>
      <c r="G45" s="2" t="s">
        <v>647</v>
      </c>
      <c r="H45" s="2" t="s">
        <v>12719</v>
      </c>
      <c r="I45" s="2" t="s">
        <v>12845</v>
      </c>
    </row>
    <row r="46">
      <c r="A46" s="2" t="s">
        <v>12846</v>
      </c>
      <c r="B46" s="7" t="s">
        <v>756</v>
      </c>
      <c r="C46" s="2" t="s">
        <v>12733</v>
      </c>
      <c r="D46" s="2" t="s">
        <v>647</v>
      </c>
      <c r="E46" s="2" t="s">
        <v>647</v>
      </c>
      <c r="F46" s="2" t="s">
        <v>647</v>
      </c>
      <c r="G46" s="2" t="s">
        <v>647</v>
      </c>
      <c r="H46" s="2" t="s">
        <v>12733</v>
      </c>
      <c r="I46" s="2" t="s">
        <v>12847</v>
      </c>
    </row>
    <row r="47">
      <c r="A47" s="2" t="s">
        <v>12848</v>
      </c>
      <c r="B47" s="7" t="s">
        <v>757</v>
      </c>
      <c r="C47" s="2" t="s">
        <v>12849</v>
      </c>
      <c r="D47" s="2" t="s">
        <v>647</v>
      </c>
      <c r="E47" s="2" t="s">
        <v>647</v>
      </c>
      <c r="F47" s="2" t="s">
        <v>647</v>
      </c>
      <c r="G47" s="2" t="s">
        <v>647</v>
      </c>
      <c r="H47" s="2" t="s">
        <v>12723</v>
      </c>
      <c r="I47" s="2" t="s">
        <v>12850</v>
      </c>
    </row>
    <row r="48">
      <c r="A48" s="2" t="s">
        <v>12851</v>
      </c>
      <c r="B48" s="7" t="s">
        <v>758</v>
      </c>
      <c r="C48" s="2" t="s">
        <v>12852</v>
      </c>
      <c r="D48" s="2" t="s">
        <v>647</v>
      </c>
      <c r="E48" s="2" t="s">
        <v>647</v>
      </c>
      <c r="F48" s="2" t="s">
        <v>647</v>
      </c>
      <c r="G48" s="2" t="s">
        <v>647</v>
      </c>
      <c r="H48" s="2" t="s">
        <v>12719</v>
      </c>
      <c r="I48" s="2" t="s">
        <v>12853</v>
      </c>
    </row>
    <row r="49">
      <c r="A49" s="2" t="s">
        <v>12854</v>
      </c>
      <c r="B49" s="7" t="s">
        <v>759</v>
      </c>
      <c r="C49" s="2" t="s">
        <v>12855</v>
      </c>
      <c r="D49" s="2" t="s">
        <v>647</v>
      </c>
      <c r="E49" s="2" t="s">
        <v>647</v>
      </c>
      <c r="F49" s="2" t="s">
        <v>647</v>
      </c>
      <c r="G49" s="2" t="s">
        <v>647</v>
      </c>
      <c r="H49" s="2" t="s">
        <v>12723</v>
      </c>
      <c r="I49" s="2" t="s">
        <v>12856</v>
      </c>
    </row>
    <row r="50">
      <c r="A50" s="2" t="s">
        <v>12857</v>
      </c>
      <c r="B50" s="7" t="s">
        <v>760</v>
      </c>
      <c r="C50" s="2" t="s">
        <v>12858</v>
      </c>
      <c r="D50" s="2" t="s">
        <v>647</v>
      </c>
      <c r="E50" s="2" t="s">
        <v>647</v>
      </c>
      <c r="F50" s="2" t="s">
        <v>647</v>
      </c>
      <c r="G50" s="2" t="s">
        <v>647</v>
      </c>
      <c r="H50" s="2" t="s">
        <v>12723</v>
      </c>
      <c r="I50" s="2" t="s">
        <v>12859</v>
      </c>
    </row>
    <row r="51">
      <c r="A51" s="2" t="s">
        <v>12860</v>
      </c>
      <c r="B51" s="7" t="s">
        <v>761</v>
      </c>
      <c r="C51" s="2" t="s">
        <v>12861</v>
      </c>
      <c r="D51" s="2" t="s">
        <v>647</v>
      </c>
      <c r="E51" s="2" t="s">
        <v>647</v>
      </c>
      <c r="F51" s="2" t="s">
        <v>647</v>
      </c>
      <c r="G51" s="2" t="s">
        <v>647</v>
      </c>
      <c r="H51" s="2" t="s">
        <v>12723</v>
      </c>
      <c r="I51" s="2" t="s">
        <v>12862</v>
      </c>
    </row>
    <row r="52">
      <c r="A52" s="2" t="s">
        <v>12863</v>
      </c>
      <c r="B52" s="7" t="s">
        <v>762</v>
      </c>
      <c r="C52" s="2" t="s">
        <v>12864</v>
      </c>
      <c r="D52" s="2" t="s">
        <v>647</v>
      </c>
      <c r="E52" s="2" t="s">
        <v>647</v>
      </c>
      <c r="F52" s="2" t="s">
        <v>647</v>
      </c>
      <c r="G52" s="2" t="s">
        <v>647</v>
      </c>
      <c r="I52" s="2" t="s">
        <v>12865</v>
      </c>
    </row>
    <row r="53">
      <c r="A53" s="2" t="s">
        <v>12866</v>
      </c>
      <c r="B53" s="7" t="s">
        <v>763</v>
      </c>
      <c r="C53" s="2" t="s">
        <v>12867</v>
      </c>
      <c r="D53" s="2" t="s">
        <v>647</v>
      </c>
      <c r="E53" s="2" t="s">
        <v>647</v>
      </c>
      <c r="F53" s="2" t="s">
        <v>647</v>
      </c>
      <c r="G53" s="2" t="s">
        <v>647</v>
      </c>
      <c r="H53" s="2" t="s">
        <v>12733</v>
      </c>
      <c r="I53" s="2" t="s">
        <v>12868</v>
      </c>
    </row>
    <row r="54">
      <c r="A54" s="2" t="s">
        <v>12869</v>
      </c>
      <c r="B54" s="7" t="s">
        <v>764</v>
      </c>
      <c r="C54" s="2" t="s">
        <v>12870</v>
      </c>
      <c r="D54" s="2" t="s">
        <v>647</v>
      </c>
      <c r="E54" s="2" t="s">
        <v>647</v>
      </c>
      <c r="F54" s="2" t="s">
        <v>647</v>
      </c>
      <c r="G54" s="2" t="s">
        <v>647</v>
      </c>
      <c r="H54" s="2" t="s">
        <v>12723</v>
      </c>
      <c r="I54" s="2" t="s">
        <v>12871</v>
      </c>
    </row>
    <row r="55">
      <c r="A55" s="2" t="s">
        <v>12872</v>
      </c>
      <c r="B55" s="7" t="s">
        <v>765</v>
      </c>
      <c r="C55" s="2" t="s">
        <v>12873</v>
      </c>
      <c r="D55" s="2" t="s">
        <v>647</v>
      </c>
      <c r="E55" s="2" t="s">
        <v>647</v>
      </c>
      <c r="F55" s="2" t="s">
        <v>647</v>
      </c>
      <c r="G55" s="2" t="s">
        <v>647</v>
      </c>
      <c r="H55" s="2" t="s">
        <v>12723</v>
      </c>
      <c r="I55" s="2" t="s">
        <v>12874</v>
      </c>
    </row>
    <row r="56">
      <c r="A56" s="2" t="s">
        <v>12875</v>
      </c>
      <c r="B56" s="7" t="s">
        <v>766</v>
      </c>
      <c r="C56" s="2" t="s">
        <v>12876</v>
      </c>
      <c r="D56" s="2" t="s">
        <v>647</v>
      </c>
      <c r="E56" s="2" t="s">
        <v>647</v>
      </c>
      <c r="F56" s="2" t="s">
        <v>647</v>
      </c>
      <c r="G56" s="2" t="s">
        <v>647</v>
      </c>
      <c r="I56" s="2" t="s">
        <v>12877</v>
      </c>
    </row>
    <row r="57">
      <c r="A57" s="2" t="s">
        <v>12878</v>
      </c>
      <c r="B57" s="7" t="s">
        <v>767</v>
      </c>
      <c r="C57" s="2" t="s">
        <v>12879</v>
      </c>
      <c r="D57" s="2" t="s">
        <v>647</v>
      </c>
      <c r="E57" s="2" t="s">
        <v>647</v>
      </c>
      <c r="F57" s="2" t="s">
        <v>647</v>
      </c>
      <c r="G57" s="2" t="s">
        <v>647</v>
      </c>
      <c r="H57" s="2" t="s">
        <v>12723</v>
      </c>
      <c r="I57" s="2" t="s">
        <v>12880</v>
      </c>
    </row>
    <row r="58">
      <c r="A58" s="2" t="s">
        <v>12881</v>
      </c>
      <c r="B58" s="7" t="s">
        <v>768</v>
      </c>
      <c r="C58" s="2" t="s">
        <v>12882</v>
      </c>
      <c r="D58" s="2" t="s">
        <v>647</v>
      </c>
      <c r="E58" s="2" t="s">
        <v>647</v>
      </c>
      <c r="F58" s="2" t="s">
        <v>647</v>
      </c>
      <c r="G58" s="2" t="s">
        <v>647</v>
      </c>
      <c r="H58" s="2" t="s">
        <v>647</v>
      </c>
      <c r="I58" s="2" t="s">
        <v>12883</v>
      </c>
    </row>
    <row r="59">
      <c r="A59" s="2" t="s">
        <v>12884</v>
      </c>
      <c r="B59" s="7" t="s">
        <v>769</v>
      </c>
      <c r="C59" s="2" t="s">
        <v>12885</v>
      </c>
      <c r="D59" s="2" t="s">
        <v>647</v>
      </c>
      <c r="E59" s="2" t="s">
        <v>647</v>
      </c>
      <c r="F59" s="2" t="s">
        <v>647</v>
      </c>
      <c r="G59" s="2" t="s">
        <v>647</v>
      </c>
      <c r="I59" s="2" t="s">
        <v>12886</v>
      </c>
    </row>
    <row r="60">
      <c r="A60" s="2" t="s">
        <v>12887</v>
      </c>
      <c r="B60" s="7" t="s">
        <v>770</v>
      </c>
      <c r="C60" s="2" t="s">
        <v>12888</v>
      </c>
      <c r="D60" s="2" t="s">
        <v>647</v>
      </c>
      <c r="E60" s="2" t="s">
        <v>647</v>
      </c>
      <c r="F60" s="2" t="s">
        <v>647</v>
      </c>
      <c r="G60" s="2" t="s">
        <v>647</v>
      </c>
      <c r="H60" s="2" t="s">
        <v>12733</v>
      </c>
      <c r="I60" s="2" t="s">
        <v>12889</v>
      </c>
    </row>
    <row r="61">
      <c r="A61" s="2" t="s">
        <v>12890</v>
      </c>
      <c r="B61" s="7" t="s">
        <v>771</v>
      </c>
      <c r="C61" s="2" t="s">
        <v>12891</v>
      </c>
      <c r="D61" s="2" t="s">
        <v>647</v>
      </c>
      <c r="E61" s="2" t="s">
        <v>647</v>
      </c>
      <c r="F61" s="2" t="s">
        <v>647</v>
      </c>
      <c r="G61" s="2" t="s">
        <v>647</v>
      </c>
      <c r="H61" s="2" t="s">
        <v>12723</v>
      </c>
      <c r="I61" s="2" t="s">
        <v>12892</v>
      </c>
    </row>
    <row r="62">
      <c r="A62" s="2" t="s">
        <v>12893</v>
      </c>
      <c r="B62" s="7" t="s">
        <v>772</v>
      </c>
      <c r="C62" s="2" t="s">
        <v>12894</v>
      </c>
      <c r="D62" s="2" t="s">
        <v>647</v>
      </c>
      <c r="E62" s="2" t="s">
        <v>647</v>
      </c>
      <c r="F62" s="2" t="s">
        <v>647</v>
      </c>
      <c r="G62" s="2" t="s">
        <v>647</v>
      </c>
      <c r="H62" s="2" t="s">
        <v>12723</v>
      </c>
      <c r="I62" s="2" t="s">
        <v>12895</v>
      </c>
    </row>
    <row r="63">
      <c r="A63" s="2" t="s">
        <v>12896</v>
      </c>
      <c r="B63" s="7" t="s">
        <v>773</v>
      </c>
      <c r="C63" s="2" t="s">
        <v>12897</v>
      </c>
      <c r="D63" s="2" t="s">
        <v>647</v>
      </c>
      <c r="E63" s="2" t="s">
        <v>647</v>
      </c>
      <c r="F63" s="2" t="s">
        <v>647</v>
      </c>
      <c r="G63" s="2" t="s">
        <v>647</v>
      </c>
      <c r="H63" s="2" t="s">
        <v>12719</v>
      </c>
      <c r="I63" s="2" t="s">
        <v>12898</v>
      </c>
    </row>
    <row r="64">
      <c r="A64" s="2" t="s">
        <v>12899</v>
      </c>
      <c r="B64" s="7" t="s">
        <v>774</v>
      </c>
      <c r="C64" s="2" t="s">
        <v>12900</v>
      </c>
      <c r="D64" s="2" t="s">
        <v>647</v>
      </c>
      <c r="E64" s="2" t="s">
        <v>647</v>
      </c>
      <c r="F64" s="2" t="s">
        <v>647</v>
      </c>
      <c r="G64" s="2" t="s">
        <v>647</v>
      </c>
      <c r="I64" s="2" t="s">
        <v>12901</v>
      </c>
    </row>
    <row r="65">
      <c r="A65" s="2" t="s">
        <v>12902</v>
      </c>
      <c r="B65" s="7" t="s">
        <v>775</v>
      </c>
      <c r="C65" s="2" t="s">
        <v>12903</v>
      </c>
      <c r="D65" s="2" t="s">
        <v>647</v>
      </c>
      <c r="E65" s="2" t="s">
        <v>647</v>
      </c>
      <c r="F65" s="2" t="s">
        <v>647</v>
      </c>
      <c r="G65" s="2" t="s">
        <v>647</v>
      </c>
      <c r="I65" s="2" t="s">
        <v>12904</v>
      </c>
    </row>
    <row r="66">
      <c r="A66" s="2" t="s">
        <v>12905</v>
      </c>
      <c r="B66" s="7" t="s">
        <v>776</v>
      </c>
      <c r="C66" s="2" t="s">
        <v>12906</v>
      </c>
      <c r="D66" s="2" t="s">
        <v>647</v>
      </c>
      <c r="E66" s="2" t="s">
        <v>647</v>
      </c>
      <c r="F66" s="2" t="s">
        <v>647</v>
      </c>
      <c r="G66" s="2" t="s">
        <v>647</v>
      </c>
      <c r="I66" s="2" t="s">
        <v>12907</v>
      </c>
    </row>
    <row r="67">
      <c r="A67" s="2" t="s">
        <v>12908</v>
      </c>
      <c r="B67" s="7" t="s">
        <v>777</v>
      </c>
      <c r="C67" s="2" t="s">
        <v>12909</v>
      </c>
      <c r="D67" s="2" t="s">
        <v>647</v>
      </c>
      <c r="E67" s="2" t="s">
        <v>647</v>
      </c>
      <c r="F67" s="2" t="s">
        <v>647</v>
      </c>
      <c r="G67" s="2" t="s">
        <v>647</v>
      </c>
      <c r="H67" s="2" t="s">
        <v>12723</v>
      </c>
      <c r="I67" s="2" t="s">
        <v>12910</v>
      </c>
    </row>
    <row r="68">
      <c r="A68" s="2" t="s">
        <v>12911</v>
      </c>
      <c r="B68" s="7" t="s">
        <v>778</v>
      </c>
      <c r="C68" s="2" t="s">
        <v>12912</v>
      </c>
      <c r="D68" s="2" t="s">
        <v>647</v>
      </c>
      <c r="E68" s="2" t="s">
        <v>647</v>
      </c>
      <c r="F68" s="2" t="s">
        <v>647</v>
      </c>
      <c r="G68" s="2" t="s">
        <v>647</v>
      </c>
      <c r="H68" s="2" t="s">
        <v>12723</v>
      </c>
      <c r="I68" s="2" t="s">
        <v>12913</v>
      </c>
    </row>
    <row r="69">
      <c r="A69" s="2" t="s">
        <v>12914</v>
      </c>
      <c r="B69" s="7" t="s">
        <v>779</v>
      </c>
      <c r="C69" s="2" t="s">
        <v>12733</v>
      </c>
      <c r="D69" s="2" t="s">
        <v>647</v>
      </c>
      <c r="E69" s="2" t="s">
        <v>647</v>
      </c>
      <c r="F69" s="2" t="s">
        <v>647</v>
      </c>
      <c r="G69" s="2" t="s">
        <v>647</v>
      </c>
      <c r="H69" s="2" t="s">
        <v>12733</v>
      </c>
      <c r="I69" s="2" t="s">
        <v>12915</v>
      </c>
    </row>
    <row r="70">
      <c r="A70" s="2" t="s">
        <v>12916</v>
      </c>
      <c r="B70" s="7" t="s">
        <v>780</v>
      </c>
      <c r="C70" s="2" t="s">
        <v>12917</v>
      </c>
      <c r="D70" s="2" t="s">
        <v>647</v>
      </c>
      <c r="E70" s="2" t="s">
        <v>647</v>
      </c>
      <c r="F70" s="2" t="s">
        <v>647</v>
      </c>
      <c r="G70" s="2" t="s">
        <v>647</v>
      </c>
      <c r="I70" s="2" t="s">
        <v>12918</v>
      </c>
    </row>
    <row r="71">
      <c r="A71" s="2" t="s">
        <v>12919</v>
      </c>
      <c r="B71" s="7" t="s">
        <v>781</v>
      </c>
      <c r="C71" s="2" t="s">
        <v>12920</v>
      </c>
      <c r="D71" s="2" t="s">
        <v>647</v>
      </c>
      <c r="E71" s="2" t="s">
        <v>647</v>
      </c>
      <c r="F71" s="2" t="s">
        <v>647</v>
      </c>
      <c r="G71" s="2" t="s">
        <v>647</v>
      </c>
      <c r="I71" s="2" t="s">
        <v>12921</v>
      </c>
    </row>
    <row r="72">
      <c r="A72" s="2" t="s">
        <v>12922</v>
      </c>
      <c r="B72" s="7" t="s">
        <v>782</v>
      </c>
      <c r="D72" s="2" t="s">
        <v>647</v>
      </c>
      <c r="E72" s="2" t="s">
        <v>647</v>
      </c>
      <c r="F72" s="2" t="s">
        <v>647</v>
      </c>
      <c r="G72" s="2" t="s">
        <v>647</v>
      </c>
      <c r="I72" s="2" t="s">
        <v>12923</v>
      </c>
    </row>
    <row r="73">
      <c r="A73" s="2" t="s">
        <v>12924</v>
      </c>
      <c r="B73" s="7" t="s">
        <v>783</v>
      </c>
      <c r="C73" s="2" t="s">
        <v>12925</v>
      </c>
      <c r="D73" s="2" t="s">
        <v>647</v>
      </c>
      <c r="E73" s="2" t="s">
        <v>647</v>
      </c>
      <c r="F73" s="2" t="s">
        <v>647</v>
      </c>
      <c r="G73" s="2" t="s">
        <v>647</v>
      </c>
      <c r="H73" s="2" t="s">
        <v>12719</v>
      </c>
      <c r="I73" s="2" t="s">
        <v>12926</v>
      </c>
    </row>
    <row r="74">
      <c r="A74" s="2" t="s">
        <v>12927</v>
      </c>
      <c r="B74" s="7" t="s">
        <v>784</v>
      </c>
      <c r="C74" s="2" t="s">
        <v>12928</v>
      </c>
      <c r="D74" s="2" t="s">
        <v>647</v>
      </c>
      <c r="E74" s="2" t="s">
        <v>647</v>
      </c>
      <c r="F74" s="2" t="s">
        <v>647</v>
      </c>
      <c r="G74" s="2" t="s">
        <v>647</v>
      </c>
      <c r="H74" s="2" t="s">
        <v>12929</v>
      </c>
      <c r="I74" s="2" t="s">
        <v>12930</v>
      </c>
    </row>
    <row r="75">
      <c r="A75" s="7" t="s">
        <v>12931</v>
      </c>
      <c r="B75" s="7" t="s">
        <v>785</v>
      </c>
      <c r="C75" s="2" t="s">
        <v>12932</v>
      </c>
      <c r="D75" s="2" t="s">
        <v>647</v>
      </c>
      <c r="E75" s="2" t="s">
        <v>647</v>
      </c>
      <c r="F75" s="2" t="s">
        <v>647</v>
      </c>
      <c r="G75" s="2" t="s">
        <v>647</v>
      </c>
      <c r="H75" s="2" t="s">
        <v>647</v>
      </c>
      <c r="I75" s="2" t="s">
        <v>12933</v>
      </c>
    </row>
    <row r="76">
      <c r="A76" s="2" t="s">
        <v>12934</v>
      </c>
      <c r="B76" s="7" t="s">
        <v>786</v>
      </c>
      <c r="C76" s="2" t="s">
        <v>12935</v>
      </c>
      <c r="D76" s="2" t="s">
        <v>647</v>
      </c>
      <c r="E76" s="2" t="s">
        <v>647</v>
      </c>
      <c r="F76" s="2" t="s">
        <v>647</v>
      </c>
      <c r="G76" s="2" t="s">
        <v>647</v>
      </c>
      <c r="H76" s="2" t="s">
        <v>12723</v>
      </c>
      <c r="I76" s="2" t="s">
        <v>12936</v>
      </c>
    </row>
    <row r="77">
      <c r="A77" s="2" t="s">
        <v>12937</v>
      </c>
      <c r="B77" s="7" t="s">
        <v>787</v>
      </c>
      <c r="C77" s="2" t="s">
        <v>12938</v>
      </c>
      <c r="D77" s="2" t="s">
        <v>647</v>
      </c>
      <c r="E77" s="2" t="s">
        <v>647</v>
      </c>
      <c r="F77" s="2" t="s">
        <v>647</v>
      </c>
      <c r="G77" s="2" t="s">
        <v>647</v>
      </c>
      <c r="I77" s="2" t="s">
        <v>12939</v>
      </c>
    </row>
    <row r="78">
      <c r="A78" s="2" t="s">
        <v>12940</v>
      </c>
      <c r="B78" s="7" t="s">
        <v>788</v>
      </c>
      <c r="C78" s="2" t="s">
        <v>12941</v>
      </c>
      <c r="D78" s="2" t="s">
        <v>647</v>
      </c>
      <c r="E78" s="2" t="s">
        <v>647</v>
      </c>
      <c r="F78" s="2" t="s">
        <v>647</v>
      </c>
      <c r="G78" s="2" t="s">
        <v>647</v>
      </c>
      <c r="I78" s="2" t="s">
        <v>12942</v>
      </c>
    </row>
    <row r="79">
      <c r="A79" s="2" t="s">
        <v>12943</v>
      </c>
      <c r="B79" s="7" t="s">
        <v>789</v>
      </c>
      <c r="C79" s="2" t="s">
        <v>12944</v>
      </c>
      <c r="D79" s="2" t="s">
        <v>647</v>
      </c>
      <c r="E79" s="2" t="s">
        <v>647</v>
      </c>
      <c r="F79" s="2" t="s">
        <v>647</v>
      </c>
      <c r="G79" s="2" t="s">
        <v>647</v>
      </c>
      <c r="I79" s="2" t="s">
        <v>12945</v>
      </c>
    </row>
    <row r="80">
      <c r="A80" s="2" t="s">
        <v>12946</v>
      </c>
      <c r="B80" s="7" t="s">
        <v>790</v>
      </c>
      <c r="D80" s="2" t="s">
        <v>647</v>
      </c>
      <c r="E80" s="2" t="s">
        <v>647</v>
      </c>
      <c r="F80" s="2" t="s">
        <v>647</v>
      </c>
      <c r="G80" s="2" t="s">
        <v>647</v>
      </c>
      <c r="I80" s="2" t="s">
        <v>12947</v>
      </c>
    </row>
    <row r="81">
      <c r="A81" s="2" t="s">
        <v>12948</v>
      </c>
      <c r="B81" s="7" t="s">
        <v>791</v>
      </c>
      <c r="C81" s="2" t="s">
        <v>12949</v>
      </c>
      <c r="D81" s="2" t="s">
        <v>647</v>
      </c>
      <c r="E81" s="2" t="s">
        <v>647</v>
      </c>
      <c r="F81" s="2" t="s">
        <v>647</v>
      </c>
      <c r="G81" s="2" t="s">
        <v>647</v>
      </c>
      <c r="I81" s="2" t="s">
        <v>12950</v>
      </c>
    </row>
    <row r="82">
      <c r="A82" s="2" t="s">
        <v>12951</v>
      </c>
      <c r="B82" s="7" t="s">
        <v>792</v>
      </c>
      <c r="C82" s="2" t="s">
        <v>12952</v>
      </c>
      <c r="D82" s="2" t="s">
        <v>647</v>
      </c>
      <c r="E82" s="2" t="s">
        <v>647</v>
      </c>
      <c r="F82" s="2" t="s">
        <v>647</v>
      </c>
      <c r="G82" s="2" t="s">
        <v>647</v>
      </c>
      <c r="H82" s="2" t="s">
        <v>12723</v>
      </c>
      <c r="I82" s="2" t="s">
        <v>12953</v>
      </c>
    </row>
    <row r="83">
      <c r="A83" s="2" t="s">
        <v>12954</v>
      </c>
      <c r="B83" s="7" t="s">
        <v>793</v>
      </c>
      <c r="C83" s="2" t="s">
        <v>12955</v>
      </c>
      <c r="D83" s="2" t="s">
        <v>647</v>
      </c>
      <c r="E83" s="2" t="s">
        <v>647</v>
      </c>
      <c r="F83" s="2" t="s">
        <v>647</v>
      </c>
      <c r="G83" s="2" t="s">
        <v>647</v>
      </c>
      <c r="I83" s="2" t="s">
        <v>12956</v>
      </c>
    </row>
    <row r="84">
      <c r="A84" s="2" t="s">
        <v>12957</v>
      </c>
      <c r="B84" s="7" t="s">
        <v>794</v>
      </c>
      <c r="C84" s="2" t="s">
        <v>12958</v>
      </c>
      <c r="D84" s="2" t="s">
        <v>647</v>
      </c>
      <c r="E84" s="2" t="s">
        <v>647</v>
      </c>
      <c r="F84" s="2" t="s">
        <v>647</v>
      </c>
      <c r="G84" s="2" t="s">
        <v>647</v>
      </c>
      <c r="I84" s="2" t="s">
        <v>12959</v>
      </c>
    </row>
    <row r="85">
      <c r="A85" s="2" t="s">
        <v>12960</v>
      </c>
      <c r="B85" s="7" t="s">
        <v>795</v>
      </c>
      <c r="C85" s="2" t="s">
        <v>12961</v>
      </c>
      <c r="D85" s="2" t="s">
        <v>647</v>
      </c>
      <c r="E85" s="2" t="s">
        <v>647</v>
      </c>
      <c r="F85" s="2" t="s">
        <v>647</v>
      </c>
      <c r="G85" s="2" t="s">
        <v>647</v>
      </c>
      <c r="H85" s="2" t="s">
        <v>12723</v>
      </c>
      <c r="I85" s="2" t="s">
        <v>12962</v>
      </c>
    </row>
    <row r="86">
      <c r="A86" s="2" t="s">
        <v>12963</v>
      </c>
      <c r="B86" s="7" t="s">
        <v>796</v>
      </c>
      <c r="C86" s="2" t="s">
        <v>12964</v>
      </c>
      <c r="D86" s="2" t="s">
        <v>647</v>
      </c>
      <c r="E86" s="2" t="s">
        <v>647</v>
      </c>
      <c r="F86" s="2" t="s">
        <v>647</v>
      </c>
      <c r="G86" s="2" t="s">
        <v>647</v>
      </c>
      <c r="H86" s="2" t="s">
        <v>12723</v>
      </c>
      <c r="I86" s="2" t="s">
        <v>12965</v>
      </c>
    </row>
    <row r="87">
      <c r="A87" s="2" t="s">
        <v>12963</v>
      </c>
      <c r="B87" s="7" t="s">
        <v>89</v>
      </c>
      <c r="C87" s="2" t="s">
        <v>12966</v>
      </c>
      <c r="D87" s="2" t="s">
        <v>647</v>
      </c>
      <c r="E87" s="2" t="s">
        <v>647</v>
      </c>
      <c r="F87" s="2" t="s">
        <v>647</v>
      </c>
      <c r="G87" s="2" t="s">
        <v>647</v>
      </c>
      <c r="H87" s="2" t="s">
        <v>12719</v>
      </c>
      <c r="I87" s="2" t="s">
        <v>12967</v>
      </c>
    </row>
    <row r="88">
      <c r="A88" s="2" t="s">
        <v>12968</v>
      </c>
      <c r="B88" s="7" t="s">
        <v>797</v>
      </c>
      <c r="C88" s="2" t="s">
        <v>12969</v>
      </c>
      <c r="D88" s="2" t="s">
        <v>647</v>
      </c>
      <c r="E88" s="2" t="s">
        <v>647</v>
      </c>
      <c r="F88" s="2" t="s">
        <v>647</v>
      </c>
      <c r="G88" s="2" t="s">
        <v>647</v>
      </c>
      <c r="I88" s="2" t="s">
        <v>12970</v>
      </c>
    </row>
    <row r="89">
      <c r="A89" s="2" t="s">
        <v>12971</v>
      </c>
      <c r="B89" s="7" t="s">
        <v>798</v>
      </c>
      <c r="C89" s="2" t="s">
        <v>12972</v>
      </c>
      <c r="D89" s="2" t="s">
        <v>647</v>
      </c>
      <c r="E89" s="2" t="s">
        <v>647</v>
      </c>
      <c r="F89" s="2" t="s">
        <v>647</v>
      </c>
      <c r="G89" s="2" t="s">
        <v>647</v>
      </c>
      <c r="I89" s="2" t="s">
        <v>12973</v>
      </c>
    </row>
    <row r="90">
      <c r="A90" s="2" t="s">
        <v>12974</v>
      </c>
      <c r="B90" s="7" t="s">
        <v>799</v>
      </c>
      <c r="C90" s="2" t="s">
        <v>12975</v>
      </c>
      <c r="D90" s="2" t="s">
        <v>647</v>
      </c>
      <c r="E90" s="2" t="s">
        <v>647</v>
      </c>
      <c r="F90" s="2" t="s">
        <v>647</v>
      </c>
      <c r="G90" s="2" t="s">
        <v>647</v>
      </c>
      <c r="H90" s="2" t="s">
        <v>647</v>
      </c>
      <c r="I90" s="2" t="s">
        <v>12976</v>
      </c>
    </row>
    <row r="91">
      <c r="A91" s="2" t="s">
        <v>12977</v>
      </c>
      <c r="B91" s="7" t="s">
        <v>800</v>
      </c>
      <c r="C91" s="2" t="s">
        <v>12978</v>
      </c>
      <c r="D91" s="2" t="s">
        <v>647</v>
      </c>
      <c r="E91" s="2" t="s">
        <v>647</v>
      </c>
      <c r="F91" s="2" t="s">
        <v>647</v>
      </c>
      <c r="G91" s="2" t="s">
        <v>647</v>
      </c>
      <c r="H91" s="2" t="s">
        <v>647</v>
      </c>
      <c r="I91" s="2" t="s">
        <v>12979</v>
      </c>
    </row>
    <row r="92">
      <c r="A92" s="2" t="s">
        <v>12980</v>
      </c>
      <c r="B92" s="7" t="s">
        <v>801</v>
      </c>
      <c r="C92" s="2" t="s">
        <v>12981</v>
      </c>
      <c r="D92" s="2" t="s">
        <v>647</v>
      </c>
      <c r="E92" s="2" t="s">
        <v>647</v>
      </c>
      <c r="F92" s="2" t="s">
        <v>647</v>
      </c>
      <c r="G92" s="2" t="s">
        <v>647</v>
      </c>
      <c r="H92" s="2" t="s">
        <v>12723</v>
      </c>
      <c r="I92" s="2" t="s">
        <v>12982</v>
      </c>
    </row>
    <row r="93">
      <c r="A93" s="2" t="s">
        <v>12983</v>
      </c>
      <c r="B93" s="7" t="s">
        <v>802</v>
      </c>
      <c r="C93" s="2" t="s">
        <v>12984</v>
      </c>
      <c r="D93" s="2" t="s">
        <v>647</v>
      </c>
      <c r="E93" s="2" t="s">
        <v>647</v>
      </c>
      <c r="F93" s="2" t="s">
        <v>647</v>
      </c>
      <c r="G93" s="2" t="s">
        <v>647</v>
      </c>
      <c r="H93" s="2" t="s">
        <v>12723</v>
      </c>
      <c r="I93" s="2" t="s">
        <v>12985</v>
      </c>
    </row>
    <row r="94">
      <c r="A94" s="2" t="s">
        <v>12986</v>
      </c>
      <c r="B94" s="7" t="s">
        <v>803</v>
      </c>
      <c r="C94" s="2" t="s">
        <v>12987</v>
      </c>
      <c r="D94" s="2" t="s">
        <v>647</v>
      </c>
      <c r="E94" s="2" t="s">
        <v>647</v>
      </c>
      <c r="F94" s="2" t="s">
        <v>647</v>
      </c>
      <c r="G94" s="2" t="s">
        <v>647</v>
      </c>
      <c r="I94" s="2" t="s">
        <v>12988</v>
      </c>
    </row>
    <row r="95">
      <c r="A95" s="2" t="s">
        <v>12989</v>
      </c>
      <c r="B95" s="2" t="s">
        <v>647</v>
      </c>
      <c r="C95" s="2" t="s">
        <v>12990</v>
      </c>
      <c r="D95" s="2" t="s">
        <v>647</v>
      </c>
      <c r="E95" s="2" t="s">
        <v>647</v>
      </c>
      <c r="F95" s="2" t="s">
        <v>647</v>
      </c>
      <c r="G95" s="2" t="s">
        <v>647</v>
      </c>
      <c r="I95" s="2" t="s">
        <v>12991</v>
      </c>
    </row>
    <row r="96">
      <c r="A96" s="2" t="s">
        <v>12992</v>
      </c>
      <c r="B96" s="7" t="s">
        <v>804</v>
      </c>
      <c r="C96" s="2" t="s">
        <v>12993</v>
      </c>
      <c r="D96" s="2" t="s">
        <v>647</v>
      </c>
      <c r="E96" s="2" t="s">
        <v>647</v>
      </c>
      <c r="F96" s="2" t="s">
        <v>647</v>
      </c>
      <c r="G96" s="2" t="s">
        <v>647</v>
      </c>
      <c r="I96" s="2" t="s">
        <v>12994</v>
      </c>
    </row>
    <row r="97">
      <c r="A97" s="2" t="s">
        <v>12995</v>
      </c>
      <c r="B97" s="7" t="s">
        <v>805</v>
      </c>
      <c r="C97" s="2" t="s">
        <v>12996</v>
      </c>
      <c r="D97" s="2" t="s">
        <v>647</v>
      </c>
      <c r="E97" s="2" t="s">
        <v>647</v>
      </c>
      <c r="F97" s="2" t="s">
        <v>647</v>
      </c>
      <c r="G97" s="2" t="s">
        <v>647</v>
      </c>
      <c r="H97" s="2" t="s">
        <v>12723</v>
      </c>
      <c r="I97" s="2" t="s">
        <v>12997</v>
      </c>
    </row>
    <row r="98">
      <c r="A98" s="2" t="s">
        <v>12998</v>
      </c>
      <c r="B98" s="7" t="s">
        <v>806</v>
      </c>
      <c r="C98" s="2" t="s">
        <v>12999</v>
      </c>
      <c r="D98" s="2" t="s">
        <v>647</v>
      </c>
      <c r="E98" s="2" t="s">
        <v>647</v>
      </c>
      <c r="F98" s="2" t="s">
        <v>647</v>
      </c>
      <c r="G98" s="2" t="s">
        <v>647</v>
      </c>
      <c r="H98" s="2" t="s">
        <v>12719</v>
      </c>
      <c r="I98" s="2" t="s">
        <v>13000</v>
      </c>
    </row>
    <row r="99">
      <c r="B99" s="7" t="s">
        <v>807</v>
      </c>
      <c r="C99" s="2" t="s">
        <v>12719</v>
      </c>
      <c r="D99" s="2" t="s">
        <v>647</v>
      </c>
      <c r="E99" s="2" t="s">
        <v>647</v>
      </c>
      <c r="F99" s="2" t="s">
        <v>647</v>
      </c>
      <c r="G99" s="2" t="s">
        <v>647</v>
      </c>
      <c r="H99" s="2" t="s">
        <v>647</v>
      </c>
    </row>
    <row r="100">
      <c r="B100" s="7" t="s">
        <v>808</v>
      </c>
      <c r="C100" s="2" t="s">
        <v>12723</v>
      </c>
      <c r="D100" s="2" t="s">
        <v>647</v>
      </c>
      <c r="E100" s="2" t="s">
        <v>647</v>
      </c>
      <c r="F100" s="2" t="s">
        <v>647</v>
      </c>
      <c r="G100" s="2" t="s">
        <v>647</v>
      </c>
    </row>
    <row r="101">
      <c r="B101" s="7" t="s">
        <v>809</v>
      </c>
      <c r="C101" s="2" t="s">
        <v>12719</v>
      </c>
      <c r="D101" s="2" t="s">
        <v>647</v>
      </c>
      <c r="E101" s="2" t="s">
        <v>647</v>
      </c>
      <c r="F101" s="2" t="s">
        <v>647</v>
      </c>
      <c r="G101" s="2" t="s">
        <v>647</v>
      </c>
    </row>
    <row r="102">
      <c r="B102" s="7" t="s">
        <v>810</v>
      </c>
      <c r="C102" s="2" t="s">
        <v>12719</v>
      </c>
      <c r="D102" s="2" t="s">
        <v>647</v>
      </c>
      <c r="E102" s="2" t="s">
        <v>647</v>
      </c>
      <c r="F102" s="2" t="s">
        <v>647</v>
      </c>
      <c r="G102" s="2" t="s">
        <v>647</v>
      </c>
      <c r="H102" s="2" t="s">
        <v>12723</v>
      </c>
    </row>
    <row r="103">
      <c r="B103" s="7" t="s">
        <v>811</v>
      </c>
      <c r="C103" s="2" t="s">
        <v>12723</v>
      </c>
      <c r="D103" s="2" t="s">
        <v>647</v>
      </c>
      <c r="E103" s="2" t="s">
        <v>647</v>
      </c>
      <c r="F103" s="2" t="s">
        <v>647</v>
      </c>
      <c r="G103" s="2" t="s">
        <v>647</v>
      </c>
    </row>
    <row r="104">
      <c r="B104" s="7" t="s">
        <v>812</v>
      </c>
      <c r="C104" s="2" t="s">
        <v>12723</v>
      </c>
      <c r="D104" s="2" t="s">
        <v>647</v>
      </c>
      <c r="E104" s="2" t="s">
        <v>647</v>
      </c>
      <c r="F104" s="2" t="s">
        <v>647</v>
      </c>
      <c r="G104" s="2" t="s">
        <v>647</v>
      </c>
      <c r="I104" s="2" t="s">
        <v>13001</v>
      </c>
    </row>
    <row r="105">
      <c r="A105" s="2" t="s">
        <v>13002</v>
      </c>
      <c r="B105" s="7" t="s">
        <v>813</v>
      </c>
      <c r="C105" s="2" t="s">
        <v>13003</v>
      </c>
      <c r="D105" s="2" t="s">
        <v>647</v>
      </c>
      <c r="E105" s="2" t="s">
        <v>647</v>
      </c>
      <c r="F105" s="2" t="s">
        <v>647</v>
      </c>
      <c r="G105" s="2" t="s">
        <v>647</v>
      </c>
      <c r="I105" s="2" t="s">
        <v>13004</v>
      </c>
    </row>
    <row r="106">
      <c r="A106" s="2" t="s">
        <v>13005</v>
      </c>
      <c r="B106" s="7" t="s">
        <v>814</v>
      </c>
      <c r="C106" s="2" t="s">
        <v>13006</v>
      </c>
      <c r="D106" s="2" t="s">
        <v>647</v>
      </c>
      <c r="E106" s="2" t="s">
        <v>647</v>
      </c>
      <c r="F106" s="2" t="s">
        <v>647</v>
      </c>
      <c r="G106" s="2" t="s">
        <v>647</v>
      </c>
      <c r="I106" s="2" t="s">
        <v>13007</v>
      </c>
    </row>
    <row r="107">
      <c r="A107" s="2" t="s">
        <v>13008</v>
      </c>
      <c r="B107" s="7" t="s">
        <v>815</v>
      </c>
      <c r="C107" s="2" t="s">
        <v>13009</v>
      </c>
      <c r="D107" s="2" t="s">
        <v>647</v>
      </c>
      <c r="E107" s="2" t="s">
        <v>647</v>
      </c>
      <c r="F107" s="2" t="s">
        <v>647</v>
      </c>
      <c r="G107" s="2" t="s">
        <v>647</v>
      </c>
      <c r="H107" s="2" t="s">
        <v>647</v>
      </c>
      <c r="I107" s="2" t="s">
        <v>13010</v>
      </c>
    </row>
    <row r="108">
      <c r="A108" s="2" t="s">
        <v>13011</v>
      </c>
      <c r="B108" s="7" t="s">
        <v>816</v>
      </c>
      <c r="C108" s="2" t="s">
        <v>13012</v>
      </c>
      <c r="D108" s="2" t="s">
        <v>647</v>
      </c>
      <c r="E108" s="2" t="s">
        <v>647</v>
      </c>
      <c r="F108" s="2" t="s">
        <v>647</v>
      </c>
      <c r="G108" s="2" t="s">
        <v>647</v>
      </c>
      <c r="H108" s="2" t="s">
        <v>647</v>
      </c>
      <c r="I108" s="2" t="s">
        <v>13013</v>
      </c>
    </row>
    <row r="109">
      <c r="A109" s="2" t="s">
        <v>13014</v>
      </c>
      <c r="B109" s="7" t="s">
        <v>817</v>
      </c>
      <c r="C109" s="2" t="s">
        <v>13015</v>
      </c>
      <c r="D109" s="2" t="s">
        <v>647</v>
      </c>
      <c r="E109" s="2" t="s">
        <v>647</v>
      </c>
      <c r="F109" s="2" t="s">
        <v>647</v>
      </c>
      <c r="G109" s="2" t="s">
        <v>647</v>
      </c>
      <c r="I109" s="2" t="s">
        <v>13016</v>
      </c>
    </row>
    <row r="110">
      <c r="A110" s="2" t="s">
        <v>13017</v>
      </c>
      <c r="B110" s="7" t="s">
        <v>818</v>
      </c>
      <c r="C110" s="2" t="s">
        <v>13018</v>
      </c>
      <c r="D110" s="2" t="s">
        <v>647</v>
      </c>
      <c r="E110" s="2" t="s">
        <v>647</v>
      </c>
      <c r="F110" s="2" t="s">
        <v>647</v>
      </c>
      <c r="G110" s="2" t="s">
        <v>647</v>
      </c>
      <c r="H110" s="2" t="s">
        <v>12723</v>
      </c>
      <c r="I110" s="2" t="s">
        <v>13019</v>
      </c>
    </row>
    <row r="111">
      <c r="A111" s="2" t="s">
        <v>13020</v>
      </c>
      <c r="B111" s="7" t="s">
        <v>819</v>
      </c>
      <c r="C111" s="2" t="s">
        <v>13021</v>
      </c>
      <c r="D111" s="2" t="s">
        <v>647</v>
      </c>
      <c r="E111" s="2" t="s">
        <v>647</v>
      </c>
      <c r="F111" s="2" t="s">
        <v>647</v>
      </c>
      <c r="G111" s="2" t="s">
        <v>647</v>
      </c>
      <c r="I111" s="2" t="s">
        <v>13022</v>
      </c>
    </row>
    <row r="112">
      <c r="A112" s="2" t="s">
        <v>13023</v>
      </c>
      <c r="B112" s="7" t="s">
        <v>820</v>
      </c>
      <c r="D112" s="2" t="s">
        <v>647</v>
      </c>
      <c r="E112" s="2" t="s">
        <v>647</v>
      </c>
      <c r="F112" s="2" t="s">
        <v>647</v>
      </c>
      <c r="G112" s="2" t="s">
        <v>647</v>
      </c>
      <c r="I112" s="2" t="s">
        <v>13024</v>
      </c>
    </row>
    <row r="113">
      <c r="A113" s="2" t="s">
        <v>13025</v>
      </c>
      <c r="B113" s="7" t="s">
        <v>821</v>
      </c>
      <c r="C113" s="2" t="s">
        <v>13026</v>
      </c>
      <c r="D113" s="2" t="s">
        <v>647</v>
      </c>
      <c r="E113" s="2" t="s">
        <v>647</v>
      </c>
      <c r="F113" s="2" t="s">
        <v>647</v>
      </c>
      <c r="G113" s="2" t="s">
        <v>647</v>
      </c>
      <c r="H113" s="2" t="s">
        <v>647</v>
      </c>
      <c r="I113" s="2" t="s">
        <v>13027</v>
      </c>
    </row>
    <row r="114">
      <c r="A114" s="2" t="s">
        <v>13028</v>
      </c>
      <c r="B114" s="7" t="s">
        <v>822</v>
      </c>
      <c r="C114" s="2" t="s">
        <v>13029</v>
      </c>
      <c r="D114" s="2" t="s">
        <v>647</v>
      </c>
      <c r="E114" s="2" t="s">
        <v>647</v>
      </c>
      <c r="F114" s="2" t="s">
        <v>647</v>
      </c>
      <c r="G114" s="2" t="s">
        <v>647</v>
      </c>
      <c r="I114" s="2" t="s">
        <v>13030</v>
      </c>
    </row>
    <row r="115">
      <c r="A115" s="2" t="s">
        <v>13031</v>
      </c>
      <c r="B115" s="7" t="s">
        <v>823</v>
      </c>
      <c r="C115" s="2" t="s">
        <v>13032</v>
      </c>
      <c r="D115" s="2" t="s">
        <v>647</v>
      </c>
      <c r="E115" s="2" t="s">
        <v>647</v>
      </c>
      <c r="F115" s="2" t="s">
        <v>647</v>
      </c>
      <c r="G115" s="2" t="s">
        <v>647</v>
      </c>
      <c r="I115" s="2" t="s">
        <v>13033</v>
      </c>
    </row>
    <row r="116">
      <c r="A116" s="2" t="s">
        <v>13034</v>
      </c>
      <c r="B116" s="7" t="s">
        <v>824</v>
      </c>
      <c r="C116" s="2" t="s">
        <v>13035</v>
      </c>
      <c r="D116" s="2" t="s">
        <v>647</v>
      </c>
      <c r="E116" s="2" t="s">
        <v>647</v>
      </c>
      <c r="F116" s="2" t="s">
        <v>647</v>
      </c>
      <c r="G116" s="2" t="s">
        <v>647</v>
      </c>
      <c r="H116" s="2" t="s">
        <v>12723</v>
      </c>
      <c r="I116" s="2" t="s">
        <v>13036</v>
      </c>
    </row>
    <row r="117">
      <c r="A117" s="2" t="s">
        <v>13037</v>
      </c>
      <c r="B117" s="7" t="s">
        <v>825</v>
      </c>
      <c r="C117" s="2" t="s">
        <v>13038</v>
      </c>
      <c r="D117" s="2" t="s">
        <v>647</v>
      </c>
      <c r="E117" s="2" t="s">
        <v>647</v>
      </c>
      <c r="F117" s="2" t="s">
        <v>647</v>
      </c>
      <c r="G117" s="2" t="s">
        <v>647</v>
      </c>
      <c r="I117" s="2" t="s">
        <v>13039</v>
      </c>
    </row>
    <row r="118">
      <c r="A118" s="2" t="s">
        <v>13040</v>
      </c>
      <c r="B118" s="7" t="s">
        <v>826</v>
      </c>
      <c r="C118" s="2" t="s">
        <v>13041</v>
      </c>
      <c r="D118" s="2" t="s">
        <v>647</v>
      </c>
      <c r="E118" s="2" t="s">
        <v>647</v>
      </c>
      <c r="F118" s="2" t="s">
        <v>647</v>
      </c>
      <c r="G118" s="2" t="s">
        <v>647</v>
      </c>
      <c r="I118" s="2" t="s">
        <v>13042</v>
      </c>
    </row>
    <row r="119">
      <c r="A119" s="2" t="s">
        <v>13043</v>
      </c>
      <c r="B119" s="7" t="s">
        <v>827</v>
      </c>
      <c r="C119" s="2" t="s">
        <v>13044</v>
      </c>
      <c r="D119" s="2" t="s">
        <v>647</v>
      </c>
      <c r="E119" s="2" t="s">
        <v>647</v>
      </c>
      <c r="F119" s="2" t="s">
        <v>647</v>
      </c>
      <c r="G119" s="2" t="s">
        <v>647</v>
      </c>
      <c r="I119" s="2" t="s">
        <v>13045</v>
      </c>
    </row>
    <row r="120">
      <c r="A120" s="2" t="s">
        <v>13046</v>
      </c>
      <c r="B120" s="7" t="s">
        <v>828</v>
      </c>
      <c r="C120" s="2" t="s">
        <v>13047</v>
      </c>
      <c r="D120" s="2" t="s">
        <v>647</v>
      </c>
      <c r="E120" s="2" t="s">
        <v>647</v>
      </c>
      <c r="F120" s="2" t="s">
        <v>647</v>
      </c>
      <c r="G120" s="2" t="s">
        <v>647</v>
      </c>
      <c r="I120" s="2" t="s">
        <v>13048</v>
      </c>
    </row>
    <row r="121">
      <c r="A121" s="2" t="s">
        <v>13049</v>
      </c>
      <c r="B121" s="7" t="s">
        <v>829</v>
      </c>
      <c r="C121" s="2" t="s">
        <v>13050</v>
      </c>
      <c r="D121" s="2" t="s">
        <v>647</v>
      </c>
      <c r="E121" s="2" t="s">
        <v>647</v>
      </c>
      <c r="F121" s="2" t="s">
        <v>647</v>
      </c>
      <c r="G121" s="2" t="s">
        <v>647</v>
      </c>
      <c r="I121" s="2" t="s">
        <v>13051</v>
      </c>
    </row>
    <row r="122">
      <c r="A122" s="2" t="s">
        <v>13052</v>
      </c>
      <c r="B122" s="7" t="s">
        <v>830</v>
      </c>
      <c r="C122" s="2" t="s">
        <v>13053</v>
      </c>
      <c r="D122" s="2" t="s">
        <v>647</v>
      </c>
      <c r="E122" s="2" t="s">
        <v>647</v>
      </c>
      <c r="F122" s="2" t="s">
        <v>647</v>
      </c>
      <c r="G122" s="2" t="s">
        <v>647</v>
      </c>
      <c r="H122" s="2" t="s">
        <v>12723</v>
      </c>
      <c r="I122" s="2" t="s">
        <v>13030</v>
      </c>
    </row>
    <row r="123">
      <c r="A123" s="2" t="s">
        <v>13054</v>
      </c>
      <c r="B123" s="7" t="s">
        <v>831</v>
      </c>
      <c r="C123" s="2" t="s">
        <v>13055</v>
      </c>
      <c r="D123" s="2" t="s">
        <v>647</v>
      </c>
      <c r="E123" s="2" t="s">
        <v>647</v>
      </c>
      <c r="F123" s="2" t="s">
        <v>647</v>
      </c>
      <c r="G123" s="2" t="s">
        <v>647</v>
      </c>
      <c r="I123" s="2" t="s">
        <v>13056</v>
      </c>
    </row>
    <row r="124">
      <c r="A124" s="2" t="s">
        <v>13057</v>
      </c>
      <c r="B124" s="7" t="s">
        <v>832</v>
      </c>
      <c r="C124" s="2" t="s">
        <v>13058</v>
      </c>
      <c r="D124" s="2" t="s">
        <v>647</v>
      </c>
      <c r="E124" s="2" t="s">
        <v>647</v>
      </c>
      <c r="F124" s="2" t="s">
        <v>647</v>
      </c>
      <c r="G124" s="2" t="s">
        <v>647</v>
      </c>
      <c r="H124" s="2" t="s">
        <v>12723</v>
      </c>
      <c r="I124" s="2" t="s">
        <v>13059</v>
      </c>
    </row>
    <row r="125">
      <c r="A125" s="2" t="s">
        <v>13060</v>
      </c>
      <c r="B125" s="7" t="s">
        <v>833</v>
      </c>
      <c r="C125" s="2" t="s">
        <v>13061</v>
      </c>
      <c r="D125" s="2" t="s">
        <v>647</v>
      </c>
      <c r="E125" s="2" t="s">
        <v>647</v>
      </c>
      <c r="F125" s="2" t="s">
        <v>647</v>
      </c>
      <c r="G125" s="2" t="s">
        <v>647</v>
      </c>
      <c r="H125" s="2" t="s">
        <v>647</v>
      </c>
      <c r="I125" s="2" t="s">
        <v>13062</v>
      </c>
    </row>
    <row r="126">
      <c r="A126" s="2" t="s">
        <v>13063</v>
      </c>
      <c r="B126" s="7" t="s">
        <v>834</v>
      </c>
      <c r="C126" s="2" t="s">
        <v>13064</v>
      </c>
      <c r="D126" s="2" t="s">
        <v>647</v>
      </c>
      <c r="E126" s="2" t="s">
        <v>647</v>
      </c>
      <c r="F126" s="2" t="s">
        <v>647</v>
      </c>
      <c r="G126" s="2" t="s">
        <v>647</v>
      </c>
      <c r="I126" s="2" t="s">
        <v>13065</v>
      </c>
    </row>
    <row r="127">
      <c r="A127" s="2" t="s">
        <v>13066</v>
      </c>
      <c r="B127" s="7" t="s">
        <v>835</v>
      </c>
      <c r="C127" s="2" t="s">
        <v>13067</v>
      </c>
      <c r="D127" s="2" t="s">
        <v>647</v>
      </c>
      <c r="E127" s="2" t="s">
        <v>647</v>
      </c>
      <c r="F127" s="2" t="s">
        <v>647</v>
      </c>
      <c r="G127" s="2" t="s">
        <v>647</v>
      </c>
      <c r="I127" s="2" t="s">
        <v>13068</v>
      </c>
    </row>
    <row r="128">
      <c r="A128" s="2" t="s">
        <v>13069</v>
      </c>
      <c r="B128" s="7" t="s">
        <v>836</v>
      </c>
      <c r="C128" s="2" t="s">
        <v>13070</v>
      </c>
      <c r="D128" s="2" t="s">
        <v>647</v>
      </c>
      <c r="E128" s="2" t="s">
        <v>647</v>
      </c>
      <c r="F128" s="2" t="s">
        <v>647</v>
      </c>
      <c r="G128" s="2" t="s">
        <v>647</v>
      </c>
      <c r="I128" s="2" t="s">
        <v>13071</v>
      </c>
    </row>
    <row r="129">
      <c r="A129" s="2" t="s">
        <v>13072</v>
      </c>
      <c r="B129" s="7" t="s">
        <v>837</v>
      </c>
      <c r="C129" s="2" t="s">
        <v>13073</v>
      </c>
      <c r="D129" s="2" t="s">
        <v>647</v>
      </c>
      <c r="E129" s="2" t="s">
        <v>647</v>
      </c>
      <c r="F129" s="2" t="s">
        <v>647</v>
      </c>
      <c r="G129" s="2" t="s">
        <v>647</v>
      </c>
      <c r="H129" s="2" t="s">
        <v>12723</v>
      </c>
      <c r="I129" s="2" t="s">
        <v>13074</v>
      </c>
    </row>
    <row r="130">
      <c r="A130" s="2" t="s">
        <v>13075</v>
      </c>
      <c r="B130" s="7" t="s">
        <v>838</v>
      </c>
      <c r="C130" s="2" t="s">
        <v>13076</v>
      </c>
      <c r="D130" s="2" t="s">
        <v>647</v>
      </c>
      <c r="E130" s="2" t="s">
        <v>647</v>
      </c>
      <c r="F130" s="2" t="s">
        <v>647</v>
      </c>
      <c r="G130" s="2" t="s">
        <v>647</v>
      </c>
      <c r="H130" s="2" t="s">
        <v>647</v>
      </c>
      <c r="I130" s="2" t="s">
        <v>13077</v>
      </c>
    </row>
    <row r="131">
      <c r="A131" s="2" t="s">
        <v>13078</v>
      </c>
      <c r="B131" s="7" t="s">
        <v>839</v>
      </c>
      <c r="C131" s="2" t="s">
        <v>13079</v>
      </c>
      <c r="D131" s="2" t="s">
        <v>647</v>
      </c>
      <c r="E131" s="2" t="s">
        <v>647</v>
      </c>
      <c r="F131" s="2" t="s">
        <v>647</v>
      </c>
      <c r="G131" s="2" t="s">
        <v>647</v>
      </c>
      <c r="I131" s="2" t="s">
        <v>13080</v>
      </c>
    </row>
    <row r="132">
      <c r="A132" s="2" t="s">
        <v>13081</v>
      </c>
      <c r="B132" s="7" t="s">
        <v>840</v>
      </c>
      <c r="C132" s="2" t="s">
        <v>13082</v>
      </c>
      <c r="D132" s="2" t="s">
        <v>647</v>
      </c>
      <c r="E132" s="2" t="s">
        <v>647</v>
      </c>
      <c r="F132" s="2" t="s">
        <v>647</v>
      </c>
      <c r="G132" s="2" t="s">
        <v>647</v>
      </c>
      <c r="I132" s="2" t="s">
        <v>13083</v>
      </c>
    </row>
    <row r="133">
      <c r="A133" s="2" t="s">
        <v>13084</v>
      </c>
      <c r="B133" s="7" t="s">
        <v>841</v>
      </c>
      <c r="C133" s="2" t="s">
        <v>13085</v>
      </c>
      <c r="D133" s="2" t="s">
        <v>647</v>
      </c>
      <c r="E133" s="2" t="s">
        <v>647</v>
      </c>
      <c r="F133" s="2" t="s">
        <v>647</v>
      </c>
      <c r="G133" s="2" t="s">
        <v>647</v>
      </c>
      <c r="H133" s="2" t="s">
        <v>12723</v>
      </c>
      <c r="I133" s="2" t="s">
        <v>13086</v>
      </c>
    </row>
    <row r="134">
      <c r="A134" s="2" t="s">
        <v>13087</v>
      </c>
      <c r="B134" s="7" t="s">
        <v>842</v>
      </c>
      <c r="D134" s="2" t="s">
        <v>647</v>
      </c>
      <c r="E134" s="2" t="s">
        <v>647</v>
      </c>
      <c r="F134" s="2" t="s">
        <v>647</v>
      </c>
      <c r="G134" s="2" t="s">
        <v>647</v>
      </c>
      <c r="I134" s="2" t="s">
        <v>13088</v>
      </c>
    </row>
    <row r="135">
      <c r="A135" s="2" t="s">
        <v>13089</v>
      </c>
      <c r="B135" s="7" t="s">
        <v>843</v>
      </c>
      <c r="C135" s="2" t="s">
        <v>13090</v>
      </c>
      <c r="D135" s="2" t="s">
        <v>647</v>
      </c>
      <c r="E135" s="2" t="s">
        <v>647</v>
      </c>
      <c r="F135" s="2" t="s">
        <v>647</v>
      </c>
      <c r="G135" s="2" t="s">
        <v>647</v>
      </c>
      <c r="I135" s="2" t="s">
        <v>13091</v>
      </c>
    </row>
    <row r="136">
      <c r="A136" s="2" t="s">
        <v>13092</v>
      </c>
      <c r="B136" s="7" t="s">
        <v>844</v>
      </c>
      <c r="C136" s="2" t="s">
        <v>13093</v>
      </c>
      <c r="D136" s="2" t="s">
        <v>647</v>
      </c>
      <c r="E136" s="2" t="s">
        <v>647</v>
      </c>
      <c r="F136" s="2" t="s">
        <v>647</v>
      </c>
      <c r="G136" s="2" t="s">
        <v>647</v>
      </c>
      <c r="I136" s="2" t="s">
        <v>13094</v>
      </c>
    </row>
    <row r="137">
      <c r="A137" s="2" t="s">
        <v>13095</v>
      </c>
      <c r="B137" s="7" t="s">
        <v>845</v>
      </c>
      <c r="C137" s="2" t="s">
        <v>13096</v>
      </c>
      <c r="D137" s="2" t="s">
        <v>647</v>
      </c>
      <c r="E137" s="2" t="s">
        <v>647</v>
      </c>
      <c r="F137" s="2" t="s">
        <v>647</v>
      </c>
      <c r="G137" s="2" t="s">
        <v>647</v>
      </c>
      <c r="I137" s="2" t="s">
        <v>13097</v>
      </c>
    </row>
    <row r="138">
      <c r="A138" s="2" t="s">
        <v>13098</v>
      </c>
      <c r="B138" s="7" t="s">
        <v>846</v>
      </c>
      <c r="C138" s="2" t="s">
        <v>13099</v>
      </c>
      <c r="D138" s="2" t="s">
        <v>647</v>
      </c>
      <c r="E138" s="2" t="s">
        <v>647</v>
      </c>
      <c r="F138" s="2" t="s">
        <v>647</v>
      </c>
      <c r="G138" s="2" t="s">
        <v>647</v>
      </c>
      <c r="H138" s="2" t="s">
        <v>12719</v>
      </c>
      <c r="I138" s="2" t="s">
        <v>13100</v>
      </c>
    </row>
    <row r="139">
      <c r="A139" s="2" t="s">
        <v>13101</v>
      </c>
      <c r="B139" s="7" t="s">
        <v>847</v>
      </c>
      <c r="C139" s="2" t="s">
        <v>13102</v>
      </c>
      <c r="D139" s="2" t="s">
        <v>647</v>
      </c>
      <c r="E139" s="2" t="s">
        <v>647</v>
      </c>
      <c r="F139" s="2" t="s">
        <v>647</v>
      </c>
      <c r="G139" s="2" t="s">
        <v>647</v>
      </c>
    </row>
    <row r="140">
      <c r="A140" s="2" t="s">
        <v>13103</v>
      </c>
      <c r="B140" s="7" t="s">
        <v>848</v>
      </c>
      <c r="C140" s="2" t="s">
        <v>13104</v>
      </c>
      <c r="D140" s="2" t="s">
        <v>647</v>
      </c>
      <c r="E140" s="2" t="s">
        <v>647</v>
      </c>
      <c r="F140" s="2" t="s">
        <v>647</v>
      </c>
      <c r="G140" s="2" t="s">
        <v>647</v>
      </c>
      <c r="I140" s="2" t="s">
        <v>13105</v>
      </c>
    </row>
    <row r="141">
      <c r="A141" s="2" t="s">
        <v>13106</v>
      </c>
      <c r="B141" s="7" t="s">
        <v>849</v>
      </c>
      <c r="C141" s="2" t="s">
        <v>13107</v>
      </c>
      <c r="D141" s="2" t="s">
        <v>647</v>
      </c>
      <c r="E141" s="2" t="s">
        <v>647</v>
      </c>
      <c r="F141" s="2" t="s">
        <v>647</v>
      </c>
      <c r="G141" s="2" t="s">
        <v>647</v>
      </c>
      <c r="H141" s="2" t="s">
        <v>12723</v>
      </c>
      <c r="I141" s="2" t="s">
        <v>13108</v>
      </c>
    </row>
    <row r="142">
      <c r="A142" s="2" t="s">
        <v>13109</v>
      </c>
      <c r="B142" s="7" t="s">
        <v>850</v>
      </c>
      <c r="C142" s="2" t="s">
        <v>13110</v>
      </c>
      <c r="D142" s="2" t="s">
        <v>647</v>
      </c>
      <c r="E142" s="2" t="s">
        <v>647</v>
      </c>
      <c r="F142" s="2" t="s">
        <v>647</v>
      </c>
      <c r="G142" s="2" t="s">
        <v>647</v>
      </c>
      <c r="I142" s="2" t="s">
        <v>13111</v>
      </c>
    </row>
    <row r="143">
      <c r="A143" s="2" t="s">
        <v>13112</v>
      </c>
      <c r="B143" s="7" t="s">
        <v>851</v>
      </c>
      <c r="C143" s="2" t="s">
        <v>13113</v>
      </c>
      <c r="D143" s="2" t="s">
        <v>647</v>
      </c>
      <c r="E143" s="2" t="s">
        <v>647</v>
      </c>
      <c r="F143" s="2" t="s">
        <v>647</v>
      </c>
      <c r="G143" s="2" t="s">
        <v>647</v>
      </c>
      <c r="H143" s="2" t="s">
        <v>12719</v>
      </c>
      <c r="I143" s="2" t="s">
        <v>13114</v>
      </c>
    </row>
    <row r="144">
      <c r="A144" s="2" t="s">
        <v>13115</v>
      </c>
      <c r="B144" s="7" t="s">
        <v>852</v>
      </c>
      <c r="C144" s="2" t="s">
        <v>13116</v>
      </c>
      <c r="D144" s="2" t="s">
        <v>647</v>
      </c>
      <c r="E144" s="2" t="s">
        <v>647</v>
      </c>
      <c r="F144" s="2" t="s">
        <v>647</v>
      </c>
      <c r="G144" s="2" t="s">
        <v>647</v>
      </c>
      <c r="H144" s="2" t="s">
        <v>12723</v>
      </c>
      <c r="I144" s="2" t="s">
        <v>13117</v>
      </c>
    </row>
    <row r="145">
      <c r="A145" s="2" t="s">
        <v>13118</v>
      </c>
      <c r="B145" s="2" t="s">
        <v>647</v>
      </c>
      <c r="C145" s="2" t="s">
        <v>13119</v>
      </c>
      <c r="D145" s="2" t="s">
        <v>647</v>
      </c>
      <c r="E145" s="2" t="s">
        <v>647</v>
      </c>
      <c r="F145" s="2" t="s">
        <v>647</v>
      </c>
      <c r="G145" s="2" t="s">
        <v>647</v>
      </c>
      <c r="H145" s="2" t="s">
        <v>12723</v>
      </c>
      <c r="I145" s="2" t="s">
        <v>13120</v>
      </c>
    </row>
    <row r="146">
      <c r="A146" s="2" t="s">
        <v>13121</v>
      </c>
      <c r="B146" s="7" t="s">
        <v>853</v>
      </c>
      <c r="C146" s="2" t="s">
        <v>13122</v>
      </c>
      <c r="D146" s="2" t="s">
        <v>647</v>
      </c>
      <c r="E146" s="2" t="s">
        <v>647</v>
      </c>
      <c r="F146" s="2" t="s">
        <v>647</v>
      </c>
      <c r="G146" s="2" t="s">
        <v>647</v>
      </c>
      <c r="I146" s="2" t="s">
        <v>13123</v>
      </c>
    </row>
    <row r="147">
      <c r="A147" s="2" t="s">
        <v>13124</v>
      </c>
      <c r="B147" s="7" t="s">
        <v>854</v>
      </c>
      <c r="C147" s="2" t="s">
        <v>13125</v>
      </c>
      <c r="D147" s="2" t="s">
        <v>647</v>
      </c>
      <c r="E147" s="2" t="s">
        <v>647</v>
      </c>
      <c r="F147" s="2" t="s">
        <v>647</v>
      </c>
      <c r="G147" s="2" t="s">
        <v>647</v>
      </c>
      <c r="I147" s="2" t="s">
        <v>13126</v>
      </c>
    </row>
    <row r="148">
      <c r="A148" s="2" t="s">
        <v>13127</v>
      </c>
      <c r="B148" s="7" t="s">
        <v>855</v>
      </c>
      <c r="C148" s="2" t="s">
        <v>13128</v>
      </c>
      <c r="D148" s="2" t="s">
        <v>647</v>
      </c>
      <c r="E148" s="2" t="s">
        <v>647</v>
      </c>
      <c r="F148" s="2" t="s">
        <v>647</v>
      </c>
      <c r="G148" s="2" t="s">
        <v>647</v>
      </c>
      <c r="H148" s="2" t="s">
        <v>647</v>
      </c>
      <c r="I148" s="2" t="s">
        <v>13129</v>
      </c>
    </row>
    <row r="149">
      <c r="A149" s="2" t="s">
        <v>13130</v>
      </c>
      <c r="B149" s="7" t="s">
        <v>856</v>
      </c>
      <c r="C149" s="2" t="s">
        <v>13131</v>
      </c>
      <c r="D149" s="2" t="s">
        <v>647</v>
      </c>
      <c r="E149" s="2" t="s">
        <v>647</v>
      </c>
      <c r="F149" s="2" t="s">
        <v>647</v>
      </c>
      <c r="G149" s="2" t="s">
        <v>647</v>
      </c>
      <c r="I149" s="2" t="s">
        <v>13132</v>
      </c>
    </row>
    <row r="150">
      <c r="A150" s="2" t="s">
        <v>13133</v>
      </c>
      <c r="B150" s="2" t="s">
        <v>647</v>
      </c>
      <c r="C150" s="2" t="s">
        <v>13134</v>
      </c>
      <c r="D150" s="2" t="s">
        <v>647</v>
      </c>
      <c r="E150" s="2" t="s">
        <v>647</v>
      </c>
      <c r="F150" s="2" t="s">
        <v>647</v>
      </c>
      <c r="G150" s="2" t="s">
        <v>647</v>
      </c>
      <c r="I150" s="2" t="s">
        <v>13135</v>
      </c>
    </row>
    <row r="151">
      <c r="A151" s="2" t="s">
        <v>13136</v>
      </c>
      <c r="B151" s="7" t="s">
        <v>857</v>
      </c>
      <c r="C151" s="2" t="s">
        <v>13137</v>
      </c>
      <c r="D151" s="2" t="s">
        <v>647</v>
      </c>
      <c r="E151" s="2" t="s">
        <v>647</v>
      </c>
      <c r="F151" s="2" t="s">
        <v>647</v>
      </c>
      <c r="G151" s="2" t="s">
        <v>647</v>
      </c>
      <c r="I151" s="2" t="s">
        <v>13138</v>
      </c>
    </row>
    <row r="152">
      <c r="A152" s="2" t="s">
        <v>13139</v>
      </c>
      <c r="B152" s="7" t="s">
        <v>858</v>
      </c>
      <c r="C152" s="2" t="s">
        <v>13140</v>
      </c>
      <c r="D152" s="2" t="s">
        <v>647</v>
      </c>
      <c r="E152" s="2" t="s">
        <v>647</v>
      </c>
      <c r="F152" s="2" t="s">
        <v>647</v>
      </c>
      <c r="G152" s="2" t="s">
        <v>647</v>
      </c>
      <c r="I152" s="2" t="s">
        <v>13141</v>
      </c>
    </row>
    <row r="153">
      <c r="A153" s="2" t="s">
        <v>13142</v>
      </c>
      <c r="B153" s="7" t="s">
        <v>859</v>
      </c>
      <c r="C153" s="2" t="s">
        <v>13143</v>
      </c>
      <c r="D153" s="2" t="s">
        <v>647</v>
      </c>
      <c r="E153" s="2" t="s">
        <v>647</v>
      </c>
      <c r="F153" s="2" t="s">
        <v>647</v>
      </c>
      <c r="G153" s="2" t="s">
        <v>647</v>
      </c>
      <c r="H153" s="2" t="s">
        <v>12723</v>
      </c>
      <c r="I153" s="2" t="s">
        <v>13144</v>
      </c>
    </row>
    <row r="154">
      <c r="A154" s="2" t="s">
        <v>13145</v>
      </c>
      <c r="B154" s="7" t="s">
        <v>860</v>
      </c>
      <c r="C154" s="2" t="s">
        <v>13146</v>
      </c>
      <c r="D154" s="2" t="s">
        <v>647</v>
      </c>
      <c r="E154" s="2" t="s">
        <v>647</v>
      </c>
      <c r="F154" s="2" t="s">
        <v>647</v>
      </c>
      <c r="G154" s="2" t="s">
        <v>647</v>
      </c>
      <c r="H154" s="2" t="s">
        <v>12723</v>
      </c>
      <c r="I154" s="2" t="s">
        <v>13147</v>
      </c>
    </row>
    <row r="155">
      <c r="A155" s="2" t="s">
        <v>13148</v>
      </c>
      <c r="B155" s="7" t="s">
        <v>861</v>
      </c>
      <c r="C155" s="2" t="s">
        <v>13149</v>
      </c>
      <c r="D155" s="2" t="s">
        <v>647</v>
      </c>
      <c r="E155" s="2" t="s">
        <v>647</v>
      </c>
      <c r="F155" s="2" t="s">
        <v>647</v>
      </c>
      <c r="G155" s="2" t="s">
        <v>647</v>
      </c>
      <c r="I155" s="2" t="s">
        <v>13150</v>
      </c>
    </row>
    <row r="156">
      <c r="A156" s="2" t="s">
        <v>13151</v>
      </c>
      <c r="B156" s="7" t="s">
        <v>862</v>
      </c>
      <c r="C156" s="2" t="s">
        <v>13152</v>
      </c>
      <c r="D156" s="2" t="s">
        <v>647</v>
      </c>
      <c r="E156" s="2" t="s">
        <v>647</v>
      </c>
      <c r="F156" s="2" t="s">
        <v>647</v>
      </c>
      <c r="G156" s="2" t="s">
        <v>647</v>
      </c>
      <c r="H156" s="2" t="s">
        <v>647</v>
      </c>
      <c r="I156" s="2" t="s">
        <v>13153</v>
      </c>
    </row>
    <row r="157">
      <c r="A157" s="2" t="s">
        <v>13154</v>
      </c>
      <c r="B157" s="7" t="s">
        <v>863</v>
      </c>
      <c r="C157" s="2" t="s">
        <v>13155</v>
      </c>
      <c r="D157" s="2" t="s">
        <v>647</v>
      </c>
      <c r="E157" s="2" t="s">
        <v>647</v>
      </c>
      <c r="F157" s="2" t="s">
        <v>647</v>
      </c>
      <c r="G157" s="2" t="s">
        <v>647</v>
      </c>
      <c r="H157" s="2" t="s">
        <v>647</v>
      </c>
      <c r="I157" s="2" t="s">
        <v>13156</v>
      </c>
    </row>
    <row r="158">
      <c r="A158" s="2" t="s">
        <v>13157</v>
      </c>
      <c r="B158" s="7" t="s">
        <v>864</v>
      </c>
      <c r="C158" s="2" t="s">
        <v>13158</v>
      </c>
      <c r="D158" s="2" t="s">
        <v>647</v>
      </c>
      <c r="E158" s="2" t="s">
        <v>647</v>
      </c>
      <c r="F158" s="2" t="s">
        <v>647</v>
      </c>
      <c r="G158" s="2" t="s">
        <v>647</v>
      </c>
      <c r="I158" s="2" t="s">
        <v>13159</v>
      </c>
    </row>
    <row r="159">
      <c r="A159" s="2" t="s">
        <v>13160</v>
      </c>
      <c r="B159" s="7" t="s">
        <v>865</v>
      </c>
      <c r="C159" s="2" t="s">
        <v>13161</v>
      </c>
      <c r="D159" s="2" t="s">
        <v>647</v>
      </c>
      <c r="E159" s="2" t="s">
        <v>647</v>
      </c>
      <c r="F159" s="2" t="s">
        <v>647</v>
      </c>
      <c r="G159" s="2" t="s">
        <v>647</v>
      </c>
      <c r="H159" s="2" t="s">
        <v>12723</v>
      </c>
      <c r="I159" s="2" t="s">
        <v>13162</v>
      </c>
    </row>
    <row r="160">
      <c r="A160" s="2" t="s">
        <v>13163</v>
      </c>
      <c r="B160" s="7" t="s">
        <v>866</v>
      </c>
      <c r="C160" s="2" t="s">
        <v>13164</v>
      </c>
      <c r="D160" s="2" t="s">
        <v>647</v>
      </c>
      <c r="E160" s="2" t="s">
        <v>647</v>
      </c>
      <c r="F160" s="2" t="s">
        <v>647</v>
      </c>
      <c r="G160" s="2" t="s">
        <v>647</v>
      </c>
      <c r="H160" s="2" t="s">
        <v>647</v>
      </c>
      <c r="I160" s="2" t="s">
        <v>13165</v>
      </c>
    </row>
    <row r="161">
      <c r="A161" s="2" t="s">
        <v>13166</v>
      </c>
      <c r="B161" s="7" t="s">
        <v>867</v>
      </c>
      <c r="C161" s="2" t="s">
        <v>13167</v>
      </c>
      <c r="D161" s="2" t="s">
        <v>647</v>
      </c>
      <c r="E161" s="2" t="s">
        <v>647</v>
      </c>
      <c r="F161" s="2" t="s">
        <v>647</v>
      </c>
      <c r="G161" s="2" t="s">
        <v>647</v>
      </c>
      <c r="H161" s="2" t="s">
        <v>647</v>
      </c>
      <c r="I161" s="2" t="s">
        <v>13168</v>
      </c>
    </row>
    <row r="162">
      <c r="A162" s="2" t="s">
        <v>13169</v>
      </c>
      <c r="B162" s="7" t="s">
        <v>868</v>
      </c>
      <c r="C162" s="2" t="s">
        <v>13170</v>
      </c>
      <c r="D162" s="2" t="s">
        <v>647</v>
      </c>
      <c r="E162" s="2" t="s">
        <v>647</v>
      </c>
      <c r="F162" s="2" t="s">
        <v>647</v>
      </c>
      <c r="G162" s="2" t="s">
        <v>647</v>
      </c>
      <c r="I162" s="2" t="s">
        <v>13171</v>
      </c>
    </row>
    <row r="163">
      <c r="A163" s="2" t="s">
        <v>13172</v>
      </c>
      <c r="B163" s="7" t="s">
        <v>869</v>
      </c>
      <c r="C163" s="2" t="s">
        <v>13173</v>
      </c>
      <c r="D163" s="2" t="s">
        <v>647</v>
      </c>
      <c r="E163" s="2" t="s">
        <v>647</v>
      </c>
      <c r="F163" s="2" t="s">
        <v>647</v>
      </c>
      <c r="G163" s="2" t="s">
        <v>647</v>
      </c>
      <c r="I163" s="2" t="s">
        <v>13174</v>
      </c>
    </row>
    <row r="164">
      <c r="A164" s="2" t="s">
        <v>13175</v>
      </c>
      <c r="B164" s="7" t="s">
        <v>870</v>
      </c>
      <c r="C164" s="2" t="s">
        <v>13176</v>
      </c>
      <c r="D164" s="2" t="s">
        <v>647</v>
      </c>
      <c r="E164" s="2" t="s">
        <v>647</v>
      </c>
      <c r="F164" s="2" t="s">
        <v>647</v>
      </c>
      <c r="G164" s="2" t="s">
        <v>647</v>
      </c>
      <c r="I164" s="2" t="s">
        <v>13177</v>
      </c>
    </row>
    <row r="165">
      <c r="A165" s="2" t="s">
        <v>13178</v>
      </c>
      <c r="B165" s="7" t="s">
        <v>871</v>
      </c>
      <c r="C165" s="2" t="s">
        <v>13179</v>
      </c>
      <c r="D165" s="2" t="s">
        <v>647</v>
      </c>
      <c r="E165" s="2" t="s">
        <v>647</v>
      </c>
      <c r="F165" s="2" t="s">
        <v>647</v>
      </c>
      <c r="G165" s="2" t="s">
        <v>647</v>
      </c>
      <c r="I165" s="2" t="s">
        <v>13180</v>
      </c>
    </row>
    <row r="166">
      <c r="A166" s="2" t="s">
        <v>13181</v>
      </c>
      <c r="B166" s="7" t="s">
        <v>872</v>
      </c>
      <c r="C166" s="2" t="s">
        <v>13182</v>
      </c>
      <c r="D166" s="2" t="s">
        <v>647</v>
      </c>
      <c r="E166" s="2" t="s">
        <v>647</v>
      </c>
      <c r="F166" s="2" t="s">
        <v>647</v>
      </c>
      <c r="G166" s="2" t="s">
        <v>647</v>
      </c>
      <c r="I166" s="2" t="s">
        <v>13183</v>
      </c>
    </row>
    <row r="167">
      <c r="A167" s="2" t="s">
        <v>13184</v>
      </c>
      <c r="B167" s="7" t="s">
        <v>873</v>
      </c>
      <c r="C167" s="2" t="s">
        <v>12723</v>
      </c>
      <c r="D167" s="2" t="s">
        <v>647</v>
      </c>
      <c r="E167" s="2" t="s">
        <v>647</v>
      </c>
      <c r="F167" s="2" t="s">
        <v>647</v>
      </c>
      <c r="G167" s="2" t="s">
        <v>647</v>
      </c>
      <c r="H167" s="2" t="s">
        <v>12723</v>
      </c>
      <c r="I167" s="2" t="s">
        <v>13185</v>
      </c>
    </row>
    <row r="168">
      <c r="A168" s="2" t="s">
        <v>13186</v>
      </c>
      <c r="B168" s="7" t="s">
        <v>874</v>
      </c>
      <c r="C168" s="2" t="s">
        <v>13187</v>
      </c>
      <c r="D168" s="2" t="s">
        <v>647</v>
      </c>
      <c r="E168" s="2" t="s">
        <v>647</v>
      </c>
      <c r="F168" s="2" t="s">
        <v>647</v>
      </c>
      <c r="G168" s="2" t="s">
        <v>647</v>
      </c>
      <c r="I168" s="2" t="s">
        <v>13188</v>
      </c>
    </row>
    <row r="169">
      <c r="A169" s="2" t="s">
        <v>13189</v>
      </c>
      <c r="B169" s="7" t="s">
        <v>875</v>
      </c>
      <c r="C169" s="2" t="s">
        <v>13190</v>
      </c>
      <c r="D169" s="2" t="s">
        <v>647</v>
      </c>
      <c r="E169" s="2" t="s">
        <v>647</v>
      </c>
      <c r="F169" s="2" t="s">
        <v>647</v>
      </c>
      <c r="G169" s="2" t="s">
        <v>647</v>
      </c>
      <c r="I169" s="2" t="s">
        <v>13191</v>
      </c>
    </row>
    <row r="170">
      <c r="A170" s="2" t="s">
        <v>13192</v>
      </c>
      <c r="B170" s="7" t="s">
        <v>876</v>
      </c>
      <c r="C170" s="2" t="s">
        <v>13193</v>
      </c>
      <c r="D170" s="2" t="s">
        <v>647</v>
      </c>
      <c r="E170" s="2" t="s">
        <v>647</v>
      </c>
      <c r="F170" s="2" t="s">
        <v>647</v>
      </c>
      <c r="G170" s="2" t="s">
        <v>647</v>
      </c>
      <c r="H170" s="2" t="s">
        <v>12723</v>
      </c>
      <c r="I170" s="2" t="s">
        <v>13194</v>
      </c>
    </row>
    <row r="171">
      <c r="A171" s="2" t="s">
        <v>13195</v>
      </c>
      <c r="B171" s="7" t="s">
        <v>877</v>
      </c>
      <c r="C171" s="2" t="s">
        <v>13196</v>
      </c>
      <c r="D171" s="2" t="s">
        <v>647</v>
      </c>
      <c r="E171" s="2" t="s">
        <v>647</v>
      </c>
      <c r="F171" s="2" t="s">
        <v>647</v>
      </c>
      <c r="G171" s="2" t="s">
        <v>647</v>
      </c>
      <c r="I171" s="2" t="s">
        <v>13197</v>
      </c>
    </row>
    <row r="172">
      <c r="A172" s="2" t="s">
        <v>13198</v>
      </c>
      <c r="B172" s="7" t="s">
        <v>878</v>
      </c>
      <c r="C172" s="2" t="s">
        <v>13199</v>
      </c>
      <c r="D172" s="2" t="s">
        <v>647</v>
      </c>
      <c r="E172" s="2" t="s">
        <v>647</v>
      </c>
      <c r="F172" s="2" t="s">
        <v>647</v>
      </c>
      <c r="G172" s="2" t="s">
        <v>647</v>
      </c>
      <c r="I172" s="2" t="s">
        <v>13200</v>
      </c>
    </row>
    <row r="173">
      <c r="A173" s="2" t="s">
        <v>13201</v>
      </c>
      <c r="B173" s="7" t="s">
        <v>879</v>
      </c>
      <c r="C173" s="2" t="s">
        <v>13202</v>
      </c>
      <c r="D173" s="2" t="s">
        <v>647</v>
      </c>
      <c r="E173" s="2" t="s">
        <v>647</v>
      </c>
      <c r="F173" s="2" t="s">
        <v>647</v>
      </c>
      <c r="G173" s="2" t="s">
        <v>647</v>
      </c>
      <c r="I173" s="2" t="s">
        <v>13203</v>
      </c>
    </row>
    <row r="174">
      <c r="A174" s="2" t="s">
        <v>13204</v>
      </c>
      <c r="B174" s="7" t="s">
        <v>880</v>
      </c>
      <c r="C174" s="2" t="s">
        <v>13205</v>
      </c>
      <c r="D174" s="2" t="s">
        <v>647</v>
      </c>
      <c r="E174" s="2" t="s">
        <v>647</v>
      </c>
      <c r="F174" s="2" t="s">
        <v>647</v>
      </c>
      <c r="G174" s="2" t="s">
        <v>647</v>
      </c>
      <c r="H174" s="2" t="s">
        <v>12723</v>
      </c>
      <c r="I174" s="2" t="s">
        <v>13206</v>
      </c>
    </row>
    <row r="175">
      <c r="A175" s="2" t="s">
        <v>13207</v>
      </c>
      <c r="B175" s="7" t="s">
        <v>881</v>
      </c>
      <c r="C175" s="2" t="s">
        <v>13208</v>
      </c>
      <c r="D175" s="2" t="s">
        <v>647</v>
      </c>
      <c r="E175" s="2" t="s">
        <v>647</v>
      </c>
      <c r="F175" s="2" t="s">
        <v>647</v>
      </c>
      <c r="G175" s="2" t="s">
        <v>647</v>
      </c>
      <c r="H175" s="2" t="s">
        <v>12723</v>
      </c>
      <c r="I175" s="2" t="s">
        <v>13209</v>
      </c>
    </row>
    <row r="176">
      <c r="A176" s="2" t="s">
        <v>13210</v>
      </c>
      <c r="B176" s="7" t="s">
        <v>882</v>
      </c>
      <c r="C176" s="2" t="s">
        <v>13211</v>
      </c>
      <c r="D176" s="2" t="s">
        <v>647</v>
      </c>
      <c r="E176" s="2" t="s">
        <v>647</v>
      </c>
      <c r="F176" s="2" t="s">
        <v>647</v>
      </c>
      <c r="G176" s="2" t="s">
        <v>647</v>
      </c>
      <c r="H176" s="2" t="s">
        <v>12723</v>
      </c>
      <c r="I176" s="2" t="s">
        <v>13212</v>
      </c>
    </row>
    <row r="177">
      <c r="A177" s="2" t="s">
        <v>13213</v>
      </c>
      <c r="B177" s="7" t="s">
        <v>883</v>
      </c>
      <c r="C177" s="2" t="s">
        <v>13214</v>
      </c>
      <c r="D177" s="2" t="s">
        <v>647</v>
      </c>
      <c r="E177" s="2" t="s">
        <v>647</v>
      </c>
      <c r="F177" s="2" t="s">
        <v>647</v>
      </c>
      <c r="G177" s="2" t="s">
        <v>647</v>
      </c>
      <c r="I177" s="2" t="s">
        <v>13215</v>
      </c>
    </row>
    <row r="178">
      <c r="A178" s="2" t="s">
        <v>13216</v>
      </c>
      <c r="B178" s="7" t="s">
        <v>884</v>
      </c>
      <c r="C178" s="2" t="s">
        <v>13217</v>
      </c>
      <c r="D178" s="2" t="s">
        <v>647</v>
      </c>
      <c r="E178" s="2" t="s">
        <v>647</v>
      </c>
      <c r="F178" s="2" t="s">
        <v>647</v>
      </c>
      <c r="G178" s="2" t="s">
        <v>647</v>
      </c>
      <c r="I178" s="2" t="s">
        <v>13218</v>
      </c>
    </row>
    <row r="179">
      <c r="A179" s="2" t="s">
        <v>13219</v>
      </c>
      <c r="B179" s="7" t="s">
        <v>885</v>
      </c>
      <c r="C179" s="2" t="s">
        <v>13220</v>
      </c>
      <c r="D179" s="2" t="s">
        <v>647</v>
      </c>
      <c r="E179" s="2" t="s">
        <v>647</v>
      </c>
      <c r="F179" s="2" t="s">
        <v>647</v>
      </c>
      <c r="G179" s="2" t="s">
        <v>647</v>
      </c>
      <c r="H179" s="2" t="s">
        <v>12723</v>
      </c>
      <c r="I179" s="2" t="s">
        <v>13221</v>
      </c>
    </row>
    <row r="180">
      <c r="A180" s="2" t="s">
        <v>13222</v>
      </c>
      <c r="B180" s="7" t="s">
        <v>886</v>
      </c>
      <c r="C180" s="2" t="s">
        <v>13223</v>
      </c>
      <c r="D180" s="2" t="s">
        <v>647</v>
      </c>
      <c r="E180" s="2" t="s">
        <v>647</v>
      </c>
      <c r="F180" s="2" t="s">
        <v>647</v>
      </c>
      <c r="G180" s="2" t="s">
        <v>647</v>
      </c>
      <c r="I180" s="2" t="s">
        <v>13224</v>
      </c>
    </row>
    <row r="181">
      <c r="A181" s="2" t="s">
        <v>13225</v>
      </c>
      <c r="B181" s="7" t="s">
        <v>887</v>
      </c>
      <c r="C181" s="2" t="s">
        <v>13226</v>
      </c>
      <c r="D181" s="2" t="s">
        <v>647</v>
      </c>
      <c r="E181" s="2" t="s">
        <v>647</v>
      </c>
      <c r="F181" s="2" t="s">
        <v>647</v>
      </c>
      <c r="G181" s="2" t="s">
        <v>647</v>
      </c>
      <c r="H181" s="2" t="s">
        <v>647</v>
      </c>
      <c r="I181" s="2" t="s">
        <v>13227</v>
      </c>
    </row>
    <row r="182">
      <c r="A182" s="2" t="s">
        <v>13228</v>
      </c>
      <c r="B182" s="7" t="s">
        <v>888</v>
      </c>
      <c r="C182" s="2" t="s">
        <v>13229</v>
      </c>
      <c r="D182" s="2" t="s">
        <v>647</v>
      </c>
      <c r="E182" s="2" t="s">
        <v>647</v>
      </c>
      <c r="F182" s="2" t="s">
        <v>647</v>
      </c>
      <c r="G182" s="2" t="s">
        <v>647</v>
      </c>
      <c r="H182" s="2" t="s">
        <v>12723</v>
      </c>
      <c r="I182" s="2" t="s">
        <v>13230</v>
      </c>
    </row>
    <row r="183">
      <c r="A183" s="2" t="s">
        <v>13231</v>
      </c>
      <c r="B183" s="7" t="s">
        <v>889</v>
      </c>
      <c r="C183" s="2" t="s">
        <v>13232</v>
      </c>
      <c r="D183" s="2" t="s">
        <v>647</v>
      </c>
      <c r="E183" s="2" t="s">
        <v>647</v>
      </c>
      <c r="F183" s="2" t="s">
        <v>647</v>
      </c>
      <c r="G183" s="2" t="s">
        <v>647</v>
      </c>
      <c r="I183" s="2" t="s">
        <v>13233</v>
      </c>
    </row>
    <row r="184">
      <c r="A184" s="2" t="s">
        <v>13234</v>
      </c>
      <c r="B184" s="7" t="s">
        <v>890</v>
      </c>
      <c r="C184" s="2" t="s">
        <v>13235</v>
      </c>
      <c r="D184" s="2" t="s">
        <v>647</v>
      </c>
      <c r="E184" s="2" t="s">
        <v>647</v>
      </c>
      <c r="F184" s="2" t="s">
        <v>647</v>
      </c>
      <c r="G184" s="2" t="s">
        <v>647</v>
      </c>
      <c r="I184" s="2" t="s">
        <v>13236</v>
      </c>
    </row>
    <row r="185">
      <c r="A185" s="2" t="s">
        <v>13237</v>
      </c>
      <c r="B185" s="7" t="s">
        <v>891</v>
      </c>
      <c r="C185" s="2" t="s">
        <v>13238</v>
      </c>
      <c r="D185" s="2" t="s">
        <v>647</v>
      </c>
      <c r="E185" s="2" t="s">
        <v>647</v>
      </c>
      <c r="F185" s="2" t="s">
        <v>647</v>
      </c>
      <c r="G185" s="2" t="s">
        <v>647</v>
      </c>
      <c r="I185" s="2" t="s">
        <v>13239</v>
      </c>
    </row>
    <row r="186">
      <c r="A186" s="2" t="s">
        <v>13240</v>
      </c>
      <c r="B186" s="7" t="s">
        <v>892</v>
      </c>
      <c r="C186" s="2" t="s">
        <v>13241</v>
      </c>
      <c r="D186" s="2" t="s">
        <v>647</v>
      </c>
      <c r="E186" s="2" t="s">
        <v>647</v>
      </c>
      <c r="F186" s="2" t="s">
        <v>647</v>
      </c>
      <c r="G186" s="2" t="s">
        <v>647</v>
      </c>
    </row>
    <row r="187">
      <c r="A187" s="2" t="s">
        <v>13242</v>
      </c>
      <c r="B187" s="7" t="s">
        <v>893</v>
      </c>
      <c r="C187" s="2" t="s">
        <v>13243</v>
      </c>
      <c r="D187" s="2" t="s">
        <v>647</v>
      </c>
      <c r="E187" s="2" t="s">
        <v>647</v>
      </c>
      <c r="F187" s="2" t="s">
        <v>647</v>
      </c>
      <c r="G187" s="2" t="s">
        <v>647</v>
      </c>
      <c r="H187" s="2" t="s">
        <v>12719</v>
      </c>
      <c r="I187" s="2" t="s">
        <v>13244</v>
      </c>
    </row>
    <row r="188">
      <c r="A188" s="2" t="s">
        <v>13245</v>
      </c>
      <c r="B188" s="2" t="s">
        <v>647</v>
      </c>
      <c r="C188" s="2" t="s">
        <v>13246</v>
      </c>
      <c r="D188" s="2" t="s">
        <v>647</v>
      </c>
      <c r="E188" s="2" t="s">
        <v>647</v>
      </c>
      <c r="F188" s="2" t="s">
        <v>647</v>
      </c>
      <c r="G188" s="2" t="s">
        <v>647</v>
      </c>
      <c r="I188" s="2" t="s">
        <v>13247</v>
      </c>
    </row>
    <row r="189">
      <c r="A189" s="2" t="s">
        <v>13248</v>
      </c>
      <c r="B189" s="7" t="s">
        <v>894</v>
      </c>
      <c r="C189" s="2" t="s">
        <v>13249</v>
      </c>
      <c r="D189" s="2" t="s">
        <v>647</v>
      </c>
      <c r="E189" s="2" t="s">
        <v>647</v>
      </c>
      <c r="F189" s="2" t="s">
        <v>647</v>
      </c>
      <c r="G189" s="2" t="s">
        <v>647</v>
      </c>
      <c r="H189" s="2" t="s">
        <v>12723</v>
      </c>
      <c r="I189" s="2" t="s">
        <v>13250</v>
      </c>
    </row>
    <row r="190">
      <c r="A190" s="2" t="s">
        <v>13251</v>
      </c>
      <c r="B190" s="7" t="s">
        <v>895</v>
      </c>
      <c r="C190" s="2" t="s">
        <v>13252</v>
      </c>
      <c r="D190" s="2" t="s">
        <v>647</v>
      </c>
      <c r="E190" s="2" t="s">
        <v>647</v>
      </c>
      <c r="F190" s="2" t="s">
        <v>647</v>
      </c>
      <c r="G190" s="2" t="s">
        <v>647</v>
      </c>
      <c r="I190" s="2" t="s">
        <v>13253</v>
      </c>
    </row>
    <row r="191">
      <c r="A191" s="2" t="s">
        <v>13254</v>
      </c>
      <c r="B191" s="7" t="s">
        <v>896</v>
      </c>
      <c r="C191" s="2" t="s">
        <v>13255</v>
      </c>
      <c r="D191" s="2" t="s">
        <v>647</v>
      </c>
      <c r="E191" s="2" t="s">
        <v>647</v>
      </c>
      <c r="F191" s="2" t="s">
        <v>647</v>
      </c>
      <c r="G191" s="2" t="s">
        <v>647</v>
      </c>
      <c r="I191" s="2" t="s">
        <v>13256</v>
      </c>
    </row>
    <row r="192">
      <c r="A192" s="2" t="s">
        <v>13257</v>
      </c>
      <c r="B192" s="7" t="s">
        <v>897</v>
      </c>
      <c r="C192" s="2" t="s">
        <v>13258</v>
      </c>
      <c r="D192" s="2" t="s">
        <v>647</v>
      </c>
      <c r="E192" s="2" t="s">
        <v>647</v>
      </c>
      <c r="F192" s="2" t="s">
        <v>647</v>
      </c>
      <c r="G192" s="2" t="s">
        <v>647</v>
      </c>
      <c r="I192" s="2" t="s">
        <v>13259</v>
      </c>
    </row>
    <row r="193">
      <c r="A193" s="2" t="s">
        <v>13260</v>
      </c>
      <c r="B193" s="7" t="s">
        <v>898</v>
      </c>
      <c r="C193" s="2" t="s">
        <v>13261</v>
      </c>
      <c r="D193" s="2" t="s">
        <v>647</v>
      </c>
      <c r="E193" s="2" t="s">
        <v>647</v>
      </c>
      <c r="F193" s="2" t="s">
        <v>647</v>
      </c>
      <c r="G193" s="2" t="s">
        <v>647</v>
      </c>
      <c r="H193" s="2" t="s">
        <v>12723</v>
      </c>
      <c r="I193" s="2" t="s">
        <v>13262</v>
      </c>
    </row>
    <row r="194">
      <c r="A194" s="2" t="s">
        <v>13263</v>
      </c>
      <c r="B194" s="7" t="s">
        <v>899</v>
      </c>
      <c r="C194" s="2" t="s">
        <v>13264</v>
      </c>
      <c r="D194" s="2" t="s">
        <v>647</v>
      </c>
      <c r="E194" s="2" t="s">
        <v>647</v>
      </c>
      <c r="F194" s="2" t="s">
        <v>647</v>
      </c>
      <c r="G194" s="2" t="s">
        <v>647</v>
      </c>
      <c r="I194" s="2" t="s">
        <v>13265</v>
      </c>
    </row>
    <row r="195">
      <c r="A195" s="2" t="s">
        <v>13266</v>
      </c>
      <c r="B195" s="2" t="s">
        <v>647</v>
      </c>
      <c r="C195" s="2" t="s">
        <v>13267</v>
      </c>
      <c r="D195" s="2" t="s">
        <v>647</v>
      </c>
      <c r="E195" s="2" t="s">
        <v>647</v>
      </c>
      <c r="F195" s="2" t="s">
        <v>647</v>
      </c>
      <c r="G195" s="2" t="s">
        <v>647</v>
      </c>
      <c r="I195" s="2" t="s">
        <v>13268</v>
      </c>
    </row>
    <row r="196">
      <c r="A196" s="2" t="s">
        <v>13269</v>
      </c>
      <c r="B196" s="7" t="s">
        <v>900</v>
      </c>
      <c r="C196" s="2" t="s">
        <v>13270</v>
      </c>
      <c r="D196" s="2" t="s">
        <v>647</v>
      </c>
      <c r="E196" s="2" t="s">
        <v>647</v>
      </c>
      <c r="F196" s="2" t="s">
        <v>647</v>
      </c>
      <c r="G196" s="2" t="s">
        <v>647</v>
      </c>
      <c r="H196" s="2" t="s">
        <v>12733</v>
      </c>
      <c r="I196" s="2" t="s">
        <v>5290</v>
      </c>
    </row>
    <row r="197">
      <c r="A197" s="7" t="s">
        <v>13271</v>
      </c>
      <c r="B197" s="7" t="s">
        <v>901</v>
      </c>
      <c r="C197" s="2" t="s">
        <v>13272</v>
      </c>
      <c r="D197" s="2" t="s">
        <v>647</v>
      </c>
      <c r="E197" s="2" t="s">
        <v>647</v>
      </c>
      <c r="F197" s="2" t="s">
        <v>647</v>
      </c>
      <c r="G197" s="2" t="s">
        <v>647</v>
      </c>
      <c r="I197" s="2" t="s">
        <v>13273</v>
      </c>
    </row>
    <row r="198">
      <c r="A198" s="2" t="s">
        <v>13274</v>
      </c>
      <c r="B198" s="7" t="s">
        <v>902</v>
      </c>
      <c r="C198" s="2" t="s">
        <v>13275</v>
      </c>
      <c r="D198" s="2" t="s">
        <v>647</v>
      </c>
      <c r="E198" s="2" t="s">
        <v>647</v>
      </c>
      <c r="F198" s="2" t="s">
        <v>647</v>
      </c>
      <c r="G198" s="2" t="s">
        <v>647</v>
      </c>
      <c r="H198" s="2" t="s">
        <v>12733</v>
      </c>
      <c r="I198" s="2" t="s">
        <v>13276</v>
      </c>
    </row>
    <row r="199">
      <c r="A199" s="2" t="s">
        <v>13277</v>
      </c>
      <c r="B199" s="7" t="s">
        <v>903</v>
      </c>
      <c r="C199" s="2" t="s">
        <v>13278</v>
      </c>
      <c r="D199" s="2" t="s">
        <v>647</v>
      </c>
      <c r="E199" s="2" t="s">
        <v>647</v>
      </c>
      <c r="F199" s="2" t="s">
        <v>647</v>
      </c>
      <c r="G199" s="2" t="s">
        <v>647</v>
      </c>
      <c r="I199" s="2" t="s">
        <v>13279</v>
      </c>
    </row>
    <row r="200">
      <c r="A200" s="2" t="s">
        <v>13280</v>
      </c>
      <c r="B200" s="7" t="s">
        <v>904</v>
      </c>
      <c r="C200" s="2" t="s">
        <v>13281</v>
      </c>
      <c r="D200" s="2" t="s">
        <v>647</v>
      </c>
      <c r="E200" s="2" t="s">
        <v>647</v>
      </c>
      <c r="F200" s="2" t="s">
        <v>647</v>
      </c>
      <c r="G200" s="2" t="s">
        <v>647</v>
      </c>
      <c r="H200" s="2" t="s">
        <v>647</v>
      </c>
      <c r="I200" s="2" t="s">
        <v>13282</v>
      </c>
    </row>
    <row r="201">
      <c r="A201" s="2" t="s">
        <v>13283</v>
      </c>
      <c r="B201" s="2" t="s">
        <v>647</v>
      </c>
      <c r="C201" s="2" t="s">
        <v>13284</v>
      </c>
      <c r="D201" s="2" t="s">
        <v>647</v>
      </c>
      <c r="E201" s="2" t="s">
        <v>647</v>
      </c>
      <c r="F201" s="2" t="s">
        <v>647</v>
      </c>
      <c r="G201" s="2" t="s">
        <v>647</v>
      </c>
      <c r="H201" s="2" t="s">
        <v>647</v>
      </c>
      <c r="I201" s="2" t="s">
        <v>13285</v>
      </c>
    </row>
    <row r="202">
      <c r="A202" s="2" t="s">
        <v>13286</v>
      </c>
      <c r="B202" s="7" t="s">
        <v>905</v>
      </c>
      <c r="C202" s="2" t="s">
        <v>13287</v>
      </c>
      <c r="D202" s="2" t="s">
        <v>647</v>
      </c>
      <c r="E202" s="2" t="s">
        <v>647</v>
      </c>
      <c r="F202" s="2" t="s">
        <v>647</v>
      </c>
      <c r="G202" s="2" t="s">
        <v>647</v>
      </c>
      <c r="H202" s="2" t="s">
        <v>12723</v>
      </c>
      <c r="I202" s="2" t="s">
        <v>13288</v>
      </c>
    </row>
    <row r="203">
      <c r="A203" s="2" t="s">
        <v>13289</v>
      </c>
      <c r="B203" s="7" t="s">
        <v>906</v>
      </c>
      <c r="C203" s="2" t="s">
        <v>13290</v>
      </c>
      <c r="D203" s="2" t="s">
        <v>647</v>
      </c>
      <c r="E203" s="2" t="s">
        <v>647</v>
      </c>
      <c r="F203" s="2" t="s">
        <v>647</v>
      </c>
      <c r="G203" s="2" t="s">
        <v>647</v>
      </c>
      <c r="H203" s="2" t="s">
        <v>12723</v>
      </c>
      <c r="I203" s="2" t="s">
        <v>13291</v>
      </c>
    </row>
    <row r="204">
      <c r="A204" s="2" t="s">
        <v>13292</v>
      </c>
      <c r="B204" s="7" t="s">
        <v>907</v>
      </c>
      <c r="C204" s="2" t="s">
        <v>13293</v>
      </c>
      <c r="D204" s="2" t="s">
        <v>647</v>
      </c>
      <c r="E204" s="2" t="s">
        <v>647</v>
      </c>
      <c r="F204" s="2" t="s">
        <v>647</v>
      </c>
      <c r="G204" s="2" t="s">
        <v>647</v>
      </c>
      <c r="H204" s="2" t="s">
        <v>12719</v>
      </c>
      <c r="I204" s="2" t="s">
        <v>13294</v>
      </c>
    </row>
    <row r="205">
      <c r="A205" s="2" t="s">
        <v>13295</v>
      </c>
      <c r="B205" s="2" t="s">
        <v>647</v>
      </c>
      <c r="C205" s="2" t="s">
        <v>13296</v>
      </c>
      <c r="D205" s="2" t="s">
        <v>647</v>
      </c>
      <c r="E205" s="2" t="s">
        <v>647</v>
      </c>
      <c r="F205" s="2" t="s">
        <v>647</v>
      </c>
      <c r="G205" s="2" t="s">
        <v>647</v>
      </c>
      <c r="I205" s="2" t="s">
        <v>13297</v>
      </c>
    </row>
    <row r="206">
      <c r="A206" s="2" t="s">
        <v>13298</v>
      </c>
      <c r="B206" s="7" t="s">
        <v>908</v>
      </c>
      <c r="C206" s="2" t="s">
        <v>13299</v>
      </c>
      <c r="D206" s="2" t="s">
        <v>647</v>
      </c>
      <c r="E206" s="2" t="s">
        <v>647</v>
      </c>
      <c r="F206" s="2" t="s">
        <v>647</v>
      </c>
      <c r="G206" s="2" t="s">
        <v>647</v>
      </c>
      <c r="I206" s="2" t="s">
        <v>13300</v>
      </c>
    </row>
    <row r="207">
      <c r="A207" s="2" t="s">
        <v>13301</v>
      </c>
      <c r="B207" s="7" t="s">
        <v>909</v>
      </c>
      <c r="C207" s="2" t="s">
        <v>13302</v>
      </c>
      <c r="D207" s="2" t="s">
        <v>647</v>
      </c>
      <c r="E207" s="2" t="s">
        <v>647</v>
      </c>
      <c r="F207" s="2" t="s">
        <v>647</v>
      </c>
      <c r="G207" s="2" t="s">
        <v>647</v>
      </c>
      <c r="I207" s="2" t="s">
        <v>13303</v>
      </c>
    </row>
    <row r="208">
      <c r="A208" s="2" t="s">
        <v>13304</v>
      </c>
      <c r="B208" s="7" t="s">
        <v>910</v>
      </c>
      <c r="C208" s="2" t="s">
        <v>13305</v>
      </c>
      <c r="D208" s="2" t="s">
        <v>647</v>
      </c>
      <c r="E208" s="2" t="s">
        <v>647</v>
      </c>
      <c r="F208" s="2" t="s">
        <v>647</v>
      </c>
      <c r="G208" s="2" t="s">
        <v>647</v>
      </c>
      <c r="H208" s="2" t="s">
        <v>647</v>
      </c>
      <c r="I208" s="2" t="s">
        <v>13306</v>
      </c>
    </row>
    <row r="209">
      <c r="A209" s="2" t="s">
        <v>13307</v>
      </c>
      <c r="B209" s="7" t="s">
        <v>911</v>
      </c>
      <c r="C209" s="2" t="s">
        <v>13308</v>
      </c>
      <c r="D209" s="2" t="s">
        <v>647</v>
      </c>
      <c r="E209" s="2" t="s">
        <v>647</v>
      </c>
      <c r="F209" s="2" t="s">
        <v>647</v>
      </c>
      <c r="G209" s="2" t="s">
        <v>647</v>
      </c>
      <c r="I209" s="2" t="s">
        <v>13309</v>
      </c>
    </row>
    <row r="210">
      <c r="A210" s="2" t="s">
        <v>13310</v>
      </c>
      <c r="B210" s="7" t="s">
        <v>912</v>
      </c>
      <c r="C210" s="2" t="s">
        <v>13311</v>
      </c>
      <c r="D210" s="2" t="s">
        <v>647</v>
      </c>
      <c r="E210" s="2" t="s">
        <v>647</v>
      </c>
      <c r="F210" s="2" t="s">
        <v>647</v>
      </c>
      <c r="G210" s="2" t="s">
        <v>647</v>
      </c>
      <c r="I210" s="2" t="s">
        <v>13312</v>
      </c>
    </row>
    <row r="211">
      <c r="A211" s="2" t="s">
        <v>13313</v>
      </c>
      <c r="B211" s="7" t="s">
        <v>913</v>
      </c>
      <c r="C211" s="2" t="s">
        <v>13314</v>
      </c>
      <c r="D211" s="2" t="s">
        <v>647</v>
      </c>
      <c r="E211" s="2" t="s">
        <v>647</v>
      </c>
      <c r="F211" s="2" t="s">
        <v>647</v>
      </c>
      <c r="G211" s="2" t="s">
        <v>647</v>
      </c>
      <c r="I211" s="2" t="s">
        <v>13315</v>
      </c>
    </row>
    <row r="212">
      <c r="A212" s="2" t="s">
        <v>13316</v>
      </c>
      <c r="B212" s="7" t="s">
        <v>914</v>
      </c>
      <c r="C212" s="2" t="s">
        <v>13317</v>
      </c>
      <c r="D212" s="2" t="s">
        <v>647</v>
      </c>
      <c r="E212" s="2" t="s">
        <v>647</v>
      </c>
      <c r="F212" s="2" t="s">
        <v>647</v>
      </c>
      <c r="G212" s="2" t="s">
        <v>647</v>
      </c>
      <c r="H212" s="2" t="s">
        <v>12723</v>
      </c>
      <c r="I212" s="2" t="s">
        <v>13318</v>
      </c>
    </row>
    <row r="213">
      <c r="A213" s="2" t="s">
        <v>13319</v>
      </c>
      <c r="B213" s="7" t="s">
        <v>915</v>
      </c>
      <c r="C213" s="2" t="s">
        <v>13320</v>
      </c>
      <c r="D213" s="2" t="s">
        <v>647</v>
      </c>
      <c r="E213" s="2" t="s">
        <v>647</v>
      </c>
      <c r="F213" s="2" t="s">
        <v>647</v>
      </c>
      <c r="G213" s="2" t="s">
        <v>647</v>
      </c>
      <c r="H213" s="2" t="s">
        <v>647</v>
      </c>
      <c r="I213" s="2" t="s">
        <v>13321</v>
      </c>
    </row>
    <row r="214">
      <c r="A214" s="2" t="s">
        <v>13322</v>
      </c>
      <c r="B214" s="7" t="s">
        <v>916</v>
      </c>
      <c r="C214" s="2" t="s">
        <v>12719</v>
      </c>
      <c r="D214" s="2" t="s">
        <v>647</v>
      </c>
      <c r="E214" s="2" t="s">
        <v>647</v>
      </c>
      <c r="F214" s="2" t="s">
        <v>647</v>
      </c>
      <c r="G214" s="2" t="s">
        <v>647</v>
      </c>
      <c r="H214" s="2" t="s">
        <v>12719</v>
      </c>
      <c r="I214" s="2" t="s">
        <v>13323</v>
      </c>
    </row>
    <row r="215">
      <c r="A215" s="2" t="s">
        <v>13324</v>
      </c>
      <c r="B215" s="7" t="s">
        <v>917</v>
      </c>
      <c r="C215" s="2" t="s">
        <v>13325</v>
      </c>
      <c r="D215" s="2" t="s">
        <v>647</v>
      </c>
      <c r="E215" s="2" t="s">
        <v>647</v>
      </c>
      <c r="F215" s="2" t="s">
        <v>647</v>
      </c>
      <c r="G215" s="2" t="s">
        <v>647</v>
      </c>
      <c r="H215" s="2" t="s">
        <v>12719</v>
      </c>
      <c r="I215" s="2" t="s">
        <v>13326</v>
      </c>
    </row>
    <row r="216">
      <c r="A216" s="2" t="s">
        <v>13327</v>
      </c>
      <c r="B216" s="7" t="s">
        <v>918</v>
      </c>
      <c r="C216" s="2" t="s">
        <v>13328</v>
      </c>
      <c r="D216" s="2" t="s">
        <v>647</v>
      </c>
      <c r="E216" s="2" t="s">
        <v>647</v>
      </c>
      <c r="F216" s="2" t="s">
        <v>647</v>
      </c>
      <c r="G216" s="2" t="s">
        <v>647</v>
      </c>
      <c r="I216" s="2" t="s">
        <v>13329</v>
      </c>
    </row>
    <row r="217">
      <c r="A217" s="2" t="s">
        <v>13330</v>
      </c>
      <c r="B217" s="7" t="s">
        <v>919</v>
      </c>
      <c r="C217" s="2" t="s">
        <v>13331</v>
      </c>
      <c r="D217" s="2" t="s">
        <v>647</v>
      </c>
      <c r="E217" s="2" t="s">
        <v>647</v>
      </c>
      <c r="F217" s="2" t="s">
        <v>647</v>
      </c>
      <c r="G217" s="2" t="s">
        <v>647</v>
      </c>
      <c r="I217" s="2" t="s">
        <v>13332</v>
      </c>
    </row>
    <row r="218">
      <c r="A218" s="2" t="s">
        <v>13333</v>
      </c>
      <c r="B218" s="7" t="s">
        <v>920</v>
      </c>
      <c r="C218" s="2" t="s">
        <v>13334</v>
      </c>
      <c r="D218" s="2" t="s">
        <v>647</v>
      </c>
      <c r="E218" s="2" t="s">
        <v>647</v>
      </c>
      <c r="F218" s="2" t="s">
        <v>647</v>
      </c>
      <c r="G218" s="2" t="s">
        <v>647</v>
      </c>
      <c r="I218" s="2" t="s">
        <v>13335</v>
      </c>
    </row>
    <row r="219">
      <c r="A219" s="2" t="s">
        <v>13336</v>
      </c>
      <c r="B219" s="7" t="s">
        <v>921</v>
      </c>
      <c r="C219" s="2" t="s">
        <v>13337</v>
      </c>
      <c r="D219" s="2" t="s">
        <v>647</v>
      </c>
      <c r="E219" s="2" t="s">
        <v>647</v>
      </c>
      <c r="F219" s="2" t="s">
        <v>647</v>
      </c>
      <c r="G219" s="2" t="s">
        <v>647</v>
      </c>
      <c r="H219" s="2" t="s">
        <v>647</v>
      </c>
      <c r="I219" s="2" t="s">
        <v>13338</v>
      </c>
    </row>
    <row r="220">
      <c r="A220" s="2" t="s">
        <v>13339</v>
      </c>
      <c r="B220" s="7" t="s">
        <v>922</v>
      </c>
      <c r="C220" s="2" t="s">
        <v>13340</v>
      </c>
      <c r="D220" s="2" t="s">
        <v>647</v>
      </c>
      <c r="E220" s="2" t="s">
        <v>647</v>
      </c>
      <c r="F220" s="2" t="s">
        <v>647</v>
      </c>
      <c r="G220" s="2" t="s">
        <v>647</v>
      </c>
      <c r="I220" s="2" t="s">
        <v>13341</v>
      </c>
    </row>
    <row r="221">
      <c r="A221" s="2" t="s">
        <v>13342</v>
      </c>
      <c r="B221" s="7" t="s">
        <v>923</v>
      </c>
      <c r="C221" s="2" t="s">
        <v>13343</v>
      </c>
      <c r="D221" s="2" t="s">
        <v>647</v>
      </c>
      <c r="E221" s="2" t="s">
        <v>647</v>
      </c>
      <c r="F221" s="2" t="s">
        <v>647</v>
      </c>
      <c r="G221" s="2" t="s">
        <v>647</v>
      </c>
      <c r="I221" s="2" t="s">
        <v>13344</v>
      </c>
    </row>
    <row r="222">
      <c r="A222" s="2" t="s">
        <v>13345</v>
      </c>
      <c r="B222" s="7" t="s">
        <v>691</v>
      </c>
      <c r="C222" s="2" t="s">
        <v>13346</v>
      </c>
      <c r="D222" s="2" t="s">
        <v>647</v>
      </c>
      <c r="E222" s="2" t="s">
        <v>647</v>
      </c>
      <c r="F222" s="2" t="s">
        <v>647</v>
      </c>
      <c r="G222" s="2" t="s">
        <v>647</v>
      </c>
      <c r="I222" s="2" t="s">
        <v>13347</v>
      </c>
    </row>
    <row r="223">
      <c r="A223" s="2" t="s">
        <v>13348</v>
      </c>
      <c r="B223" s="7" t="s">
        <v>924</v>
      </c>
      <c r="C223" s="2" t="s">
        <v>13349</v>
      </c>
      <c r="D223" s="2" t="s">
        <v>647</v>
      </c>
      <c r="E223" s="2" t="s">
        <v>647</v>
      </c>
      <c r="F223" s="2" t="s">
        <v>647</v>
      </c>
      <c r="G223" s="2" t="s">
        <v>647</v>
      </c>
      <c r="I223" s="2" t="s">
        <v>13350</v>
      </c>
    </row>
    <row r="224">
      <c r="A224" s="2" t="s">
        <v>13351</v>
      </c>
      <c r="B224" s="7" t="s">
        <v>249</v>
      </c>
      <c r="C224" s="2" t="s">
        <v>13352</v>
      </c>
      <c r="D224" s="2" t="s">
        <v>647</v>
      </c>
      <c r="E224" s="2" t="s">
        <v>647</v>
      </c>
      <c r="F224" s="2" t="s">
        <v>647</v>
      </c>
      <c r="G224" s="2" t="s">
        <v>647</v>
      </c>
      <c r="I224" s="2" t="s">
        <v>13353</v>
      </c>
    </row>
    <row r="225">
      <c r="A225" s="2" t="s">
        <v>13354</v>
      </c>
      <c r="B225" s="7" t="s">
        <v>925</v>
      </c>
      <c r="C225" s="2" t="s">
        <v>647</v>
      </c>
      <c r="D225" s="2" t="s">
        <v>647</v>
      </c>
      <c r="E225" s="2" t="s">
        <v>647</v>
      </c>
      <c r="F225" s="2" t="s">
        <v>647</v>
      </c>
      <c r="G225" s="2" t="s">
        <v>647</v>
      </c>
      <c r="H225" s="2" t="s">
        <v>647</v>
      </c>
      <c r="I225" s="2" t="s">
        <v>13355</v>
      </c>
    </row>
    <row r="226">
      <c r="A226" s="2" t="s">
        <v>13356</v>
      </c>
      <c r="B226" s="7" t="s">
        <v>926</v>
      </c>
      <c r="C226" s="2" t="s">
        <v>13357</v>
      </c>
      <c r="D226" s="2" t="s">
        <v>647</v>
      </c>
      <c r="E226" s="2" t="s">
        <v>647</v>
      </c>
      <c r="F226" s="2" t="s">
        <v>647</v>
      </c>
      <c r="G226" s="2" t="s">
        <v>647</v>
      </c>
      <c r="I226" s="2" t="s">
        <v>13358</v>
      </c>
    </row>
    <row r="227">
      <c r="A227" s="2" t="s">
        <v>13359</v>
      </c>
      <c r="B227" s="7" t="s">
        <v>927</v>
      </c>
      <c r="C227" s="2" t="s">
        <v>13360</v>
      </c>
      <c r="D227" s="2" t="s">
        <v>647</v>
      </c>
      <c r="E227" s="2" t="s">
        <v>647</v>
      </c>
      <c r="F227" s="2" t="s">
        <v>647</v>
      </c>
      <c r="G227" s="2" t="s">
        <v>647</v>
      </c>
      <c r="H227" s="2" t="s">
        <v>647</v>
      </c>
      <c r="I227" s="2" t="s">
        <v>13361</v>
      </c>
    </row>
    <row r="228">
      <c r="A228" s="2" t="s">
        <v>13362</v>
      </c>
      <c r="B228" s="7" t="s">
        <v>928</v>
      </c>
      <c r="C228" s="2" t="s">
        <v>13363</v>
      </c>
      <c r="D228" s="2" t="s">
        <v>647</v>
      </c>
      <c r="E228" s="2" t="s">
        <v>647</v>
      </c>
      <c r="F228" s="2" t="s">
        <v>647</v>
      </c>
      <c r="G228" s="2" t="s">
        <v>647</v>
      </c>
      <c r="I228" s="2" t="s">
        <v>13364</v>
      </c>
    </row>
    <row r="229">
      <c r="A229" s="2" t="s">
        <v>13365</v>
      </c>
      <c r="B229" s="7" t="s">
        <v>929</v>
      </c>
      <c r="C229" s="2" t="s">
        <v>13366</v>
      </c>
      <c r="D229" s="2" t="s">
        <v>647</v>
      </c>
      <c r="E229" s="2" t="s">
        <v>647</v>
      </c>
      <c r="F229" s="2" t="s">
        <v>647</v>
      </c>
      <c r="G229" s="2" t="s">
        <v>647</v>
      </c>
      <c r="I229" s="2" t="s">
        <v>13367</v>
      </c>
    </row>
    <row r="230">
      <c r="A230" s="2" t="s">
        <v>13368</v>
      </c>
      <c r="B230" s="7" t="s">
        <v>930</v>
      </c>
      <c r="C230" s="2" t="s">
        <v>13369</v>
      </c>
      <c r="D230" s="2" t="s">
        <v>647</v>
      </c>
      <c r="E230" s="2" t="s">
        <v>647</v>
      </c>
      <c r="F230" s="2" t="s">
        <v>647</v>
      </c>
      <c r="G230" s="2" t="s">
        <v>647</v>
      </c>
      <c r="H230" s="2" t="s">
        <v>647</v>
      </c>
      <c r="I230" s="2" t="s">
        <v>13370</v>
      </c>
    </row>
    <row r="231">
      <c r="A231" s="2" t="s">
        <v>13371</v>
      </c>
      <c r="B231" s="7" t="s">
        <v>931</v>
      </c>
      <c r="C231" s="2" t="s">
        <v>13372</v>
      </c>
      <c r="D231" s="2" t="s">
        <v>647</v>
      </c>
      <c r="E231" s="2" t="s">
        <v>647</v>
      </c>
      <c r="F231" s="2" t="s">
        <v>647</v>
      </c>
      <c r="G231" s="2" t="s">
        <v>647</v>
      </c>
      <c r="H231" s="2" t="s">
        <v>12723</v>
      </c>
      <c r="I231" s="2" t="s">
        <v>13373</v>
      </c>
    </row>
    <row r="232">
      <c r="A232" s="2" t="s">
        <v>13374</v>
      </c>
      <c r="B232" s="2" t="s">
        <v>647</v>
      </c>
      <c r="D232" s="2" t="s">
        <v>647</v>
      </c>
      <c r="E232" s="2" t="s">
        <v>647</v>
      </c>
      <c r="F232" s="2" t="s">
        <v>647</v>
      </c>
      <c r="G232" s="2" t="s">
        <v>647</v>
      </c>
      <c r="I232" s="2" t="s">
        <v>13375</v>
      </c>
    </row>
    <row r="233">
      <c r="A233" s="2" t="s">
        <v>13376</v>
      </c>
      <c r="B233" s="7" t="s">
        <v>932</v>
      </c>
      <c r="C233" s="2" t="s">
        <v>13377</v>
      </c>
      <c r="D233" s="2" t="s">
        <v>647</v>
      </c>
      <c r="E233" s="2" t="s">
        <v>647</v>
      </c>
      <c r="F233" s="2" t="s">
        <v>647</v>
      </c>
      <c r="G233" s="2" t="s">
        <v>647</v>
      </c>
      <c r="H233" s="2" t="s">
        <v>12723</v>
      </c>
      <c r="I233" s="2" t="s">
        <v>13378</v>
      </c>
    </row>
    <row r="234">
      <c r="A234" s="2" t="s">
        <v>13379</v>
      </c>
      <c r="B234" s="7" t="s">
        <v>933</v>
      </c>
      <c r="C234" s="2" t="s">
        <v>13380</v>
      </c>
      <c r="D234" s="2" t="s">
        <v>647</v>
      </c>
      <c r="E234" s="2" t="s">
        <v>647</v>
      </c>
      <c r="F234" s="2" t="s">
        <v>647</v>
      </c>
      <c r="G234" s="2" t="s">
        <v>647</v>
      </c>
      <c r="H234" s="2" t="s">
        <v>12723</v>
      </c>
      <c r="I234" s="2" t="s">
        <v>13381</v>
      </c>
    </row>
    <row r="235">
      <c r="A235" s="2" t="s">
        <v>13382</v>
      </c>
      <c r="B235" s="7" t="s">
        <v>934</v>
      </c>
      <c r="C235" s="2" t="s">
        <v>13383</v>
      </c>
      <c r="D235" s="2" t="s">
        <v>647</v>
      </c>
      <c r="E235" s="2" t="s">
        <v>647</v>
      </c>
      <c r="F235" s="2" t="s">
        <v>647</v>
      </c>
      <c r="G235" s="2" t="s">
        <v>647</v>
      </c>
      <c r="H235" s="2" t="s">
        <v>12723</v>
      </c>
      <c r="I235" s="2" t="s">
        <v>13384</v>
      </c>
    </row>
    <row r="236">
      <c r="A236" s="2" t="s">
        <v>13385</v>
      </c>
      <c r="B236" s="7" t="s">
        <v>935</v>
      </c>
      <c r="C236" s="2" t="s">
        <v>13386</v>
      </c>
      <c r="D236" s="2" t="s">
        <v>647</v>
      </c>
      <c r="E236" s="2" t="s">
        <v>647</v>
      </c>
      <c r="F236" s="2" t="s">
        <v>647</v>
      </c>
      <c r="G236" s="2" t="s">
        <v>647</v>
      </c>
      <c r="H236" s="2" t="s">
        <v>12723</v>
      </c>
      <c r="I236" s="2" t="s">
        <v>13387</v>
      </c>
    </row>
    <row r="237">
      <c r="A237" s="2" t="s">
        <v>13388</v>
      </c>
      <c r="B237" s="7" t="s">
        <v>936</v>
      </c>
      <c r="C237" s="2" t="s">
        <v>13389</v>
      </c>
      <c r="D237" s="2" t="s">
        <v>647</v>
      </c>
      <c r="E237" s="2" t="s">
        <v>647</v>
      </c>
      <c r="F237" s="2" t="s">
        <v>647</v>
      </c>
      <c r="G237" s="2" t="s">
        <v>647</v>
      </c>
      <c r="H237" s="2" t="s">
        <v>12723</v>
      </c>
      <c r="I237" s="2" t="s">
        <v>13390</v>
      </c>
    </row>
    <row r="238">
      <c r="A238" s="2" t="s">
        <v>13391</v>
      </c>
      <c r="B238" s="7" t="s">
        <v>937</v>
      </c>
      <c r="C238" s="2" t="s">
        <v>13392</v>
      </c>
      <c r="D238" s="2" t="s">
        <v>647</v>
      </c>
      <c r="E238" s="2" t="s">
        <v>647</v>
      </c>
      <c r="F238" s="2" t="s">
        <v>647</v>
      </c>
      <c r="G238" s="2" t="s">
        <v>647</v>
      </c>
      <c r="I238" s="2" t="s">
        <v>13393</v>
      </c>
    </row>
    <row r="239">
      <c r="A239" s="2" t="s">
        <v>13394</v>
      </c>
      <c r="B239" s="7" t="s">
        <v>938</v>
      </c>
      <c r="C239" s="2" t="s">
        <v>13395</v>
      </c>
      <c r="D239" s="2" t="s">
        <v>647</v>
      </c>
      <c r="E239" s="2" t="s">
        <v>647</v>
      </c>
      <c r="F239" s="2" t="s">
        <v>647</v>
      </c>
      <c r="G239" s="2" t="s">
        <v>647</v>
      </c>
      <c r="H239" s="2" t="s">
        <v>12723</v>
      </c>
      <c r="I239" s="2" t="s">
        <v>13396</v>
      </c>
    </row>
    <row r="240">
      <c r="A240" s="2" t="s">
        <v>13397</v>
      </c>
      <c r="B240" s="7" t="s">
        <v>939</v>
      </c>
      <c r="C240" s="2" t="s">
        <v>13398</v>
      </c>
      <c r="D240" s="2" t="s">
        <v>647</v>
      </c>
      <c r="E240" s="2" t="s">
        <v>647</v>
      </c>
      <c r="F240" s="2" t="s">
        <v>647</v>
      </c>
      <c r="G240" s="2" t="s">
        <v>647</v>
      </c>
      <c r="I240" s="2" t="s">
        <v>13399</v>
      </c>
    </row>
    <row r="241">
      <c r="A241" s="2" t="s">
        <v>13400</v>
      </c>
      <c r="B241" s="7" t="s">
        <v>940</v>
      </c>
      <c r="C241" s="2" t="s">
        <v>13401</v>
      </c>
      <c r="D241" s="2" t="s">
        <v>647</v>
      </c>
      <c r="E241" s="2" t="s">
        <v>647</v>
      </c>
      <c r="F241" s="2" t="s">
        <v>647</v>
      </c>
      <c r="G241" s="2" t="s">
        <v>647</v>
      </c>
      <c r="I241" s="2" t="s">
        <v>13402</v>
      </c>
    </row>
    <row r="242">
      <c r="A242" s="2" t="s">
        <v>13403</v>
      </c>
      <c r="B242" s="2" t="s">
        <v>647</v>
      </c>
      <c r="C242" s="2" t="s">
        <v>13404</v>
      </c>
      <c r="D242" s="2" t="s">
        <v>647</v>
      </c>
      <c r="E242" s="2" t="s">
        <v>647</v>
      </c>
      <c r="F242" s="2" t="s">
        <v>647</v>
      </c>
      <c r="G242" s="2" t="s">
        <v>647</v>
      </c>
      <c r="I242" s="2" t="s">
        <v>13405</v>
      </c>
    </row>
    <row r="243">
      <c r="A243" s="2" t="s">
        <v>13406</v>
      </c>
      <c r="B243" s="7" t="s">
        <v>941</v>
      </c>
      <c r="C243" s="2" t="s">
        <v>12723</v>
      </c>
      <c r="D243" s="2" t="s">
        <v>647</v>
      </c>
      <c r="E243" s="2" t="s">
        <v>647</v>
      </c>
      <c r="F243" s="2" t="s">
        <v>647</v>
      </c>
      <c r="G243" s="2" t="s">
        <v>647</v>
      </c>
      <c r="H243" s="2" t="s">
        <v>12723</v>
      </c>
      <c r="I243" s="2" t="s">
        <v>13407</v>
      </c>
    </row>
    <row r="244">
      <c r="A244" s="2" t="s">
        <v>13408</v>
      </c>
      <c r="B244" s="7" t="s">
        <v>942</v>
      </c>
      <c r="C244" s="2" t="s">
        <v>13409</v>
      </c>
      <c r="D244" s="2" t="s">
        <v>647</v>
      </c>
      <c r="E244" s="2" t="s">
        <v>647</v>
      </c>
      <c r="F244" s="2" t="s">
        <v>647</v>
      </c>
      <c r="G244" s="2" t="s">
        <v>647</v>
      </c>
      <c r="H244" s="2" t="s">
        <v>12723</v>
      </c>
      <c r="I244" s="2" t="s">
        <v>13410</v>
      </c>
    </row>
    <row r="245">
      <c r="A245" s="2" t="s">
        <v>13411</v>
      </c>
      <c r="B245" s="7" t="s">
        <v>943</v>
      </c>
      <c r="C245" s="2" t="s">
        <v>13412</v>
      </c>
      <c r="D245" s="2" t="s">
        <v>647</v>
      </c>
      <c r="E245" s="2" t="s">
        <v>647</v>
      </c>
      <c r="F245" s="2" t="s">
        <v>647</v>
      </c>
      <c r="G245" s="2" t="s">
        <v>647</v>
      </c>
      <c r="H245" s="2" t="s">
        <v>12723</v>
      </c>
      <c r="I245" s="2" t="s">
        <v>13413</v>
      </c>
    </row>
    <row r="246">
      <c r="A246" s="2" t="s">
        <v>13414</v>
      </c>
      <c r="B246" s="7" t="s">
        <v>944</v>
      </c>
      <c r="C246" s="2" t="s">
        <v>13415</v>
      </c>
      <c r="D246" s="2" t="s">
        <v>647</v>
      </c>
      <c r="E246" s="2" t="s">
        <v>647</v>
      </c>
      <c r="F246" s="2" t="s">
        <v>647</v>
      </c>
      <c r="G246" s="2" t="s">
        <v>647</v>
      </c>
      <c r="I246" s="2" t="s">
        <v>13416</v>
      </c>
    </row>
    <row r="247">
      <c r="A247" s="2" t="s">
        <v>13417</v>
      </c>
      <c r="B247" s="2" t="s">
        <v>647</v>
      </c>
      <c r="C247" s="2" t="s">
        <v>13418</v>
      </c>
      <c r="D247" s="2" t="s">
        <v>647</v>
      </c>
      <c r="E247" s="2" t="s">
        <v>647</v>
      </c>
      <c r="F247" s="2" t="s">
        <v>647</v>
      </c>
      <c r="G247" s="2" t="s">
        <v>647</v>
      </c>
      <c r="I247" s="2" t="s">
        <v>13419</v>
      </c>
    </row>
    <row r="248">
      <c r="A248" s="2" t="s">
        <v>13420</v>
      </c>
      <c r="B248" s="7" t="s">
        <v>945</v>
      </c>
      <c r="C248" s="2" t="s">
        <v>13421</v>
      </c>
      <c r="D248" s="2" t="s">
        <v>647</v>
      </c>
      <c r="E248" s="2" t="s">
        <v>647</v>
      </c>
      <c r="F248" s="2" t="s">
        <v>647</v>
      </c>
      <c r="G248" s="2" t="s">
        <v>647</v>
      </c>
      <c r="H248" s="2" t="s">
        <v>12719</v>
      </c>
      <c r="I248" s="2" t="s">
        <v>13422</v>
      </c>
    </row>
    <row r="249">
      <c r="A249" s="2" t="s">
        <v>13423</v>
      </c>
      <c r="B249" s="7" t="s">
        <v>946</v>
      </c>
      <c r="C249" s="2" t="s">
        <v>13424</v>
      </c>
      <c r="D249" s="2" t="s">
        <v>647</v>
      </c>
      <c r="E249" s="2" t="s">
        <v>647</v>
      </c>
      <c r="F249" s="2" t="s">
        <v>647</v>
      </c>
      <c r="G249" s="2" t="s">
        <v>647</v>
      </c>
      <c r="H249" s="2" t="s">
        <v>12723</v>
      </c>
      <c r="I249" s="2" t="s">
        <v>13425</v>
      </c>
    </row>
    <row r="250">
      <c r="A250" s="2" t="s">
        <v>13426</v>
      </c>
      <c r="B250" s="7" t="s">
        <v>947</v>
      </c>
      <c r="C250" s="2" t="s">
        <v>13427</v>
      </c>
      <c r="D250" s="2" t="s">
        <v>647</v>
      </c>
      <c r="E250" s="2" t="s">
        <v>647</v>
      </c>
      <c r="F250" s="2" t="s">
        <v>647</v>
      </c>
      <c r="G250" s="2" t="s">
        <v>647</v>
      </c>
      <c r="I250" s="2" t="s">
        <v>13428</v>
      </c>
    </row>
    <row r="251">
      <c r="A251" s="2" t="s">
        <v>13429</v>
      </c>
      <c r="B251" s="7" t="s">
        <v>707</v>
      </c>
      <c r="C251" s="2" t="s">
        <v>13430</v>
      </c>
      <c r="D251" s="2" t="s">
        <v>647</v>
      </c>
      <c r="E251" s="2" t="s">
        <v>647</v>
      </c>
      <c r="F251" s="2" t="s">
        <v>647</v>
      </c>
      <c r="G251" s="2" t="s">
        <v>647</v>
      </c>
      <c r="I251" s="2" t="s">
        <v>13431</v>
      </c>
    </row>
    <row r="252">
      <c r="A252" s="2" t="s">
        <v>13432</v>
      </c>
      <c r="B252" s="7" t="s">
        <v>948</v>
      </c>
      <c r="C252" s="2" t="s">
        <v>13433</v>
      </c>
      <c r="D252" s="2" t="s">
        <v>647</v>
      </c>
      <c r="E252" s="2" t="s">
        <v>647</v>
      </c>
      <c r="F252" s="2" t="s">
        <v>647</v>
      </c>
      <c r="G252" s="2" t="s">
        <v>647</v>
      </c>
      <c r="H252" s="2" t="s">
        <v>12723</v>
      </c>
      <c r="I252" s="2" t="s">
        <v>13434</v>
      </c>
    </row>
    <row r="253">
      <c r="A253" s="2" t="s">
        <v>13435</v>
      </c>
      <c r="B253" s="7" t="s">
        <v>949</v>
      </c>
      <c r="C253" s="2" t="s">
        <v>13436</v>
      </c>
      <c r="D253" s="2" t="s">
        <v>647</v>
      </c>
      <c r="E253" s="2" t="s">
        <v>647</v>
      </c>
      <c r="F253" s="2" t="s">
        <v>647</v>
      </c>
      <c r="G253" s="2" t="s">
        <v>647</v>
      </c>
      <c r="H253" s="2" t="s">
        <v>12719</v>
      </c>
      <c r="I253" s="2" t="s">
        <v>13437</v>
      </c>
    </row>
    <row r="254">
      <c r="A254" s="2" t="s">
        <v>13438</v>
      </c>
      <c r="B254" s="7" t="s">
        <v>950</v>
      </c>
      <c r="C254" s="2" t="s">
        <v>13439</v>
      </c>
      <c r="D254" s="2" t="s">
        <v>647</v>
      </c>
      <c r="E254" s="2" t="s">
        <v>647</v>
      </c>
      <c r="F254" s="2" t="s">
        <v>647</v>
      </c>
      <c r="G254" s="2" t="s">
        <v>647</v>
      </c>
      <c r="H254" s="2" t="s">
        <v>13439</v>
      </c>
      <c r="I254" s="2" t="s">
        <v>13440</v>
      </c>
    </row>
    <row r="255">
      <c r="A255" s="2" t="s">
        <v>13441</v>
      </c>
      <c r="B255" s="7" t="s">
        <v>951</v>
      </c>
      <c r="C255" s="2" t="s">
        <v>13442</v>
      </c>
      <c r="D255" s="2" t="s">
        <v>647</v>
      </c>
      <c r="E255" s="2" t="s">
        <v>647</v>
      </c>
      <c r="F255" s="2" t="s">
        <v>647</v>
      </c>
      <c r="G255" s="2" t="s">
        <v>647</v>
      </c>
      <c r="H255" s="2" t="s">
        <v>647</v>
      </c>
      <c r="I255" s="2" t="s">
        <v>13443</v>
      </c>
    </row>
    <row r="256">
      <c r="A256" s="2" t="s">
        <v>13444</v>
      </c>
      <c r="B256" s="7" t="s">
        <v>952</v>
      </c>
      <c r="C256" s="2" t="s">
        <v>13445</v>
      </c>
      <c r="D256" s="2" t="s">
        <v>647</v>
      </c>
      <c r="E256" s="2" t="s">
        <v>647</v>
      </c>
      <c r="F256" s="2" t="s">
        <v>647</v>
      </c>
      <c r="G256" s="2" t="s">
        <v>647</v>
      </c>
      <c r="H256" s="2" t="s">
        <v>12719</v>
      </c>
      <c r="I256" s="2" t="s">
        <v>13446</v>
      </c>
    </row>
    <row r="257">
      <c r="A257" s="2" t="s">
        <v>13447</v>
      </c>
      <c r="B257" s="7" t="s">
        <v>953</v>
      </c>
      <c r="C257" s="2" t="s">
        <v>13448</v>
      </c>
      <c r="D257" s="2" t="s">
        <v>647</v>
      </c>
      <c r="E257" s="2" t="s">
        <v>647</v>
      </c>
      <c r="F257" s="2" t="s">
        <v>647</v>
      </c>
      <c r="G257" s="2" t="s">
        <v>647</v>
      </c>
      <c r="H257" s="2" t="s">
        <v>12723</v>
      </c>
      <c r="I257" s="2" t="s">
        <v>13449</v>
      </c>
    </row>
    <row r="258">
      <c r="A258" s="2" t="s">
        <v>13450</v>
      </c>
      <c r="B258" s="7" t="s">
        <v>954</v>
      </c>
      <c r="C258" s="2" t="s">
        <v>13451</v>
      </c>
      <c r="D258" s="2" t="s">
        <v>647</v>
      </c>
      <c r="E258" s="2" t="s">
        <v>647</v>
      </c>
      <c r="F258" s="2" t="s">
        <v>647</v>
      </c>
      <c r="G258" s="2" t="s">
        <v>647</v>
      </c>
      <c r="I258" s="2" t="s">
        <v>13452</v>
      </c>
    </row>
    <row r="259">
      <c r="A259" s="2" t="s">
        <v>13453</v>
      </c>
      <c r="B259" s="7" t="s">
        <v>955</v>
      </c>
      <c r="C259" s="2" t="s">
        <v>13454</v>
      </c>
      <c r="D259" s="2" t="s">
        <v>647</v>
      </c>
      <c r="E259" s="2" t="s">
        <v>647</v>
      </c>
      <c r="F259" s="2" t="s">
        <v>647</v>
      </c>
      <c r="G259" s="2" t="s">
        <v>647</v>
      </c>
      <c r="H259" s="2" t="s">
        <v>12723</v>
      </c>
      <c r="I259" s="2" t="s">
        <v>13455</v>
      </c>
    </row>
    <row r="260">
      <c r="A260" s="2" t="s">
        <v>13456</v>
      </c>
      <c r="B260" s="7" t="s">
        <v>956</v>
      </c>
      <c r="C260" s="2" t="s">
        <v>13457</v>
      </c>
      <c r="D260" s="2" t="s">
        <v>647</v>
      </c>
      <c r="E260" s="2" t="s">
        <v>647</v>
      </c>
      <c r="F260" s="2" t="s">
        <v>647</v>
      </c>
      <c r="G260" s="2" t="s">
        <v>647</v>
      </c>
      <c r="H260" s="2" t="s">
        <v>12719</v>
      </c>
      <c r="I260" s="2" t="s">
        <v>13458</v>
      </c>
    </row>
    <row r="261">
      <c r="A261" s="2" t="s">
        <v>13459</v>
      </c>
      <c r="B261" s="7" t="s">
        <v>957</v>
      </c>
      <c r="C261" s="2" t="s">
        <v>13460</v>
      </c>
      <c r="D261" s="2" t="s">
        <v>647</v>
      </c>
      <c r="E261" s="2" t="s">
        <v>647</v>
      </c>
      <c r="F261" s="2" t="s">
        <v>647</v>
      </c>
      <c r="G261" s="2" t="s">
        <v>647</v>
      </c>
      <c r="I261" s="2" t="s">
        <v>13461</v>
      </c>
    </row>
    <row r="262">
      <c r="A262" s="2" t="s">
        <v>13462</v>
      </c>
      <c r="B262" s="7" t="s">
        <v>958</v>
      </c>
      <c r="C262" s="2" t="s">
        <v>13463</v>
      </c>
      <c r="D262" s="2" t="s">
        <v>647</v>
      </c>
      <c r="E262" s="2" t="s">
        <v>647</v>
      </c>
      <c r="F262" s="2" t="s">
        <v>647</v>
      </c>
      <c r="G262" s="2" t="s">
        <v>647</v>
      </c>
      <c r="H262" s="2" t="s">
        <v>12723</v>
      </c>
      <c r="I262" s="2" t="s">
        <v>13464</v>
      </c>
    </row>
    <row r="263">
      <c r="A263" s="2" t="s">
        <v>13465</v>
      </c>
      <c r="B263" s="7" t="s">
        <v>959</v>
      </c>
      <c r="C263" s="2" t="s">
        <v>13466</v>
      </c>
      <c r="D263" s="2" t="s">
        <v>647</v>
      </c>
      <c r="E263" s="2" t="s">
        <v>647</v>
      </c>
      <c r="F263" s="2" t="s">
        <v>647</v>
      </c>
      <c r="G263" s="2" t="s">
        <v>647</v>
      </c>
      <c r="I263" s="2" t="s">
        <v>13467</v>
      </c>
    </row>
    <row r="264">
      <c r="A264" s="2" t="s">
        <v>13468</v>
      </c>
      <c r="B264" s="7" t="s">
        <v>960</v>
      </c>
      <c r="C264" s="2" t="s">
        <v>13469</v>
      </c>
      <c r="D264" s="2" t="s">
        <v>647</v>
      </c>
      <c r="E264" s="2" t="s">
        <v>647</v>
      </c>
      <c r="F264" s="2" t="s">
        <v>647</v>
      </c>
      <c r="G264" s="2" t="s">
        <v>647</v>
      </c>
      <c r="I264" s="2" t="s">
        <v>13470</v>
      </c>
    </row>
    <row r="265">
      <c r="A265" s="2" t="s">
        <v>13471</v>
      </c>
      <c r="B265" s="7" t="s">
        <v>961</v>
      </c>
      <c r="C265" s="2" t="s">
        <v>13472</v>
      </c>
      <c r="D265" s="2" t="s">
        <v>647</v>
      </c>
      <c r="E265" s="2" t="s">
        <v>647</v>
      </c>
      <c r="F265" s="2" t="s">
        <v>647</v>
      </c>
      <c r="G265" s="2" t="s">
        <v>647</v>
      </c>
      <c r="H265" s="2" t="s">
        <v>647</v>
      </c>
      <c r="I265" s="2" t="s">
        <v>13473</v>
      </c>
    </row>
    <row r="266">
      <c r="A266" s="2" t="s">
        <v>13474</v>
      </c>
      <c r="B266" s="7" t="s">
        <v>962</v>
      </c>
      <c r="C266" s="2" t="s">
        <v>13475</v>
      </c>
      <c r="D266" s="2" t="s">
        <v>647</v>
      </c>
      <c r="E266" s="2" t="s">
        <v>647</v>
      </c>
      <c r="F266" s="2" t="s">
        <v>647</v>
      </c>
      <c r="G266" s="2" t="s">
        <v>647</v>
      </c>
      <c r="I266" s="2" t="s">
        <v>13476</v>
      </c>
    </row>
    <row r="267">
      <c r="A267" s="2" t="s">
        <v>13477</v>
      </c>
      <c r="B267" s="7" t="s">
        <v>963</v>
      </c>
      <c r="C267" s="2" t="s">
        <v>13478</v>
      </c>
      <c r="D267" s="2" t="s">
        <v>647</v>
      </c>
      <c r="E267" s="2" t="s">
        <v>647</v>
      </c>
      <c r="F267" s="2" t="s">
        <v>647</v>
      </c>
      <c r="G267" s="2" t="s">
        <v>647</v>
      </c>
      <c r="H267" s="2" t="s">
        <v>647</v>
      </c>
      <c r="I267" s="2" t="s">
        <v>13479</v>
      </c>
    </row>
    <row r="268">
      <c r="A268" s="2" t="s">
        <v>13480</v>
      </c>
      <c r="B268" s="7" t="s">
        <v>964</v>
      </c>
      <c r="C268" s="2" t="s">
        <v>13481</v>
      </c>
      <c r="D268" s="2" t="s">
        <v>647</v>
      </c>
      <c r="E268" s="2" t="s">
        <v>647</v>
      </c>
      <c r="F268" s="2" t="s">
        <v>647</v>
      </c>
      <c r="G268" s="2" t="s">
        <v>647</v>
      </c>
      <c r="H268" s="2" t="s">
        <v>647</v>
      </c>
      <c r="I268" s="2" t="s">
        <v>13482</v>
      </c>
    </row>
    <row r="269">
      <c r="A269" s="2" t="s">
        <v>13483</v>
      </c>
      <c r="B269" s="7" t="s">
        <v>965</v>
      </c>
      <c r="C269" s="2" t="s">
        <v>13484</v>
      </c>
      <c r="D269" s="2" t="s">
        <v>647</v>
      </c>
      <c r="E269" s="2" t="s">
        <v>647</v>
      </c>
      <c r="F269" s="2" t="s">
        <v>647</v>
      </c>
      <c r="G269" s="2" t="s">
        <v>647</v>
      </c>
      <c r="H269" s="2" t="s">
        <v>647</v>
      </c>
      <c r="I269" s="2" t="s">
        <v>13485</v>
      </c>
    </row>
    <row r="270">
      <c r="A270" s="2" t="s">
        <v>13486</v>
      </c>
      <c r="B270" s="7" t="s">
        <v>966</v>
      </c>
      <c r="C270" s="2" t="s">
        <v>13487</v>
      </c>
      <c r="D270" s="2" t="s">
        <v>647</v>
      </c>
      <c r="E270" s="2" t="s">
        <v>647</v>
      </c>
      <c r="F270" s="2" t="s">
        <v>647</v>
      </c>
      <c r="G270" s="2" t="s">
        <v>647</v>
      </c>
      <c r="H270" s="2" t="s">
        <v>12723</v>
      </c>
      <c r="I270" s="2" t="s">
        <v>13488</v>
      </c>
    </row>
    <row r="271">
      <c r="A271" s="2" t="s">
        <v>13489</v>
      </c>
      <c r="B271" s="7" t="s">
        <v>967</v>
      </c>
      <c r="C271" s="2" t="s">
        <v>13490</v>
      </c>
      <c r="D271" s="2" t="s">
        <v>647</v>
      </c>
      <c r="E271" s="2" t="s">
        <v>647</v>
      </c>
      <c r="F271" s="2" t="s">
        <v>647</v>
      </c>
      <c r="G271" s="2" t="s">
        <v>647</v>
      </c>
      <c r="I271" s="2" t="s">
        <v>13491</v>
      </c>
    </row>
    <row r="272">
      <c r="A272" s="2" t="s">
        <v>13492</v>
      </c>
      <c r="B272" s="7" t="s">
        <v>968</v>
      </c>
      <c r="C272" s="2" t="s">
        <v>13493</v>
      </c>
      <c r="D272" s="2" t="s">
        <v>647</v>
      </c>
      <c r="E272" s="2" t="s">
        <v>647</v>
      </c>
      <c r="F272" s="2" t="s">
        <v>647</v>
      </c>
      <c r="G272" s="2" t="s">
        <v>647</v>
      </c>
      <c r="H272" s="2" t="s">
        <v>12723</v>
      </c>
      <c r="I272" s="2" t="s">
        <v>13494</v>
      </c>
    </row>
    <row r="273">
      <c r="A273" s="2" t="s">
        <v>13495</v>
      </c>
      <c r="B273" s="7" t="s">
        <v>969</v>
      </c>
      <c r="C273" s="2" t="s">
        <v>13496</v>
      </c>
      <c r="D273" s="2" t="s">
        <v>647</v>
      </c>
      <c r="E273" s="2" t="s">
        <v>647</v>
      </c>
      <c r="F273" s="2" t="s">
        <v>647</v>
      </c>
      <c r="G273" s="2" t="s">
        <v>647</v>
      </c>
      <c r="I273" s="2" t="s">
        <v>13497</v>
      </c>
    </row>
    <row r="274">
      <c r="A274" s="2" t="s">
        <v>13498</v>
      </c>
      <c r="B274" s="7" t="s">
        <v>970</v>
      </c>
      <c r="C274" s="2" t="s">
        <v>13499</v>
      </c>
      <c r="D274" s="2" t="s">
        <v>647</v>
      </c>
      <c r="E274" s="2" t="s">
        <v>647</v>
      </c>
      <c r="F274" s="2" t="s">
        <v>647</v>
      </c>
      <c r="G274" s="2" t="s">
        <v>647</v>
      </c>
      <c r="I274" s="2" t="s">
        <v>13500</v>
      </c>
    </row>
    <row r="275">
      <c r="A275" s="2" t="s">
        <v>13501</v>
      </c>
      <c r="B275" s="7" t="s">
        <v>971</v>
      </c>
      <c r="C275" s="2" t="s">
        <v>13502</v>
      </c>
      <c r="D275" s="2" t="s">
        <v>647</v>
      </c>
      <c r="E275" s="2" t="s">
        <v>647</v>
      </c>
      <c r="F275" s="2" t="s">
        <v>647</v>
      </c>
      <c r="G275" s="2" t="s">
        <v>647</v>
      </c>
      <c r="H275" s="2" t="s">
        <v>647</v>
      </c>
      <c r="I275" s="2" t="s">
        <v>13503</v>
      </c>
    </row>
    <row r="276">
      <c r="A276" s="2" t="s">
        <v>13504</v>
      </c>
      <c r="B276" s="7" t="s">
        <v>972</v>
      </c>
      <c r="C276" s="2" t="s">
        <v>13505</v>
      </c>
      <c r="D276" s="2" t="s">
        <v>647</v>
      </c>
      <c r="E276" s="2" t="s">
        <v>647</v>
      </c>
      <c r="F276" s="2" t="s">
        <v>647</v>
      </c>
      <c r="G276" s="2" t="s">
        <v>647</v>
      </c>
      <c r="H276" s="2" t="s">
        <v>12723</v>
      </c>
      <c r="I276" s="2" t="s">
        <v>13506</v>
      </c>
    </row>
    <row r="277">
      <c r="A277" s="2" t="s">
        <v>13507</v>
      </c>
      <c r="B277" s="7" t="s">
        <v>973</v>
      </c>
      <c r="C277" s="2" t="s">
        <v>13508</v>
      </c>
      <c r="D277" s="2" t="s">
        <v>647</v>
      </c>
      <c r="E277" s="2" t="s">
        <v>647</v>
      </c>
      <c r="F277" s="2" t="s">
        <v>647</v>
      </c>
      <c r="G277" s="2" t="s">
        <v>647</v>
      </c>
      <c r="H277" s="2" t="s">
        <v>647</v>
      </c>
      <c r="I277" s="2" t="s">
        <v>13509</v>
      </c>
    </row>
    <row r="278">
      <c r="A278" s="2" t="s">
        <v>13510</v>
      </c>
      <c r="B278" s="7" t="s">
        <v>974</v>
      </c>
      <c r="C278" s="2" t="s">
        <v>13511</v>
      </c>
      <c r="D278" s="2" t="s">
        <v>647</v>
      </c>
      <c r="E278" s="2" t="s">
        <v>647</v>
      </c>
      <c r="F278" s="2" t="s">
        <v>647</v>
      </c>
      <c r="G278" s="2" t="s">
        <v>647</v>
      </c>
      <c r="H278" s="2" t="s">
        <v>12723</v>
      </c>
      <c r="I278" s="2" t="s">
        <v>13512</v>
      </c>
    </row>
    <row r="279">
      <c r="A279" s="2" t="s">
        <v>13513</v>
      </c>
      <c r="B279" s="7" t="s">
        <v>975</v>
      </c>
      <c r="C279" s="2" t="s">
        <v>13514</v>
      </c>
      <c r="D279" s="2" t="s">
        <v>647</v>
      </c>
      <c r="E279" s="2" t="s">
        <v>647</v>
      </c>
      <c r="F279" s="2" t="s">
        <v>647</v>
      </c>
      <c r="G279" s="2" t="s">
        <v>647</v>
      </c>
      <c r="I279" s="2" t="s">
        <v>13515</v>
      </c>
    </row>
    <row r="280">
      <c r="A280" s="2" t="s">
        <v>13516</v>
      </c>
      <c r="B280" s="7" t="s">
        <v>976</v>
      </c>
      <c r="C280" s="2" t="s">
        <v>13517</v>
      </c>
      <c r="D280" s="2" t="s">
        <v>647</v>
      </c>
      <c r="E280" s="2" t="s">
        <v>647</v>
      </c>
      <c r="F280" s="2" t="s">
        <v>647</v>
      </c>
      <c r="G280" s="2" t="s">
        <v>647</v>
      </c>
      <c r="I280" s="2" t="s">
        <v>13518</v>
      </c>
    </row>
    <row r="281">
      <c r="A281" s="2" t="s">
        <v>13519</v>
      </c>
      <c r="B281" s="7" t="s">
        <v>977</v>
      </c>
      <c r="C281" s="2" t="s">
        <v>13520</v>
      </c>
      <c r="D281" s="2" t="s">
        <v>647</v>
      </c>
      <c r="E281" s="2" t="s">
        <v>647</v>
      </c>
      <c r="F281" s="2" t="s">
        <v>647</v>
      </c>
      <c r="G281" s="2" t="s">
        <v>647</v>
      </c>
      <c r="H281" s="2" t="s">
        <v>12723</v>
      </c>
      <c r="I281" s="2" t="s">
        <v>13521</v>
      </c>
    </row>
    <row r="282">
      <c r="A282" s="2" t="s">
        <v>13522</v>
      </c>
      <c r="B282" s="7" t="s">
        <v>978</v>
      </c>
      <c r="C282" s="2" t="s">
        <v>13523</v>
      </c>
      <c r="D282" s="2" t="s">
        <v>647</v>
      </c>
      <c r="E282" s="2" t="s">
        <v>647</v>
      </c>
      <c r="F282" s="2" t="s">
        <v>647</v>
      </c>
      <c r="G282" s="2" t="s">
        <v>647</v>
      </c>
      <c r="I282" s="2" t="s">
        <v>13524</v>
      </c>
    </row>
    <row r="283">
      <c r="A283" s="2" t="s">
        <v>13525</v>
      </c>
      <c r="B283" s="7" t="s">
        <v>979</v>
      </c>
      <c r="C283" s="2" t="s">
        <v>13526</v>
      </c>
      <c r="D283" s="2" t="s">
        <v>647</v>
      </c>
      <c r="E283" s="2" t="s">
        <v>647</v>
      </c>
      <c r="F283" s="2" t="s">
        <v>647</v>
      </c>
      <c r="G283" s="2" t="s">
        <v>647</v>
      </c>
      <c r="H283" s="2" t="s">
        <v>12723</v>
      </c>
      <c r="I283" s="2" t="s">
        <v>13527</v>
      </c>
    </row>
    <row r="284">
      <c r="A284" s="2" t="s">
        <v>13528</v>
      </c>
      <c r="B284" s="2" t="s">
        <v>647</v>
      </c>
      <c r="C284" s="2" t="s">
        <v>13529</v>
      </c>
      <c r="D284" s="2" t="s">
        <v>647</v>
      </c>
      <c r="E284" s="2" t="s">
        <v>647</v>
      </c>
      <c r="F284" s="2" t="s">
        <v>647</v>
      </c>
      <c r="G284" s="2" t="s">
        <v>647</v>
      </c>
      <c r="I284" s="2" t="s">
        <v>13530</v>
      </c>
    </row>
    <row r="285">
      <c r="A285" s="2" t="s">
        <v>13531</v>
      </c>
      <c r="B285" s="7" t="s">
        <v>980</v>
      </c>
      <c r="C285" s="2" t="s">
        <v>13532</v>
      </c>
      <c r="D285" s="2" t="s">
        <v>647</v>
      </c>
      <c r="E285" s="2" t="s">
        <v>647</v>
      </c>
      <c r="F285" s="2" t="s">
        <v>647</v>
      </c>
      <c r="G285" s="2" t="s">
        <v>647</v>
      </c>
      <c r="H285" s="2" t="s">
        <v>12723</v>
      </c>
      <c r="I285" s="2" t="s">
        <v>13533</v>
      </c>
    </row>
    <row r="286">
      <c r="A286" s="2" t="s">
        <v>13534</v>
      </c>
      <c r="B286" s="7" t="s">
        <v>981</v>
      </c>
      <c r="C286" s="2" t="s">
        <v>13535</v>
      </c>
      <c r="D286" s="2" t="s">
        <v>647</v>
      </c>
      <c r="E286" s="2" t="s">
        <v>647</v>
      </c>
      <c r="F286" s="2" t="s">
        <v>647</v>
      </c>
      <c r="G286" s="2" t="s">
        <v>647</v>
      </c>
      <c r="H286" s="2" t="s">
        <v>12723</v>
      </c>
      <c r="I286" s="2" t="s">
        <v>13536</v>
      </c>
    </row>
    <row r="287">
      <c r="A287" s="2" t="s">
        <v>13537</v>
      </c>
      <c r="B287" s="7" t="s">
        <v>982</v>
      </c>
      <c r="C287" s="2" t="s">
        <v>13538</v>
      </c>
      <c r="D287" s="2" t="s">
        <v>647</v>
      </c>
      <c r="E287" s="2" t="s">
        <v>647</v>
      </c>
      <c r="F287" s="2" t="s">
        <v>647</v>
      </c>
      <c r="G287" s="2" t="s">
        <v>647</v>
      </c>
      <c r="I287" s="2" t="s">
        <v>13539</v>
      </c>
    </row>
    <row r="288">
      <c r="A288" s="2" t="s">
        <v>13540</v>
      </c>
      <c r="B288" s="2" t="s">
        <v>647</v>
      </c>
      <c r="C288" s="2" t="s">
        <v>13541</v>
      </c>
      <c r="D288" s="2" t="s">
        <v>647</v>
      </c>
      <c r="E288" s="2" t="s">
        <v>647</v>
      </c>
      <c r="F288" s="2" t="s">
        <v>647</v>
      </c>
      <c r="G288" s="2" t="s">
        <v>647</v>
      </c>
      <c r="I288" s="2" t="s">
        <v>13542</v>
      </c>
    </row>
    <row r="289">
      <c r="A289" s="2" t="s">
        <v>13543</v>
      </c>
      <c r="B289" s="7" t="s">
        <v>983</v>
      </c>
      <c r="C289" s="2" t="s">
        <v>13544</v>
      </c>
      <c r="D289" s="2" t="s">
        <v>647</v>
      </c>
      <c r="E289" s="2" t="s">
        <v>647</v>
      </c>
      <c r="F289" s="2" t="s">
        <v>647</v>
      </c>
      <c r="G289" s="2" t="s">
        <v>647</v>
      </c>
      <c r="H289" s="2" t="s">
        <v>12723</v>
      </c>
      <c r="I289" s="2" t="s">
        <v>13545</v>
      </c>
    </row>
    <row r="290">
      <c r="A290" s="2" t="s">
        <v>13546</v>
      </c>
      <c r="B290" s="7" t="s">
        <v>984</v>
      </c>
      <c r="C290" s="2" t="s">
        <v>13547</v>
      </c>
      <c r="D290" s="2" t="s">
        <v>647</v>
      </c>
      <c r="E290" s="2" t="s">
        <v>647</v>
      </c>
      <c r="F290" s="2" t="s">
        <v>647</v>
      </c>
      <c r="G290" s="2" t="s">
        <v>647</v>
      </c>
      <c r="H290" s="2" t="s">
        <v>647</v>
      </c>
      <c r="I290" s="2" t="s">
        <v>13548</v>
      </c>
    </row>
    <row r="291">
      <c r="A291" s="2" t="s">
        <v>13549</v>
      </c>
      <c r="B291" s="7" t="s">
        <v>985</v>
      </c>
      <c r="C291" s="2" t="s">
        <v>13550</v>
      </c>
      <c r="D291" s="2" t="s">
        <v>647</v>
      </c>
      <c r="E291" s="2" t="s">
        <v>647</v>
      </c>
      <c r="F291" s="2" t="s">
        <v>647</v>
      </c>
      <c r="G291" s="2" t="s">
        <v>647</v>
      </c>
      <c r="H291" s="2" t="s">
        <v>12733</v>
      </c>
      <c r="I291" s="2" t="s">
        <v>13551</v>
      </c>
    </row>
    <row r="292">
      <c r="A292" s="2" t="s">
        <v>13552</v>
      </c>
      <c r="B292" s="7" t="s">
        <v>986</v>
      </c>
      <c r="C292" s="2" t="s">
        <v>13553</v>
      </c>
      <c r="D292" s="2" t="s">
        <v>647</v>
      </c>
      <c r="E292" s="2" t="s">
        <v>647</v>
      </c>
      <c r="F292" s="2" t="s">
        <v>647</v>
      </c>
      <c r="G292" s="2" t="s">
        <v>647</v>
      </c>
      <c r="H292" s="2" t="s">
        <v>12723</v>
      </c>
      <c r="I292" s="2" t="s">
        <v>13554</v>
      </c>
    </row>
    <row r="293">
      <c r="A293" s="2" t="s">
        <v>13555</v>
      </c>
      <c r="B293" s="7" t="s">
        <v>987</v>
      </c>
      <c r="C293" s="2" t="s">
        <v>13556</v>
      </c>
      <c r="D293" s="2" t="s">
        <v>647</v>
      </c>
      <c r="E293" s="2" t="s">
        <v>647</v>
      </c>
      <c r="F293" s="2" t="s">
        <v>647</v>
      </c>
      <c r="G293" s="2" t="s">
        <v>647</v>
      </c>
      <c r="I293" s="2" t="s">
        <v>13557</v>
      </c>
    </row>
    <row r="294">
      <c r="A294" s="2" t="s">
        <v>13558</v>
      </c>
      <c r="B294" s="7" t="s">
        <v>988</v>
      </c>
      <c r="C294" s="2" t="s">
        <v>13559</v>
      </c>
      <c r="D294" s="2" t="s">
        <v>647</v>
      </c>
      <c r="E294" s="2" t="s">
        <v>647</v>
      </c>
      <c r="F294" s="2" t="s">
        <v>647</v>
      </c>
      <c r="G294" s="2" t="s">
        <v>647</v>
      </c>
      <c r="I294" s="2" t="s">
        <v>13560</v>
      </c>
    </row>
    <row r="295">
      <c r="A295" s="2" t="s">
        <v>13561</v>
      </c>
      <c r="B295" s="7" t="s">
        <v>989</v>
      </c>
      <c r="C295" s="2" t="s">
        <v>13562</v>
      </c>
      <c r="D295" s="2" t="s">
        <v>647</v>
      </c>
      <c r="E295" s="2" t="s">
        <v>647</v>
      </c>
      <c r="F295" s="2" t="s">
        <v>647</v>
      </c>
      <c r="G295" s="2" t="s">
        <v>647</v>
      </c>
      <c r="I295" s="2" t="s">
        <v>13563</v>
      </c>
    </row>
    <row r="296">
      <c r="A296" s="2" t="s">
        <v>13564</v>
      </c>
      <c r="B296" s="7" t="s">
        <v>990</v>
      </c>
      <c r="C296" s="2" t="s">
        <v>13565</v>
      </c>
      <c r="D296" s="2" t="s">
        <v>647</v>
      </c>
      <c r="E296" s="2" t="s">
        <v>647</v>
      </c>
      <c r="F296" s="2" t="s">
        <v>647</v>
      </c>
      <c r="G296" s="2" t="s">
        <v>647</v>
      </c>
      <c r="H296" s="2" t="s">
        <v>12723</v>
      </c>
      <c r="I296" s="2" t="s">
        <v>13566</v>
      </c>
    </row>
    <row r="297">
      <c r="A297" s="2" t="s">
        <v>13567</v>
      </c>
      <c r="B297" s="7" t="s">
        <v>991</v>
      </c>
      <c r="C297" s="2" t="s">
        <v>13568</v>
      </c>
      <c r="D297" s="2" t="s">
        <v>647</v>
      </c>
      <c r="E297" s="2" t="s">
        <v>647</v>
      </c>
      <c r="F297" s="2" t="s">
        <v>647</v>
      </c>
      <c r="G297" s="2" t="s">
        <v>647</v>
      </c>
      <c r="H297" s="2" t="s">
        <v>647</v>
      </c>
      <c r="I297" s="2" t="s">
        <v>13569</v>
      </c>
    </row>
    <row r="298">
      <c r="A298" s="2" t="s">
        <v>13570</v>
      </c>
      <c r="B298" s="7" t="s">
        <v>992</v>
      </c>
      <c r="C298" s="2" t="s">
        <v>13571</v>
      </c>
      <c r="D298" s="2" t="s">
        <v>647</v>
      </c>
      <c r="E298" s="2" t="s">
        <v>647</v>
      </c>
      <c r="F298" s="2" t="s">
        <v>647</v>
      </c>
      <c r="G298" s="2" t="s">
        <v>647</v>
      </c>
      <c r="H298" s="2" t="s">
        <v>12723</v>
      </c>
      <c r="I298" s="2" t="s">
        <v>13572</v>
      </c>
    </row>
    <row r="299">
      <c r="A299" s="2" t="s">
        <v>13573</v>
      </c>
      <c r="B299" s="2" t="s">
        <v>647</v>
      </c>
      <c r="C299" s="2" t="s">
        <v>13574</v>
      </c>
      <c r="D299" s="2" t="s">
        <v>647</v>
      </c>
      <c r="E299" s="2" t="s">
        <v>647</v>
      </c>
      <c r="F299" s="2" t="s">
        <v>647</v>
      </c>
      <c r="G299" s="2" t="s">
        <v>647</v>
      </c>
      <c r="I299" s="2" t="s">
        <v>13575</v>
      </c>
    </row>
    <row r="300">
      <c r="A300" s="2" t="s">
        <v>13576</v>
      </c>
      <c r="B300" s="7" t="s">
        <v>993</v>
      </c>
      <c r="C300" s="2" t="s">
        <v>13577</v>
      </c>
      <c r="D300" s="2" t="s">
        <v>647</v>
      </c>
      <c r="E300" s="2" t="s">
        <v>647</v>
      </c>
      <c r="F300" s="2" t="s">
        <v>647</v>
      </c>
      <c r="G300" s="2" t="s">
        <v>647</v>
      </c>
      <c r="H300" s="2" t="s">
        <v>12723</v>
      </c>
      <c r="I300" s="2" t="s">
        <v>13578</v>
      </c>
    </row>
    <row r="301">
      <c r="A301" s="2" t="s">
        <v>13579</v>
      </c>
      <c r="B301" s="7" t="s">
        <v>994</v>
      </c>
      <c r="C301" s="2" t="s">
        <v>13580</v>
      </c>
      <c r="D301" s="2" t="s">
        <v>647</v>
      </c>
      <c r="E301" s="2" t="s">
        <v>647</v>
      </c>
      <c r="F301" s="2" t="s">
        <v>647</v>
      </c>
      <c r="G301" s="2" t="s">
        <v>647</v>
      </c>
      <c r="I301" s="2" t="s">
        <v>13581</v>
      </c>
    </row>
    <row r="302">
      <c r="A302" s="2" t="s">
        <v>13582</v>
      </c>
      <c r="B302" s="7" t="s">
        <v>995</v>
      </c>
      <c r="C302" s="2" t="s">
        <v>13583</v>
      </c>
      <c r="D302" s="2" t="s">
        <v>647</v>
      </c>
      <c r="E302" s="2" t="s">
        <v>647</v>
      </c>
      <c r="F302" s="2" t="s">
        <v>647</v>
      </c>
      <c r="G302" s="2" t="s">
        <v>647</v>
      </c>
      <c r="I302" s="2" t="s">
        <v>13584</v>
      </c>
    </row>
    <row r="303">
      <c r="A303" s="2" t="s">
        <v>13585</v>
      </c>
      <c r="B303" s="7" t="s">
        <v>996</v>
      </c>
      <c r="C303" s="2" t="s">
        <v>13586</v>
      </c>
      <c r="D303" s="2" t="s">
        <v>647</v>
      </c>
      <c r="E303" s="2" t="s">
        <v>647</v>
      </c>
      <c r="F303" s="2" t="s">
        <v>647</v>
      </c>
      <c r="G303" s="2" t="s">
        <v>647</v>
      </c>
      <c r="I303" s="2" t="s">
        <v>13587</v>
      </c>
    </row>
    <row r="304">
      <c r="A304" s="2" t="s">
        <v>13588</v>
      </c>
      <c r="B304" s="7" t="s">
        <v>997</v>
      </c>
      <c r="C304" s="2" t="s">
        <v>13589</v>
      </c>
      <c r="D304" s="2" t="s">
        <v>647</v>
      </c>
      <c r="E304" s="2" t="s">
        <v>647</v>
      </c>
      <c r="F304" s="2" t="s">
        <v>647</v>
      </c>
      <c r="G304" s="2" t="s">
        <v>647</v>
      </c>
      <c r="H304" s="2" t="s">
        <v>12723</v>
      </c>
      <c r="I304" s="2" t="s">
        <v>13590</v>
      </c>
    </row>
    <row r="305">
      <c r="A305" s="2" t="s">
        <v>13591</v>
      </c>
      <c r="B305" s="7" t="s">
        <v>998</v>
      </c>
      <c r="C305" s="2" t="s">
        <v>13592</v>
      </c>
      <c r="D305" s="2" t="s">
        <v>647</v>
      </c>
      <c r="E305" s="2" t="s">
        <v>647</v>
      </c>
      <c r="F305" s="2" t="s">
        <v>647</v>
      </c>
      <c r="G305" s="2" t="s">
        <v>647</v>
      </c>
      <c r="I305" s="2" t="s">
        <v>13593</v>
      </c>
    </row>
    <row r="306">
      <c r="A306" s="2" t="s">
        <v>13594</v>
      </c>
      <c r="B306" s="7" t="s">
        <v>999</v>
      </c>
      <c r="C306" s="2" t="s">
        <v>13595</v>
      </c>
      <c r="D306" s="2" t="s">
        <v>647</v>
      </c>
      <c r="E306" s="2" t="s">
        <v>647</v>
      </c>
      <c r="F306" s="2" t="s">
        <v>647</v>
      </c>
      <c r="G306" s="2" t="s">
        <v>647</v>
      </c>
      <c r="I306" s="2" t="s">
        <v>13596</v>
      </c>
    </row>
    <row r="307">
      <c r="A307" s="2" t="s">
        <v>13597</v>
      </c>
      <c r="B307" s="7" t="s">
        <v>1000</v>
      </c>
      <c r="C307" s="2" t="s">
        <v>13598</v>
      </c>
      <c r="D307" s="2" t="s">
        <v>647</v>
      </c>
      <c r="E307" s="2" t="s">
        <v>647</v>
      </c>
      <c r="F307" s="2" t="s">
        <v>647</v>
      </c>
      <c r="G307" s="2" t="s">
        <v>647</v>
      </c>
      <c r="H307" s="2" t="s">
        <v>647</v>
      </c>
      <c r="I307" s="2" t="s">
        <v>13599</v>
      </c>
    </row>
    <row r="308">
      <c r="A308" s="2" t="s">
        <v>13600</v>
      </c>
      <c r="B308" s="7" t="s">
        <v>1001</v>
      </c>
      <c r="C308" s="2" t="s">
        <v>13601</v>
      </c>
      <c r="D308" s="2" t="s">
        <v>647</v>
      </c>
      <c r="E308" s="2" t="s">
        <v>647</v>
      </c>
      <c r="F308" s="2" t="s">
        <v>647</v>
      </c>
      <c r="G308" s="2" t="s">
        <v>647</v>
      </c>
      <c r="H308" s="2" t="s">
        <v>12723</v>
      </c>
      <c r="I308" s="2" t="s">
        <v>13602</v>
      </c>
    </row>
    <row r="309">
      <c r="A309" s="2" t="s">
        <v>13603</v>
      </c>
      <c r="B309" s="7" t="s">
        <v>1002</v>
      </c>
      <c r="C309" s="2" t="s">
        <v>13604</v>
      </c>
      <c r="D309" s="2" t="s">
        <v>647</v>
      </c>
      <c r="E309" s="2" t="s">
        <v>647</v>
      </c>
      <c r="F309" s="2" t="s">
        <v>647</v>
      </c>
      <c r="G309" s="2" t="s">
        <v>647</v>
      </c>
      <c r="H309" s="2" t="s">
        <v>647</v>
      </c>
      <c r="I309" s="2" t="s">
        <v>13605</v>
      </c>
    </row>
    <row r="310">
      <c r="A310" s="2" t="s">
        <v>13606</v>
      </c>
      <c r="B310" s="7" t="s">
        <v>1003</v>
      </c>
      <c r="C310" s="2" t="s">
        <v>13607</v>
      </c>
      <c r="D310" s="2" t="s">
        <v>647</v>
      </c>
      <c r="E310" s="2" t="s">
        <v>647</v>
      </c>
      <c r="F310" s="2" t="s">
        <v>647</v>
      </c>
      <c r="G310" s="2" t="s">
        <v>647</v>
      </c>
      <c r="I310" s="2" t="s">
        <v>13608</v>
      </c>
    </row>
    <row r="311">
      <c r="A311" s="2" t="s">
        <v>13609</v>
      </c>
      <c r="B311" s="2" t="s">
        <v>647</v>
      </c>
      <c r="C311" s="2" t="s">
        <v>13610</v>
      </c>
      <c r="D311" s="2" t="s">
        <v>647</v>
      </c>
      <c r="E311" s="2" t="s">
        <v>647</v>
      </c>
      <c r="F311" s="2" t="s">
        <v>647</v>
      </c>
      <c r="G311" s="2" t="s">
        <v>647</v>
      </c>
      <c r="I311" s="2" t="s">
        <v>13611</v>
      </c>
    </row>
    <row r="312">
      <c r="A312" s="2" t="s">
        <v>13612</v>
      </c>
      <c r="B312" s="7" t="s">
        <v>1004</v>
      </c>
      <c r="C312" s="2" t="s">
        <v>13613</v>
      </c>
      <c r="D312" s="2" t="s">
        <v>647</v>
      </c>
      <c r="E312" s="2" t="s">
        <v>647</v>
      </c>
      <c r="F312" s="2" t="s">
        <v>647</v>
      </c>
      <c r="G312" s="2" t="s">
        <v>647</v>
      </c>
      <c r="H312" s="2" t="s">
        <v>12723</v>
      </c>
      <c r="I312" s="2" t="s">
        <v>13614</v>
      </c>
    </row>
    <row r="313">
      <c r="A313" s="2" t="s">
        <v>13615</v>
      </c>
      <c r="B313" s="2" t="s">
        <v>647</v>
      </c>
      <c r="C313" s="2" t="s">
        <v>13616</v>
      </c>
      <c r="D313" s="2" t="s">
        <v>647</v>
      </c>
      <c r="E313" s="2" t="s">
        <v>647</v>
      </c>
      <c r="F313" s="2" t="s">
        <v>647</v>
      </c>
      <c r="G313" s="2" t="s">
        <v>647</v>
      </c>
      <c r="I313" s="2" t="s">
        <v>13617</v>
      </c>
    </row>
    <row r="314">
      <c r="A314" s="2" t="s">
        <v>13618</v>
      </c>
      <c r="B314" s="7" t="s">
        <v>1005</v>
      </c>
      <c r="C314" s="2" t="s">
        <v>13619</v>
      </c>
      <c r="D314" s="2" t="s">
        <v>647</v>
      </c>
      <c r="E314" s="2" t="s">
        <v>647</v>
      </c>
      <c r="F314" s="2" t="s">
        <v>647</v>
      </c>
      <c r="G314" s="2" t="s">
        <v>647</v>
      </c>
      <c r="I314" s="2" t="s">
        <v>13620</v>
      </c>
    </row>
    <row r="315">
      <c r="A315" s="2" t="s">
        <v>13621</v>
      </c>
      <c r="B315" s="7" t="s">
        <v>1006</v>
      </c>
      <c r="C315" s="2" t="s">
        <v>13622</v>
      </c>
      <c r="D315" s="2" t="s">
        <v>647</v>
      </c>
      <c r="E315" s="2" t="s">
        <v>647</v>
      </c>
      <c r="F315" s="2" t="s">
        <v>647</v>
      </c>
      <c r="G315" s="2" t="s">
        <v>647</v>
      </c>
      <c r="I315" s="2" t="s">
        <v>13623</v>
      </c>
    </row>
    <row r="316">
      <c r="A316" s="2" t="s">
        <v>13624</v>
      </c>
      <c r="B316" s="7" t="s">
        <v>1007</v>
      </c>
      <c r="C316" s="2" t="s">
        <v>13625</v>
      </c>
      <c r="D316" s="2" t="s">
        <v>647</v>
      </c>
      <c r="E316" s="2" t="s">
        <v>647</v>
      </c>
      <c r="F316" s="2" t="s">
        <v>647</v>
      </c>
      <c r="G316" s="2" t="s">
        <v>647</v>
      </c>
      <c r="I316" s="2" t="s">
        <v>13626</v>
      </c>
    </row>
    <row r="317">
      <c r="A317" s="2" t="s">
        <v>13627</v>
      </c>
      <c r="B317" s="2" t="s">
        <v>647</v>
      </c>
      <c r="D317" s="2" t="s">
        <v>647</v>
      </c>
      <c r="E317" s="2" t="s">
        <v>647</v>
      </c>
      <c r="F317" s="2" t="s">
        <v>647</v>
      </c>
      <c r="G317" s="2" t="s">
        <v>647</v>
      </c>
      <c r="I317" s="2" t="s">
        <v>13628</v>
      </c>
    </row>
    <row r="318">
      <c r="A318" s="2" t="s">
        <v>13629</v>
      </c>
      <c r="B318" s="7" t="s">
        <v>1008</v>
      </c>
      <c r="C318" s="2" t="s">
        <v>13630</v>
      </c>
      <c r="D318" s="2" t="s">
        <v>647</v>
      </c>
      <c r="E318" s="2" t="s">
        <v>647</v>
      </c>
      <c r="F318" s="2" t="s">
        <v>647</v>
      </c>
      <c r="G318" s="2" t="s">
        <v>647</v>
      </c>
      <c r="I318" s="2" t="s">
        <v>13631</v>
      </c>
    </row>
    <row r="319">
      <c r="A319" s="2" t="s">
        <v>13632</v>
      </c>
      <c r="B319" s="2" t="s">
        <v>647</v>
      </c>
      <c r="C319" s="2" t="s">
        <v>13633</v>
      </c>
      <c r="D319" s="2" t="s">
        <v>647</v>
      </c>
      <c r="E319" s="2" t="s">
        <v>647</v>
      </c>
      <c r="F319" s="2" t="s">
        <v>647</v>
      </c>
      <c r="G319" s="2" t="s">
        <v>647</v>
      </c>
      <c r="H319" s="2" t="s">
        <v>647</v>
      </c>
    </row>
    <row r="320">
      <c r="A320" s="2" t="s">
        <v>13634</v>
      </c>
      <c r="B320" s="7" t="s">
        <v>1009</v>
      </c>
      <c r="C320" s="2" t="s">
        <v>13635</v>
      </c>
      <c r="D320" s="2" t="s">
        <v>647</v>
      </c>
      <c r="E320" s="2" t="s">
        <v>647</v>
      </c>
      <c r="F320" s="2" t="s">
        <v>647</v>
      </c>
      <c r="G320" s="2" t="s">
        <v>647</v>
      </c>
      <c r="H320" s="2" t="s">
        <v>647</v>
      </c>
      <c r="I320" s="2" t="s">
        <v>13636</v>
      </c>
    </row>
    <row r="321">
      <c r="A321" s="2" t="s">
        <v>13637</v>
      </c>
      <c r="B321" s="7" t="s">
        <v>1010</v>
      </c>
      <c r="C321" s="2" t="s">
        <v>13638</v>
      </c>
      <c r="D321" s="2" t="s">
        <v>647</v>
      </c>
      <c r="E321" s="2" t="s">
        <v>647</v>
      </c>
      <c r="F321" s="2" t="s">
        <v>647</v>
      </c>
      <c r="G321" s="2" t="s">
        <v>647</v>
      </c>
      <c r="I321" s="2" t="s">
        <v>13639</v>
      </c>
    </row>
    <row r="322">
      <c r="A322" s="2" t="s">
        <v>13640</v>
      </c>
      <c r="B322" s="7" t="s">
        <v>1011</v>
      </c>
      <c r="C322" s="2" t="s">
        <v>13641</v>
      </c>
      <c r="D322" s="2" t="s">
        <v>647</v>
      </c>
      <c r="E322" s="2" t="s">
        <v>647</v>
      </c>
      <c r="F322" s="2" t="s">
        <v>647</v>
      </c>
      <c r="G322" s="2" t="s">
        <v>647</v>
      </c>
      <c r="I322" s="2" t="s">
        <v>13642</v>
      </c>
    </row>
    <row r="323">
      <c r="A323" s="2" t="s">
        <v>13643</v>
      </c>
      <c r="B323" s="7" t="s">
        <v>1012</v>
      </c>
      <c r="C323" s="2" t="s">
        <v>13644</v>
      </c>
      <c r="D323" s="2" t="s">
        <v>647</v>
      </c>
      <c r="E323" s="2" t="s">
        <v>647</v>
      </c>
      <c r="F323" s="2" t="s">
        <v>647</v>
      </c>
      <c r="G323" s="2" t="s">
        <v>647</v>
      </c>
      <c r="H323" s="2" t="s">
        <v>12723</v>
      </c>
      <c r="I323" s="2" t="s">
        <v>13645</v>
      </c>
    </row>
    <row r="324">
      <c r="A324" s="2" t="s">
        <v>13646</v>
      </c>
      <c r="B324" s="7" t="s">
        <v>1013</v>
      </c>
      <c r="C324" s="2" t="s">
        <v>13647</v>
      </c>
      <c r="D324" s="2" t="s">
        <v>647</v>
      </c>
      <c r="E324" s="2" t="s">
        <v>647</v>
      </c>
      <c r="F324" s="2" t="s">
        <v>647</v>
      </c>
      <c r="G324" s="2" t="s">
        <v>647</v>
      </c>
      <c r="I324" s="2" t="s">
        <v>13648</v>
      </c>
    </row>
    <row r="325">
      <c r="A325" s="2" t="s">
        <v>13649</v>
      </c>
      <c r="B325" s="7" t="s">
        <v>1014</v>
      </c>
      <c r="C325" s="2" t="s">
        <v>13650</v>
      </c>
      <c r="D325" s="2" t="s">
        <v>647</v>
      </c>
      <c r="E325" s="2" t="s">
        <v>647</v>
      </c>
      <c r="F325" s="2" t="s">
        <v>647</v>
      </c>
      <c r="G325" s="2" t="s">
        <v>647</v>
      </c>
      <c r="H325" s="2" t="s">
        <v>12723</v>
      </c>
      <c r="I325" s="2" t="s">
        <v>13651</v>
      </c>
    </row>
    <row r="326">
      <c r="A326" s="2" t="s">
        <v>13652</v>
      </c>
      <c r="B326" s="7" t="s">
        <v>1015</v>
      </c>
      <c r="C326" s="2" t="s">
        <v>13653</v>
      </c>
      <c r="D326" s="2" t="s">
        <v>647</v>
      </c>
      <c r="E326" s="2" t="s">
        <v>647</v>
      </c>
      <c r="F326" s="2" t="s">
        <v>647</v>
      </c>
      <c r="G326" s="2" t="s">
        <v>647</v>
      </c>
      <c r="H326" s="2" t="s">
        <v>12723</v>
      </c>
      <c r="I326" s="2" t="s">
        <v>13654</v>
      </c>
    </row>
    <row r="327">
      <c r="A327" s="2" t="s">
        <v>13655</v>
      </c>
      <c r="B327" s="7" t="s">
        <v>1016</v>
      </c>
      <c r="C327" s="2" t="s">
        <v>13656</v>
      </c>
      <c r="D327" s="2" t="s">
        <v>647</v>
      </c>
      <c r="E327" s="2" t="s">
        <v>647</v>
      </c>
      <c r="F327" s="2" t="s">
        <v>647</v>
      </c>
      <c r="G327" s="2" t="s">
        <v>647</v>
      </c>
      <c r="I327" s="2" t="s">
        <v>13657</v>
      </c>
    </row>
    <row r="328">
      <c r="A328" s="2" t="s">
        <v>13658</v>
      </c>
      <c r="B328" s="7" t="s">
        <v>357</v>
      </c>
      <c r="C328" s="2" t="s">
        <v>13659</v>
      </c>
      <c r="D328" s="2" t="s">
        <v>647</v>
      </c>
      <c r="E328" s="2" t="s">
        <v>647</v>
      </c>
      <c r="F328" s="2" t="s">
        <v>647</v>
      </c>
      <c r="G328" s="2" t="s">
        <v>647</v>
      </c>
      <c r="I328" s="2" t="s">
        <v>13660</v>
      </c>
    </row>
    <row r="329">
      <c r="A329" s="2" t="s">
        <v>13661</v>
      </c>
      <c r="B329" s="7" t="s">
        <v>1017</v>
      </c>
      <c r="C329" s="2" t="s">
        <v>13662</v>
      </c>
      <c r="D329" s="2" t="s">
        <v>647</v>
      </c>
      <c r="E329" s="2" t="s">
        <v>647</v>
      </c>
      <c r="F329" s="2" t="s">
        <v>647</v>
      </c>
      <c r="G329" s="2" t="s">
        <v>647</v>
      </c>
      <c r="H329" s="2" t="s">
        <v>12733</v>
      </c>
      <c r="I329" s="2" t="s">
        <v>13663</v>
      </c>
    </row>
    <row r="330">
      <c r="A330" s="2" t="s">
        <v>13664</v>
      </c>
      <c r="B330" s="7" t="s">
        <v>1018</v>
      </c>
      <c r="C330" s="2" t="s">
        <v>13665</v>
      </c>
      <c r="D330" s="2" t="s">
        <v>647</v>
      </c>
      <c r="E330" s="2" t="s">
        <v>647</v>
      </c>
      <c r="F330" s="2" t="s">
        <v>647</v>
      </c>
      <c r="G330" s="2" t="s">
        <v>647</v>
      </c>
      <c r="H330" s="2" t="s">
        <v>12723</v>
      </c>
    </row>
    <row r="331">
      <c r="A331" s="2" t="s">
        <v>13666</v>
      </c>
      <c r="B331" s="7" t="s">
        <v>1019</v>
      </c>
      <c r="C331" s="2" t="s">
        <v>13667</v>
      </c>
      <c r="D331" s="2" t="s">
        <v>647</v>
      </c>
      <c r="E331" s="2" t="s">
        <v>647</v>
      </c>
      <c r="F331" s="2" t="s">
        <v>647</v>
      </c>
      <c r="G331" s="2" t="s">
        <v>647</v>
      </c>
      <c r="I331" s="2" t="s">
        <v>13668</v>
      </c>
    </row>
    <row r="332">
      <c r="A332" s="2" t="s">
        <v>13669</v>
      </c>
      <c r="B332" s="7" t="s">
        <v>1020</v>
      </c>
      <c r="C332" s="2" t="s">
        <v>13670</v>
      </c>
      <c r="D332" s="2" t="s">
        <v>647</v>
      </c>
      <c r="E332" s="2" t="s">
        <v>647</v>
      </c>
      <c r="F332" s="2" t="s">
        <v>647</v>
      </c>
      <c r="G332" s="2" t="s">
        <v>647</v>
      </c>
      <c r="H332" s="2" t="s">
        <v>647</v>
      </c>
      <c r="I332" s="2" t="s">
        <v>13671</v>
      </c>
    </row>
    <row r="333">
      <c r="A333" s="2" t="s">
        <v>13672</v>
      </c>
      <c r="B333" s="7" t="s">
        <v>1021</v>
      </c>
      <c r="C333" s="2" t="s">
        <v>13673</v>
      </c>
      <c r="D333" s="2" t="s">
        <v>647</v>
      </c>
      <c r="E333" s="2" t="s">
        <v>647</v>
      </c>
      <c r="F333" s="2" t="s">
        <v>647</v>
      </c>
      <c r="G333" s="2" t="s">
        <v>647</v>
      </c>
      <c r="H333" s="2" t="s">
        <v>12723</v>
      </c>
      <c r="I333" s="2" t="s">
        <v>13674</v>
      </c>
    </row>
    <row r="334">
      <c r="A334" s="2" t="s">
        <v>13675</v>
      </c>
      <c r="B334" s="7" t="s">
        <v>1022</v>
      </c>
      <c r="C334" s="2" t="s">
        <v>13676</v>
      </c>
      <c r="D334" s="2" t="s">
        <v>647</v>
      </c>
      <c r="E334" s="2" t="s">
        <v>647</v>
      </c>
      <c r="F334" s="2" t="s">
        <v>647</v>
      </c>
      <c r="G334" s="2" t="s">
        <v>647</v>
      </c>
      <c r="I334" s="2" t="s">
        <v>13677</v>
      </c>
    </row>
    <row r="335">
      <c r="A335" s="2" t="s">
        <v>13678</v>
      </c>
      <c r="B335" s="7" t="s">
        <v>1023</v>
      </c>
      <c r="C335" s="2" t="s">
        <v>13679</v>
      </c>
      <c r="D335" s="2" t="s">
        <v>647</v>
      </c>
      <c r="E335" s="2" t="s">
        <v>647</v>
      </c>
      <c r="F335" s="2" t="s">
        <v>647</v>
      </c>
      <c r="G335" s="2" t="s">
        <v>647</v>
      </c>
      <c r="H335" s="2" t="s">
        <v>647</v>
      </c>
      <c r="I335" s="2" t="s">
        <v>13680</v>
      </c>
    </row>
    <row r="336">
      <c r="A336" s="2" t="s">
        <v>13681</v>
      </c>
      <c r="B336" s="7" t="s">
        <v>1024</v>
      </c>
      <c r="C336" s="2" t="s">
        <v>13439</v>
      </c>
      <c r="D336" s="2" t="s">
        <v>647</v>
      </c>
      <c r="E336" s="2" t="s">
        <v>647</v>
      </c>
      <c r="F336" s="2" t="s">
        <v>647</v>
      </c>
      <c r="G336" s="2" t="s">
        <v>647</v>
      </c>
      <c r="H336" s="2" t="s">
        <v>13439</v>
      </c>
      <c r="I336" s="2" t="s">
        <v>13682</v>
      </c>
    </row>
    <row r="337">
      <c r="A337" s="2" t="s">
        <v>13683</v>
      </c>
      <c r="B337" s="7" t="s">
        <v>1025</v>
      </c>
      <c r="C337" s="2" t="s">
        <v>13684</v>
      </c>
      <c r="D337" s="2" t="s">
        <v>647</v>
      </c>
      <c r="E337" s="2" t="s">
        <v>647</v>
      </c>
      <c r="F337" s="2" t="s">
        <v>647</v>
      </c>
      <c r="G337" s="2" t="s">
        <v>647</v>
      </c>
      <c r="H337" s="2" t="s">
        <v>647</v>
      </c>
      <c r="I337" s="2" t="s">
        <v>13685</v>
      </c>
    </row>
    <row r="338">
      <c r="A338" s="2" t="s">
        <v>13686</v>
      </c>
      <c r="B338" s="7" t="s">
        <v>1026</v>
      </c>
      <c r="C338" s="2" t="s">
        <v>13687</v>
      </c>
      <c r="D338" s="2" t="s">
        <v>647</v>
      </c>
      <c r="E338" s="2" t="s">
        <v>647</v>
      </c>
      <c r="F338" s="2" t="s">
        <v>647</v>
      </c>
      <c r="G338" s="2" t="s">
        <v>647</v>
      </c>
      <c r="H338" s="2" t="s">
        <v>647</v>
      </c>
      <c r="I338" s="2" t="s">
        <v>13688</v>
      </c>
    </row>
    <row r="339">
      <c r="A339" s="2" t="s">
        <v>13689</v>
      </c>
      <c r="B339" s="7" t="s">
        <v>1027</v>
      </c>
      <c r="C339" s="2" t="s">
        <v>13690</v>
      </c>
      <c r="D339" s="2" t="s">
        <v>647</v>
      </c>
      <c r="E339" s="2" t="s">
        <v>647</v>
      </c>
      <c r="F339" s="2" t="s">
        <v>647</v>
      </c>
      <c r="G339" s="2" t="s">
        <v>647</v>
      </c>
      <c r="I339" s="2" t="s">
        <v>13691</v>
      </c>
    </row>
    <row r="340">
      <c r="A340" s="2" t="s">
        <v>13692</v>
      </c>
      <c r="B340" s="7" t="s">
        <v>1028</v>
      </c>
      <c r="C340" s="2" t="s">
        <v>13693</v>
      </c>
      <c r="D340" s="2" t="s">
        <v>647</v>
      </c>
      <c r="E340" s="2" t="s">
        <v>647</v>
      </c>
      <c r="F340" s="2" t="s">
        <v>647</v>
      </c>
      <c r="G340" s="2" t="s">
        <v>647</v>
      </c>
      <c r="H340" s="2" t="s">
        <v>12723</v>
      </c>
      <c r="I340" s="2" t="s">
        <v>13694</v>
      </c>
    </row>
    <row r="341">
      <c r="A341" s="2" t="s">
        <v>13695</v>
      </c>
      <c r="B341" s="7" t="s">
        <v>1029</v>
      </c>
      <c r="C341" s="2" t="s">
        <v>13696</v>
      </c>
      <c r="D341" s="2" t="s">
        <v>647</v>
      </c>
      <c r="E341" s="2" t="s">
        <v>647</v>
      </c>
      <c r="F341" s="2" t="s">
        <v>647</v>
      </c>
      <c r="G341" s="2" t="s">
        <v>647</v>
      </c>
      <c r="I341" s="2" t="s">
        <v>13697</v>
      </c>
    </row>
    <row r="342">
      <c r="A342" s="2" t="s">
        <v>13698</v>
      </c>
      <c r="B342" s="7" t="s">
        <v>1030</v>
      </c>
      <c r="C342" s="2" t="s">
        <v>13699</v>
      </c>
      <c r="D342" s="2" t="s">
        <v>647</v>
      </c>
      <c r="E342" s="2" t="s">
        <v>647</v>
      </c>
      <c r="F342" s="2" t="s">
        <v>647</v>
      </c>
      <c r="G342" s="2" t="s">
        <v>647</v>
      </c>
      <c r="H342" s="2" t="s">
        <v>12723</v>
      </c>
      <c r="I342" s="2" t="s">
        <v>13700</v>
      </c>
    </row>
    <row r="343">
      <c r="A343" s="2" t="s">
        <v>13701</v>
      </c>
      <c r="B343" s="7" t="s">
        <v>1031</v>
      </c>
      <c r="C343" s="2" t="s">
        <v>13702</v>
      </c>
      <c r="D343" s="2" t="s">
        <v>647</v>
      </c>
      <c r="E343" s="2" t="s">
        <v>647</v>
      </c>
      <c r="F343" s="2" t="s">
        <v>647</v>
      </c>
      <c r="G343" s="2" t="s">
        <v>647</v>
      </c>
      <c r="H343" s="2" t="s">
        <v>12723</v>
      </c>
      <c r="I343" s="2" t="s">
        <v>13703</v>
      </c>
    </row>
    <row r="344">
      <c r="A344" s="2" t="s">
        <v>13704</v>
      </c>
      <c r="B344" s="7" t="s">
        <v>1032</v>
      </c>
      <c r="C344" s="2" t="s">
        <v>13705</v>
      </c>
      <c r="D344" s="2" t="s">
        <v>647</v>
      </c>
      <c r="E344" s="2" t="s">
        <v>647</v>
      </c>
      <c r="F344" s="2" t="s">
        <v>647</v>
      </c>
      <c r="G344" s="2" t="s">
        <v>647</v>
      </c>
      <c r="H344" s="2" t="s">
        <v>647</v>
      </c>
      <c r="I344" s="2" t="s">
        <v>13706</v>
      </c>
    </row>
    <row r="345">
      <c r="A345" s="2" t="s">
        <v>13707</v>
      </c>
      <c r="B345" s="7" t="s">
        <v>1033</v>
      </c>
      <c r="C345" s="2" t="s">
        <v>13708</v>
      </c>
      <c r="D345" s="2" t="s">
        <v>647</v>
      </c>
      <c r="E345" s="2" t="s">
        <v>647</v>
      </c>
      <c r="F345" s="2" t="s">
        <v>647</v>
      </c>
      <c r="G345" s="2" t="s">
        <v>647</v>
      </c>
      <c r="I345" s="2" t="s">
        <v>13709</v>
      </c>
    </row>
    <row r="346">
      <c r="A346" s="2" t="s">
        <v>13710</v>
      </c>
      <c r="B346" s="7" t="s">
        <v>1034</v>
      </c>
      <c r="C346" s="2" t="s">
        <v>13711</v>
      </c>
      <c r="D346" s="2" t="s">
        <v>647</v>
      </c>
      <c r="E346" s="2" t="s">
        <v>647</v>
      </c>
      <c r="F346" s="2" t="s">
        <v>647</v>
      </c>
      <c r="G346" s="2" t="s">
        <v>647</v>
      </c>
      <c r="H346" s="2" t="s">
        <v>12723</v>
      </c>
      <c r="I346" s="2" t="s">
        <v>13712</v>
      </c>
    </row>
    <row r="347">
      <c r="A347" s="2" t="s">
        <v>13713</v>
      </c>
      <c r="B347" s="7" t="s">
        <v>1035</v>
      </c>
      <c r="C347" s="2" t="s">
        <v>13714</v>
      </c>
      <c r="D347" s="2" t="s">
        <v>647</v>
      </c>
      <c r="E347" s="2" t="s">
        <v>647</v>
      </c>
      <c r="F347" s="2" t="s">
        <v>647</v>
      </c>
      <c r="G347" s="2" t="s">
        <v>647</v>
      </c>
      <c r="I347" s="2" t="s">
        <v>13715</v>
      </c>
    </row>
    <row r="348">
      <c r="A348" s="2" t="s">
        <v>13716</v>
      </c>
      <c r="B348" s="7" t="s">
        <v>1036</v>
      </c>
      <c r="C348" s="2" t="s">
        <v>13717</v>
      </c>
      <c r="D348" s="2" t="s">
        <v>647</v>
      </c>
      <c r="E348" s="2" t="s">
        <v>647</v>
      </c>
      <c r="F348" s="2" t="s">
        <v>647</v>
      </c>
      <c r="G348" s="2" t="s">
        <v>647</v>
      </c>
      <c r="I348" s="2" t="s">
        <v>13718</v>
      </c>
    </row>
    <row r="349">
      <c r="A349" s="2" t="s">
        <v>13719</v>
      </c>
      <c r="B349" s="7" t="s">
        <v>1037</v>
      </c>
      <c r="C349" s="2" t="s">
        <v>13720</v>
      </c>
      <c r="D349" s="2" t="s">
        <v>647</v>
      </c>
      <c r="E349" s="2" t="s">
        <v>647</v>
      </c>
      <c r="F349" s="2" t="s">
        <v>647</v>
      </c>
      <c r="G349" s="2" t="s">
        <v>647</v>
      </c>
      <c r="H349" s="2" t="s">
        <v>12723</v>
      </c>
      <c r="I349" s="2" t="s">
        <v>13721</v>
      </c>
    </row>
    <row r="350">
      <c r="A350" s="2" t="s">
        <v>13722</v>
      </c>
      <c r="B350" s="7" t="s">
        <v>1038</v>
      </c>
      <c r="C350" s="2" t="s">
        <v>13723</v>
      </c>
      <c r="D350" s="2" t="s">
        <v>647</v>
      </c>
      <c r="E350" s="2" t="s">
        <v>647</v>
      </c>
      <c r="F350" s="2" t="s">
        <v>647</v>
      </c>
      <c r="G350" s="2" t="s">
        <v>647</v>
      </c>
      <c r="I350" s="2" t="s">
        <v>13724</v>
      </c>
    </row>
    <row r="351">
      <c r="A351" s="2" t="s">
        <v>13725</v>
      </c>
      <c r="B351" s="7" t="s">
        <v>1039</v>
      </c>
      <c r="C351" s="2" t="s">
        <v>13726</v>
      </c>
      <c r="D351" s="2" t="s">
        <v>647</v>
      </c>
      <c r="E351" s="2" t="s">
        <v>647</v>
      </c>
      <c r="F351" s="2" t="s">
        <v>647</v>
      </c>
      <c r="G351" s="2" t="s">
        <v>647</v>
      </c>
      <c r="I351" s="2" t="s">
        <v>13727</v>
      </c>
    </row>
    <row r="352">
      <c r="A352" s="2" t="s">
        <v>13728</v>
      </c>
      <c r="B352" s="7" t="s">
        <v>1040</v>
      </c>
      <c r="C352" s="2" t="s">
        <v>13729</v>
      </c>
      <c r="D352" s="2" t="s">
        <v>647</v>
      </c>
      <c r="E352" s="2" t="s">
        <v>647</v>
      </c>
      <c r="F352" s="2" t="s">
        <v>647</v>
      </c>
      <c r="G352" s="2" t="s">
        <v>647</v>
      </c>
      <c r="I352" s="2" t="s">
        <v>13730</v>
      </c>
    </row>
    <row r="353">
      <c r="A353" s="2" t="s">
        <v>13731</v>
      </c>
      <c r="B353" s="7" t="s">
        <v>1041</v>
      </c>
      <c r="C353" s="2" t="s">
        <v>13732</v>
      </c>
      <c r="D353" s="2" t="s">
        <v>647</v>
      </c>
      <c r="E353" s="2" t="s">
        <v>647</v>
      </c>
      <c r="F353" s="2" t="s">
        <v>647</v>
      </c>
      <c r="G353" s="2" t="s">
        <v>647</v>
      </c>
      <c r="I353" s="2" t="s">
        <v>13733</v>
      </c>
    </row>
    <row r="354">
      <c r="A354" s="2" t="s">
        <v>13734</v>
      </c>
      <c r="B354" s="7" t="s">
        <v>1042</v>
      </c>
      <c r="C354" s="2" t="s">
        <v>13735</v>
      </c>
      <c r="D354" s="2" t="s">
        <v>647</v>
      </c>
      <c r="E354" s="2" t="s">
        <v>647</v>
      </c>
      <c r="F354" s="2" t="s">
        <v>647</v>
      </c>
      <c r="G354" s="2" t="s">
        <v>647</v>
      </c>
      <c r="I354" s="2" t="s">
        <v>13736</v>
      </c>
    </row>
    <row r="355">
      <c r="A355" s="2" t="s">
        <v>13737</v>
      </c>
      <c r="B355" s="7" t="s">
        <v>1043</v>
      </c>
      <c r="C355" s="2" t="s">
        <v>13738</v>
      </c>
      <c r="D355" s="2" t="s">
        <v>647</v>
      </c>
      <c r="E355" s="2" t="s">
        <v>647</v>
      </c>
      <c r="F355" s="2" t="s">
        <v>647</v>
      </c>
      <c r="G355" s="2" t="s">
        <v>647</v>
      </c>
      <c r="I355" s="2" t="s">
        <v>13739</v>
      </c>
    </row>
    <row r="356">
      <c r="A356" s="2" t="s">
        <v>13740</v>
      </c>
      <c r="B356" s="7" t="s">
        <v>1044</v>
      </c>
      <c r="C356" s="2" t="s">
        <v>13741</v>
      </c>
      <c r="D356" s="2" t="s">
        <v>647</v>
      </c>
      <c r="E356" s="2" t="s">
        <v>647</v>
      </c>
      <c r="F356" s="2" t="s">
        <v>647</v>
      </c>
      <c r="G356" s="2" t="s">
        <v>647</v>
      </c>
      <c r="I356" s="2" t="s">
        <v>13742</v>
      </c>
    </row>
    <row r="357">
      <c r="B357" s="7" t="s">
        <v>1045</v>
      </c>
      <c r="C357" s="2" t="s">
        <v>12733</v>
      </c>
      <c r="D357" s="2" t="s">
        <v>647</v>
      </c>
      <c r="E357" s="2" t="s">
        <v>647</v>
      </c>
      <c r="F357" s="2" t="s">
        <v>647</v>
      </c>
      <c r="G357" s="2" t="s">
        <v>647</v>
      </c>
    </row>
    <row r="358">
      <c r="B358" s="7" t="s">
        <v>1046</v>
      </c>
      <c r="C358" s="2" t="s">
        <v>12719</v>
      </c>
      <c r="D358" s="2" t="s">
        <v>647</v>
      </c>
      <c r="E358" s="2" t="s">
        <v>647</v>
      </c>
      <c r="F358" s="2" t="s">
        <v>647</v>
      </c>
      <c r="G358" s="2" t="s">
        <v>647</v>
      </c>
      <c r="H358" s="2" t="s">
        <v>12723</v>
      </c>
    </row>
    <row r="359">
      <c r="B359" s="7" t="s">
        <v>1047</v>
      </c>
      <c r="C359" s="2" t="s">
        <v>12719</v>
      </c>
      <c r="D359" s="2" t="s">
        <v>647</v>
      </c>
      <c r="E359" s="2" t="s">
        <v>647</v>
      </c>
      <c r="F359" s="2" t="s">
        <v>647</v>
      </c>
      <c r="G359" s="2" t="s">
        <v>647</v>
      </c>
      <c r="H359" s="2" t="s">
        <v>12719</v>
      </c>
    </row>
    <row r="360">
      <c r="B360" s="7" t="s">
        <v>1048</v>
      </c>
      <c r="C360" s="2" t="s">
        <v>12719</v>
      </c>
      <c r="D360" s="2" t="s">
        <v>647</v>
      </c>
      <c r="E360" s="2" t="s">
        <v>647</v>
      </c>
      <c r="F360" s="2" t="s">
        <v>647</v>
      </c>
      <c r="G360" s="2" t="s">
        <v>647</v>
      </c>
      <c r="H360" s="2" t="s">
        <v>12723</v>
      </c>
    </row>
    <row r="361">
      <c r="B361" s="7" t="s">
        <v>1049</v>
      </c>
      <c r="C361" s="2" t="s">
        <v>12723</v>
      </c>
      <c r="D361" s="2" t="s">
        <v>647</v>
      </c>
      <c r="E361" s="2" t="s">
        <v>647</v>
      </c>
      <c r="F361" s="2" t="s">
        <v>647</v>
      </c>
      <c r="G361" s="2" t="s">
        <v>647</v>
      </c>
    </row>
    <row r="362">
      <c r="B362" s="7" t="s">
        <v>1050</v>
      </c>
      <c r="C362" s="2" t="s">
        <v>12723</v>
      </c>
      <c r="D362" s="2" t="s">
        <v>647</v>
      </c>
      <c r="E362" s="2" t="s">
        <v>647</v>
      </c>
      <c r="F362" s="2" t="s">
        <v>647</v>
      </c>
      <c r="G362" s="2" t="s">
        <v>647</v>
      </c>
    </row>
    <row r="363">
      <c r="B363" s="7" t="s">
        <v>1051</v>
      </c>
      <c r="C363" s="2" t="s">
        <v>12723</v>
      </c>
      <c r="D363" s="2" t="s">
        <v>647</v>
      </c>
      <c r="E363" s="2" t="s">
        <v>647</v>
      </c>
      <c r="F363" s="2" t="s">
        <v>647</v>
      </c>
      <c r="G363" s="2" t="s">
        <v>647</v>
      </c>
    </row>
    <row r="364">
      <c r="B364" s="7" t="s">
        <v>1051</v>
      </c>
      <c r="C364" s="2" t="s">
        <v>12719</v>
      </c>
      <c r="D364" s="2" t="s">
        <v>647</v>
      </c>
      <c r="E364" s="2" t="s">
        <v>647</v>
      </c>
      <c r="F364" s="2" t="s">
        <v>647</v>
      </c>
      <c r="G364" s="2" t="s">
        <v>647</v>
      </c>
      <c r="H364" s="2" t="s">
        <v>647</v>
      </c>
    </row>
    <row r="365">
      <c r="B365" s="7" t="s">
        <v>1052</v>
      </c>
      <c r="C365" s="2" t="s">
        <v>12723</v>
      </c>
      <c r="D365" s="2" t="s">
        <v>647</v>
      </c>
      <c r="E365" s="2" t="s">
        <v>647</v>
      </c>
      <c r="F365" s="2" t="s">
        <v>647</v>
      </c>
      <c r="G365" s="2" t="s">
        <v>647</v>
      </c>
      <c r="H365" s="2" t="s">
        <v>647</v>
      </c>
    </row>
    <row r="366">
      <c r="B366" s="7" t="s">
        <v>1053</v>
      </c>
      <c r="C366" s="2" t="s">
        <v>12719</v>
      </c>
      <c r="D366" s="2" t="s">
        <v>647</v>
      </c>
      <c r="E366" s="2" t="s">
        <v>647</v>
      </c>
      <c r="F366" s="2" t="s">
        <v>647</v>
      </c>
      <c r="G366" s="2" t="s">
        <v>647</v>
      </c>
      <c r="H366" s="2" t="s">
        <v>12723</v>
      </c>
    </row>
    <row r="367">
      <c r="B367" s="7" t="s">
        <v>1054</v>
      </c>
      <c r="C367" s="2" t="s">
        <v>12719</v>
      </c>
      <c r="D367" s="2" t="s">
        <v>647</v>
      </c>
      <c r="E367" s="2" t="s">
        <v>647</v>
      </c>
      <c r="F367" s="2" t="s">
        <v>647</v>
      </c>
      <c r="G367" s="2" t="s">
        <v>647</v>
      </c>
      <c r="H367" s="2" t="s">
        <v>12723</v>
      </c>
    </row>
    <row r="368">
      <c r="B368" s="7" t="s">
        <v>1055</v>
      </c>
      <c r="C368" s="2" t="s">
        <v>647</v>
      </c>
      <c r="D368" s="2" t="s">
        <v>647</v>
      </c>
      <c r="E368" s="2" t="s">
        <v>647</v>
      </c>
      <c r="F368" s="2" t="s">
        <v>647</v>
      </c>
      <c r="G368" s="2" t="s">
        <v>647</v>
      </c>
      <c r="H368" s="2" t="s">
        <v>647</v>
      </c>
    </row>
    <row r="369">
      <c r="B369" s="7" t="s">
        <v>1056</v>
      </c>
      <c r="C369" s="2" t="s">
        <v>12719</v>
      </c>
      <c r="D369" s="2" t="s">
        <v>647</v>
      </c>
      <c r="E369" s="2" t="s">
        <v>647</v>
      </c>
      <c r="F369" s="2" t="s">
        <v>647</v>
      </c>
      <c r="G369" s="2" t="s">
        <v>647</v>
      </c>
    </row>
    <row r="370">
      <c r="B370" s="7" t="s">
        <v>1057</v>
      </c>
      <c r="D370" s="2" t="s">
        <v>647</v>
      </c>
      <c r="E370" s="2" t="s">
        <v>647</v>
      </c>
      <c r="F370" s="2" t="s">
        <v>647</v>
      </c>
      <c r="G370" s="2" t="s">
        <v>647</v>
      </c>
    </row>
    <row r="371">
      <c r="B371" s="7" t="s">
        <v>1058</v>
      </c>
      <c r="C371" s="2" t="s">
        <v>12723</v>
      </c>
      <c r="D371" s="2" t="s">
        <v>647</v>
      </c>
      <c r="E371" s="2" t="s">
        <v>647</v>
      </c>
      <c r="F371" s="2" t="s">
        <v>647</v>
      </c>
      <c r="G371" s="2" t="s">
        <v>647</v>
      </c>
      <c r="H371" s="2" t="s">
        <v>12723</v>
      </c>
    </row>
    <row r="372">
      <c r="B372" s="7" t="s">
        <v>1059</v>
      </c>
      <c r="C372" s="2" t="s">
        <v>12719</v>
      </c>
      <c r="D372" s="2" t="s">
        <v>647</v>
      </c>
      <c r="E372" s="2" t="s">
        <v>647</v>
      </c>
      <c r="F372" s="2" t="s">
        <v>647</v>
      </c>
      <c r="G372" s="2" t="s">
        <v>647</v>
      </c>
    </row>
    <row r="373">
      <c r="B373" s="7" t="s">
        <v>1060</v>
      </c>
      <c r="C373" s="2" t="s">
        <v>12719</v>
      </c>
      <c r="D373" s="2" t="s">
        <v>647</v>
      </c>
      <c r="E373" s="2" t="s">
        <v>647</v>
      </c>
      <c r="F373" s="2" t="s">
        <v>647</v>
      </c>
      <c r="G373" s="2" t="s">
        <v>647</v>
      </c>
      <c r="H373" s="2" t="s">
        <v>12723</v>
      </c>
    </row>
    <row r="374">
      <c r="B374" s="7" t="s">
        <v>1061</v>
      </c>
      <c r="C374" s="2" t="s">
        <v>12719</v>
      </c>
      <c r="D374" s="2" t="s">
        <v>647</v>
      </c>
      <c r="E374" s="2" t="s">
        <v>647</v>
      </c>
      <c r="F374" s="2" t="s">
        <v>647</v>
      </c>
      <c r="G374" s="2" t="s">
        <v>647</v>
      </c>
      <c r="H374" s="2" t="s">
        <v>12723</v>
      </c>
    </row>
    <row r="375">
      <c r="B375" s="7" t="s">
        <v>1062</v>
      </c>
      <c r="C375" s="2" t="s">
        <v>12723</v>
      </c>
      <c r="D375" s="2" t="s">
        <v>647</v>
      </c>
      <c r="E375" s="2" t="s">
        <v>647</v>
      </c>
      <c r="F375" s="2" t="s">
        <v>647</v>
      </c>
      <c r="G375" s="2" t="s">
        <v>647</v>
      </c>
      <c r="H375" s="2" t="s">
        <v>12719</v>
      </c>
    </row>
    <row r="376">
      <c r="B376" s="7" t="s">
        <v>1063</v>
      </c>
      <c r="C376" s="2" t="s">
        <v>12723</v>
      </c>
      <c r="D376" s="2" t="s">
        <v>647</v>
      </c>
      <c r="E376" s="2" t="s">
        <v>647</v>
      </c>
      <c r="F376" s="2" t="s">
        <v>647</v>
      </c>
      <c r="G376" s="2" t="s">
        <v>647</v>
      </c>
    </row>
    <row r="377">
      <c r="B377" s="7" t="s">
        <v>1064</v>
      </c>
      <c r="C377" s="2" t="s">
        <v>12719</v>
      </c>
      <c r="D377" s="2" t="s">
        <v>647</v>
      </c>
      <c r="E377" s="2" t="s">
        <v>647</v>
      </c>
      <c r="F377" s="2" t="s">
        <v>647</v>
      </c>
      <c r="G377" s="2" t="s">
        <v>647</v>
      </c>
    </row>
    <row r="378">
      <c r="B378" s="7" t="s">
        <v>1065</v>
      </c>
      <c r="C378" s="2" t="s">
        <v>12719</v>
      </c>
      <c r="D378" s="2" t="s">
        <v>647</v>
      </c>
      <c r="E378" s="2" t="s">
        <v>647</v>
      </c>
      <c r="F378" s="2" t="s">
        <v>647</v>
      </c>
      <c r="G378" s="2" t="s">
        <v>647</v>
      </c>
    </row>
    <row r="379">
      <c r="B379" s="7" t="s">
        <v>1066</v>
      </c>
      <c r="D379" s="2" t="s">
        <v>647</v>
      </c>
      <c r="E379" s="2" t="s">
        <v>647</v>
      </c>
      <c r="F379" s="2" t="s">
        <v>647</v>
      </c>
      <c r="G379" s="2" t="s">
        <v>647</v>
      </c>
    </row>
    <row r="380">
      <c r="B380" s="7" t="s">
        <v>1067</v>
      </c>
      <c r="C380" s="2" t="s">
        <v>12723</v>
      </c>
      <c r="D380" s="2" t="s">
        <v>647</v>
      </c>
      <c r="E380" s="2" t="s">
        <v>647</v>
      </c>
      <c r="F380" s="2" t="s">
        <v>647</v>
      </c>
      <c r="G380" s="2" t="s">
        <v>647</v>
      </c>
    </row>
    <row r="381">
      <c r="B381" s="7" t="s">
        <v>1068</v>
      </c>
      <c r="C381" s="2" t="s">
        <v>12719</v>
      </c>
      <c r="D381" s="2" t="s">
        <v>647</v>
      </c>
      <c r="E381" s="2" t="s">
        <v>647</v>
      </c>
      <c r="F381" s="2" t="s">
        <v>647</v>
      </c>
      <c r="G381" s="2" t="s">
        <v>647</v>
      </c>
    </row>
    <row r="382">
      <c r="B382" s="7" t="s">
        <v>1069</v>
      </c>
      <c r="C382" s="2" t="s">
        <v>12719</v>
      </c>
      <c r="D382" s="2" t="s">
        <v>647</v>
      </c>
      <c r="E382" s="2" t="s">
        <v>647</v>
      </c>
      <c r="F382" s="2" t="s">
        <v>647</v>
      </c>
      <c r="G382" s="2" t="s">
        <v>647</v>
      </c>
      <c r="H382" s="2" t="s">
        <v>12719</v>
      </c>
    </row>
    <row r="383">
      <c r="B383" s="7" t="s">
        <v>1070</v>
      </c>
      <c r="D383" s="2" t="s">
        <v>647</v>
      </c>
      <c r="E383" s="2" t="s">
        <v>647</v>
      </c>
      <c r="F383" s="2" t="s">
        <v>647</v>
      </c>
      <c r="G383" s="2" t="s">
        <v>647</v>
      </c>
    </row>
    <row r="384">
      <c r="B384" s="7" t="s">
        <v>1071</v>
      </c>
      <c r="D384" s="2" t="s">
        <v>647</v>
      </c>
      <c r="E384" s="2" t="s">
        <v>647</v>
      </c>
      <c r="F384" s="2" t="s">
        <v>647</v>
      </c>
      <c r="G384" s="2" t="s">
        <v>647</v>
      </c>
      <c r="H384" s="2" t="s">
        <v>647</v>
      </c>
    </row>
    <row r="385">
      <c r="B385" s="7" t="s">
        <v>1072</v>
      </c>
      <c r="C385" s="2" t="s">
        <v>12719</v>
      </c>
      <c r="D385" s="2" t="s">
        <v>647</v>
      </c>
      <c r="E385" s="2" t="s">
        <v>647</v>
      </c>
      <c r="F385" s="2" t="s">
        <v>647</v>
      </c>
      <c r="G385" s="2" t="s">
        <v>647</v>
      </c>
    </row>
    <row r="386">
      <c r="B386" s="7" t="s">
        <v>1073</v>
      </c>
      <c r="C386" s="2" t="s">
        <v>12723</v>
      </c>
      <c r="D386" s="2" t="s">
        <v>647</v>
      </c>
      <c r="E386" s="2" t="s">
        <v>647</v>
      </c>
      <c r="F386" s="2" t="s">
        <v>647</v>
      </c>
      <c r="G386" s="2" t="s">
        <v>647</v>
      </c>
      <c r="H386" s="2" t="s">
        <v>12723</v>
      </c>
    </row>
    <row r="387">
      <c r="B387" s="7" t="s">
        <v>1074</v>
      </c>
      <c r="C387" s="2" t="s">
        <v>12723</v>
      </c>
      <c r="D387" s="2" t="s">
        <v>647</v>
      </c>
      <c r="E387" s="2" t="s">
        <v>647</v>
      </c>
      <c r="F387" s="2" t="s">
        <v>647</v>
      </c>
      <c r="G387" s="2" t="s">
        <v>647</v>
      </c>
    </row>
    <row r="388">
      <c r="B388" s="7" t="s">
        <v>1075</v>
      </c>
      <c r="D388" s="2" t="s">
        <v>647</v>
      </c>
      <c r="E388" s="2" t="s">
        <v>647</v>
      </c>
      <c r="F388" s="2" t="s">
        <v>647</v>
      </c>
      <c r="G388" s="2" t="s">
        <v>647</v>
      </c>
    </row>
    <row r="389">
      <c r="B389" s="7" t="s">
        <v>1076</v>
      </c>
      <c r="D389" s="2" t="s">
        <v>647</v>
      </c>
      <c r="E389" s="2" t="s">
        <v>647</v>
      </c>
      <c r="F389" s="2" t="s">
        <v>647</v>
      </c>
      <c r="G389" s="2" t="s">
        <v>647</v>
      </c>
    </row>
    <row r="390">
      <c r="B390" s="7" t="s">
        <v>1077</v>
      </c>
      <c r="C390" s="2" t="s">
        <v>12733</v>
      </c>
      <c r="D390" s="2" t="s">
        <v>647</v>
      </c>
      <c r="E390" s="2" t="s">
        <v>647</v>
      </c>
      <c r="F390" s="2" t="s">
        <v>647</v>
      </c>
      <c r="G390" s="2" t="s">
        <v>647</v>
      </c>
      <c r="H390" s="2" t="s">
        <v>12723</v>
      </c>
    </row>
    <row r="391">
      <c r="B391" s="7" t="s">
        <v>1078</v>
      </c>
      <c r="C391" s="2" t="s">
        <v>12719</v>
      </c>
      <c r="D391" s="2" t="s">
        <v>647</v>
      </c>
      <c r="E391" s="2" t="s">
        <v>647</v>
      </c>
      <c r="F391" s="2" t="s">
        <v>647</v>
      </c>
      <c r="G391" s="2" t="s">
        <v>647</v>
      </c>
    </row>
    <row r="392">
      <c r="B392" s="7" t="s">
        <v>1079</v>
      </c>
      <c r="C392" s="2" t="s">
        <v>12723</v>
      </c>
      <c r="D392" s="2" t="s">
        <v>647</v>
      </c>
      <c r="E392" s="2" t="s">
        <v>647</v>
      </c>
      <c r="F392" s="2" t="s">
        <v>647</v>
      </c>
      <c r="G392" s="2" t="s">
        <v>647</v>
      </c>
    </row>
    <row r="393">
      <c r="B393" s="7" t="s">
        <v>1080</v>
      </c>
      <c r="C393" s="2" t="s">
        <v>12723</v>
      </c>
      <c r="D393" s="2" t="s">
        <v>647</v>
      </c>
      <c r="E393" s="2" t="s">
        <v>647</v>
      </c>
      <c r="F393" s="2" t="s">
        <v>647</v>
      </c>
      <c r="G393" s="2" t="s">
        <v>647</v>
      </c>
    </row>
    <row r="394">
      <c r="B394" s="7" t="s">
        <v>1081</v>
      </c>
      <c r="C394" s="2" t="s">
        <v>12723</v>
      </c>
      <c r="D394" s="2" t="s">
        <v>647</v>
      </c>
      <c r="E394" s="2" t="s">
        <v>647</v>
      </c>
      <c r="F394" s="2" t="s">
        <v>647</v>
      </c>
      <c r="G394" s="2" t="s">
        <v>647</v>
      </c>
    </row>
    <row r="395">
      <c r="B395" s="7" t="s">
        <v>1082</v>
      </c>
      <c r="C395" s="2" t="s">
        <v>13743</v>
      </c>
      <c r="D395" s="2" t="s">
        <v>647</v>
      </c>
      <c r="E395" s="2" t="s">
        <v>647</v>
      </c>
      <c r="F395" s="2" t="s">
        <v>647</v>
      </c>
      <c r="G395" s="2" t="s">
        <v>647</v>
      </c>
      <c r="H395" s="2" t="s">
        <v>12723</v>
      </c>
    </row>
    <row r="396">
      <c r="B396" s="7" t="s">
        <v>1083</v>
      </c>
      <c r="C396" s="2" t="s">
        <v>12719</v>
      </c>
      <c r="D396" s="2" t="s">
        <v>647</v>
      </c>
      <c r="E396" s="2" t="s">
        <v>647</v>
      </c>
      <c r="F396" s="2" t="s">
        <v>647</v>
      </c>
      <c r="G396" s="2" t="s">
        <v>647</v>
      </c>
    </row>
    <row r="397">
      <c r="B397" s="7" t="s">
        <v>1084</v>
      </c>
      <c r="D397" s="2" t="s">
        <v>647</v>
      </c>
      <c r="E397" s="2" t="s">
        <v>647</v>
      </c>
      <c r="F397" s="2" t="s">
        <v>647</v>
      </c>
      <c r="G397" s="2" t="s">
        <v>647</v>
      </c>
    </row>
    <row r="398">
      <c r="B398" s="7" t="s">
        <v>1085</v>
      </c>
      <c r="D398" s="2" t="s">
        <v>647</v>
      </c>
      <c r="E398" s="2" t="s">
        <v>647</v>
      </c>
      <c r="F398" s="2" t="s">
        <v>647</v>
      </c>
      <c r="G398" s="2" t="s">
        <v>647</v>
      </c>
    </row>
    <row r="399">
      <c r="B399" s="7" t="s">
        <v>1086</v>
      </c>
      <c r="C399" s="2" t="s">
        <v>12723</v>
      </c>
      <c r="D399" s="2" t="s">
        <v>647</v>
      </c>
      <c r="E399" s="2" t="s">
        <v>647</v>
      </c>
      <c r="F399" s="2" t="s">
        <v>647</v>
      </c>
      <c r="G399" s="2" t="s">
        <v>647</v>
      </c>
      <c r="H399" s="2" t="s">
        <v>12723</v>
      </c>
    </row>
    <row r="400">
      <c r="B400" s="7" t="s">
        <v>1087</v>
      </c>
      <c r="D400" s="2" t="s">
        <v>647</v>
      </c>
      <c r="E400" s="2" t="s">
        <v>647</v>
      </c>
      <c r="F400" s="2" t="s">
        <v>647</v>
      </c>
      <c r="G400" s="2" t="s">
        <v>647</v>
      </c>
      <c r="H400" s="2" t="s">
        <v>12719</v>
      </c>
    </row>
    <row r="401">
      <c r="B401" s="2" t="s">
        <v>647</v>
      </c>
      <c r="D401" s="2" t="s">
        <v>647</v>
      </c>
      <c r="E401" s="2" t="s">
        <v>647</v>
      </c>
      <c r="F401" s="2" t="s">
        <v>647</v>
      </c>
      <c r="G401" s="2" t="s">
        <v>647</v>
      </c>
      <c r="H401" s="2" t="s">
        <v>647</v>
      </c>
    </row>
    <row r="402">
      <c r="B402" s="7" t="s">
        <v>1088</v>
      </c>
      <c r="C402" s="2" t="s">
        <v>12723</v>
      </c>
      <c r="D402" s="2" t="s">
        <v>647</v>
      </c>
      <c r="E402" s="2" t="s">
        <v>647</v>
      </c>
      <c r="F402" s="2" t="s">
        <v>647</v>
      </c>
      <c r="G402" s="2" t="s">
        <v>647</v>
      </c>
      <c r="H402" s="2" t="s">
        <v>12723</v>
      </c>
    </row>
    <row r="403">
      <c r="B403" s="7" t="s">
        <v>1089</v>
      </c>
      <c r="D403" s="2" t="s">
        <v>647</v>
      </c>
      <c r="E403" s="2" t="s">
        <v>647</v>
      </c>
      <c r="F403" s="2" t="s">
        <v>647</v>
      </c>
      <c r="G403" s="2" t="s">
        <v>647</v>
      </c>
      <c r="H403" s="2" t="s">
        <v>12723</v>
      </c>
    </row>
    <row r="404">
      <c r="B404" s="7" t="s">
        <v>1090</v>
      </c>
      <c r="C404" s="2" t="s">
        <v>13743</v>
      </c>
      <c r="D404" s="2" t="s">
        <v>647</v>
      </c>
      <c r="E404" s="2" t="s">
        <v>647</v>
      </c>
      <c r="F404" s="2" t="s">
        <v>647</v>
      </c>
      <c r="G404" s="2" t="s">
        <v>647</v>
      </c>
    </row>
    <row r="405">
      <c r="B405" s="7" t="s">
        <v>1091</v>
      </c>
      <c r="C405" s="2" t="s">
        <v>12723</v>
      </c>
      <c r="D405" s="2" t="s">
        <v>647</v>
      </c>
      <c r="E405" s="2" t="s">
        <v>647</v>
      </c>
      <c r="F405" s="2" t="s">
        <v>647</v>
      </c>
      <c r="G405" s="2" t="s">
        <v>647</v>
      </c>
    </row>
    <row r="406">
      <c r="B406" s="7" t="s">
        <v>1092</v>
      </c>
      <c r="C406" s="2" t="s">
        <v>12719</v>
      </c>
      <c r="D406" s="2" t="s">
        <v>647</v>
      </c>
      <c r="E406" s="2" t="s">
        <v>647</v>
      </c>
      <c r="F406" s="2" t="s">
        <v>647</v>
      </c>
      <c r="G406" s="2" t="s">
        <v>647</v>
      </c>
      <c r="H406" s="2" t="s">
        <v>12723</v>
      </c>
    </row>
    <row r="407">
      <c r="B407" s="7" t="s">
        <v>1093</v>
      </c>
      <c r="C407" s="2" t="s">
        <v>13743</v>
      </c>
      <c r="D407" s="2" t="s">
        <v>647</v>
      </c>
      <c r="E407" s="2" t="s">
        <v>647</v>
      </c>
      <c r="F407" s="2" t="s">
        <v>647</v>
      </c>
      <c r="G407" s="2" t="s">
        <v>647</v>
      </c>
      <c r="H407" s="2" t="s">
        <v>12723</v>
      </c>
    </row>
    <row r="408">
      <c r="B408" s="7" t="s">
        <v>1094</v>
      </c>
      <c r="C408" s="2" t="s">
        <v>12719</v>
      </c>
      <c r="D408" s="2" t="s">
        <v>647</v>
      </c>
      <c r="E408" s="2" t="s">
        <v>647</v>
      </c>
      <c r="F408" s="2" t="s">
        <v>647</v>
      </c>
      <c r="G408" s="2" t="s">
        <v>647</v>
      </c>
    </row>
    <row r="409">
      <c r="B409" s="7" t="s">
        <v>1095</v>
      </c>
      <c r="C409" s="2" t="s">
        <v>12723</v>
      </c>
      <c r="D409" s="2" t="s">
        <v>647</v>
      </c>
      <c r="E409" s="2" t="s">
        <v>647</v>
      </c>
      <c r="F409" s="2" t="s">
        <v>647</v>
      </c>
      <c r="G409" s="2" t="s">
        <v>647</v>
      </c>
    </row>
    <row r="410">
      <c r="B410" s="7" t="s">
        <v>1096</v>
      </c>
      <c r="C410" s="2" t="s">
        <v>12719</v>
      </c>
      <c r="D410" s="2" t="s">
        <v>647</v>
      </c>
      <c r="E410" s="2" t="s">
        <v>647</v>
      </c>
      <c r="F410" s="2" t="s">
        <v>647</v>
      </c>
      <c r="G410" s="2" t="s">
        <v>647</v>
      </c>
      <c r="H410" s="2" t="s">
        <v>12719</v>
      </c>
    </row>
    <row r="411">
      <c r="B411" s="7" t="s">
        <v>1097</v>
      </c>
      <c r="D411" s="2" t="s">
        <v>647</v>
      </c>
      <c r="E411" s="2" t="s">
        <v>647</v>
      </c>
      <c r="F411" s="2" t="s">
        <v>647</v>
      </c>
      <c r="G411" s="2" t="s">
        <v>647</v>
      </c>
      <c r="H411" s="2" t="s">
        <v>12719</v>
      </c>
    </row>
    <row r="412">
      <c r="B412" s="7" t="s">
        <v>1098</v>
      </c>
      <c r="C412" s="2" t="s">
        <v>12723</v>
      </c>
      <c r="D412" s="2" t="s">
        <v>647</v>
      </c>
      <c r="E412" s="2" t="s">
        <v>647</v>
      </c>
      <c r="F412" s="2" t="s">
        <v>647</v>
      </c>
      <c r="G412" s="2" t="s">
        <v>647</v>
      </c>
      <c r="H412" s="2" t="s">
        <v>647</v>
      </c>
    </row>
    <row r="413">
      <c r="B413" s="7" t="s">
        <v>1099</v>
      </c>
      <c r="C413" s="2" t="s">
        <v>12733</v>
      </c>
      <c r="D413" s="2" t="s">
        <v>647</v>
      </c>
      <c r="E413" s="2" t="s">
        <v>647</v>
      </c>
      <c r="F413" s="2" t="s">
        <v>647</v>
      </c>
      <c r="G413" s="2" t="s">
        <v>647</v>
      </c>
      <c r="H413" s="2" t="s">
        <v>647</v>
      </c>
    </row>
    <row r="414">
      <c r="B414" s="7" t="s">
        <v>1100</v>
      </c>
      <c r="C414" s="2" t="s">
        <v>12719</v>
      </c>
      <c r="D414" s="2" t="s">
        <v>647</v>
      </c>
      <c r="E414" s="2" t="s">
        <v>647</v>
      </c>
      <c r="F414" s="2" t="s">
        <v>647</v>
      </c>
      <c r="G414" s="2" t="s">
        <v>647</v>
      </c>
      <c r="H414" s="2" t="s">
        <v>12723</v>
      </c>
    </row>
    <row r="415">
      <c r="B415" s="7" t="s">
        <v>1101</v>
      </c>
      <c r="C415" s="2" t="s">
        <v>12733</v>
      </c>
      <c r="D415" s="2" t="s">
        <v>647</v>
      </c>
      <c r="E415" s="2" t="s">
        <v>647</v>
      </c>
      <c r="F415" s="2" t="s">
        <v>647</v>
      </c>
      <c r="G415" s="2" t="s">
        <v>647</v>
      </c>
    </row>
    <row r="416">
      <c r="B416" s="7" t="s">
        <v>1102</v>
      </c>
      <c r="C416" s="2" t="s">
        <v>12723</v>
      </c>
      <c r="D416" s="2" t="s">
        <v>647</v>
      </c>
      <c r="E416" s="2" t="s">
        <v>647</v>
      </c>
      <c r="F416" s="2" t="s">
        <v>647</v>
      </c>
      <c r="G416" s="2" t="s">
        <v>647</v>
      </c>
    </row>
    <row r="417">
      <c r="B417" s="7" t="s">
        <v>1103</v>
      </c>
      <c r="D417" s="2" t="s">
        <v>647</v>
      </c>
      <c r="E417" s="2" t="s">
        <v>647</v>
      </c>
      <c r="F417" s="2" t="s">
        <v>647</v>
      </c>
      <c r="G417" s="2" t="s">
        <v>647</v>
      </c>
    </row>
    <row r="418">
      <c r="B418" s="2" t="s">
        <v>647</v>
      </c>
      <c r="C418" s="2" t="s">
        <v>12723</v>
      </c>
      <c r="D418" s="2" t="s">
        <v>647</v>
      </c>
      <c r="E418" s="2" t="s">
        <v>647</v>
      </c>
      <c r="F418" s="2" t="s">
        <v>647</v>
      </c>
      <c r="G418" s="2" t="s">
        <v>647</v>
      </c>
    </row>
    <row r="419">
      <c r="B419" s="7" t="s">
        <v>1104</v>
      </c>
      <c r="C419" s="2" t="s">
        <v>12719</v>
      </c>
      <c r="D419" s="2" t="s">
        <v>647</v>
      </c>
      <c r="E419" s="2" t="s">
        <v>647</v>
      </c>
      <c r="F419" s="2" t="s">
        <v>647</v>
      </c>
      <c r="G419" s="2" t="s">
        <v>647</v>
      </c>
    </row>
    <row r="420">
      <c r="B420" s="7" t="s">
        <v>1105</v>
      </c>
      <c r="C420" s="2" t="s">
        <v>12723</v>
      </c>
      <c r="D420" s="2" t="s">
        <v>647</v>
      </c>
      <c r="E420" s="2" t="s">
        <v>647</v>
      </c>
      <c r="F420" s="2" t="s">
        <v>647</v>
      </c>
      <c r="G420" s="2" t="s">
        <v>647</v>
      </c>
      <c r="H420" s="2" t="s">
        <v>12723</v>
      </c>
    </row>
    <row r="421">
      <c r="B421" s="2" t="s">
        <v>647</v>
      </c>
      <c r="D421" s="2" t="s">
        <v>647</v>
      </c>
      <c r="E421" s="2" t="s">
        <v>647</v>
      </c>
      <c r="F421" s="2" t="s">
        <v>647</v>
      </c>
      <c r="G421" s="2" t="s">
        <v>647</v>
      </c>
    </row>
    <row r="422">
      <c r="B422" s="7" t="s">
        <v>1106</v>
      </c>
      <c r="D422" s="2" t="s">
        <v>647</v>
      </c>
      <c r="E422" s="2" t="s">
        <v>647</v>
      </c>
      <c r="F422" s="2" t="s">
        <v>647</v>
      </c>
      <c r="G422" s="2" t="s">
        <v>647</v>
      </c>
    </row>
    <row r="423">
      <c r="B423" s="7" t="s">
        <v>1107</v>
      </c>
      <c r="C423" s="2" t="s">
        <v>12723</v>
      </c>
      <c r="D423" s="2" t="s">
        <v>647</v>
      </c>
      <c r="E423" s="2" t="s">
        <v>647</v>
      </c>
      <c r="F423" s="2" t="s">
        <v>647</v>
      </c>
      <c r="G423" s="2" t="s">
        <v>647</v>
      </c>
      <c r="H423" s="2" t="s">
        <v>12723</v>
      </c>
    </row>
    <row r="424">
      <c r="B424" s="7" t="s">
        <v>1108</v>
      </c>
      <c r="C424" s="2" t="s">
        <v>12723</v>
      </c>
      <c r="D424" s="2" t="s">
        <v>647</v>
      </c>
      <c r="E424" s="2" t="s">
        <v>647</v>
      </c>
      <c r="F424" s="2" t="s">
        <v>647</v>
      </c>
      <c r="G424" s="2" t="s">
        <v>647</v>
      </c>
    </row>
    <row r="425">
      <c r="B425" s="7" t="s">
        <v>1109</v>
      </c>
      <c r="C425" s="2" t="s">
        <v>12719</v>
      </c>
      <c r="D425" s="2" t="s">
        <v>647</v>
      </c>
      <c r="E425" s="2" t="s">
        <v>647</v>
      </c>
      <c r="F425" s="2" t="s">
        <v>647</v>
      </c>
      <c r="G425" s="2" t="s">
        <v>647</v>
      </c>
    </row>
    <row r="426">
      <c r="B426" s="7" t="s">
        <v>1110</v>
      </c>
      <c r="C426" s="2" t="s">
        <v>12719</v>
      </c>
      <c r="D426" s="2" t="s">
        <v>647</v>
      </c>
      <c r="E426" s="2" t="s">
        <v>647</v>
      </c>
      <c r="F426" s="2" t="s">
        <v>647</v>
      </c>
      <c r="G426" s="2" t="s">
        <v>647</v>
      </c>
    </row>
    <row r="427">
      <c r="B427" s="7" t="s">
        <v>1111</v>
      </c>
      <c r="C427" s="2" t="s">
        <v>12723</v>
      </c>
      <c r="D427" s="2" t="s">
        <v>647</v>
      </c>
      <c r="E427" s="2" t="s">
        <v>647</v>
      </c>
      <c r="F427" s="2" t="s">
        <v>647</v>
      </c>
      <c r="G427" s="2" t="s">
        <v>647</v>
      </c>
      <c r="H427" s="2" t="s">
        <v>12723</v>
      </c>
    </row>
    <row r="428">
      <c r="B428" s="7" t="s">
        <v>1112</v>
      </c>
      <c r="D428" s="2" t="s">
        <v>647</v>
      </c>
      <c r="E428" s="2" t="s">
        <v>647</v>
      </c>
      <c r="F428" s="2" t="s">
        <v>647</v>
      </c>
      <c r="G428" s="2" t="s">
        <v>647</v>
      </c>
      <c r="H428" s="2" t="s">
        <v>12723</v>
      </c>
    </row>
    <row r="429">
      <c r="B429" s="7" t="s">
        <v>1113</v>
      </c>
      <c r="C429" s="2" t="s">
        <v>12723</v>
      </c>
      <c r="D429" s="2" t="s">
        <v>647</v>
      </c>
      <c r="E429" s="2" t="s">
        <v>647</v>
      </c>
      <c r="F429" s="2" t="s">
        <v>647</v>
      </c>
      <c r="G429" s="2" t="s">
        <v>647</v>
      </c>
      <c r="H429" s="2" t="s">
        <v>647</v>
      </c>
    </row>
    <row r="430">
      <c r="B430" s="7" t="s">
        <v>1114</v>
      </c>
      <c r="D430" s="2" t="s">
        <v>647</v>
      </c>
      <c r="E430" s="2" t="s">
        <v>647</v>
      </c>
      <c r="F430" s="2" t="s">
        <v>647</v>
      </c>
      <c r="G430" s="2" t="s">
        <v>647</v>
      </c>
      <c r="H430" s="2" t="s">
        <v>12723</v>
      </c>
    </row>
    <row r="431">
      <c r="B431" s="7" t="s">
        <v>1115</v>
      </c>
      <c r="C431" s="2" t="s">
        <v>12719</v>
      </c>
      <c r="D431" s="2" t="s">
        <v>647</v>
      </c>
      <c r="E431" s="2" t="s">
        <v>647</v>
      </c>
      <c r="F431" s="2" t="s">
        <v>647</v>
      </c>
      <c r="G431" s="2" t="s">
        <v>647</v>
      </c>
      <c r="H431" s="2" t="s">
        <v>12723</v>
      </c>
    </row>
    <row r="432">
      <c r="B432" s="7" t="s">
        <v>1116</v>
      </c>
      <c r="C432" s="2" t="s">
        <v>12723</v>
      </c>
      <c r="D432" s="2" t="s">
        <v>647</v>
      </c>
      <c r="E432" s="2" t="s">
        <v>647</v>
      </c>
      <c r="F432" s="2" t="s">
        <v>647</v>
      </c>
      <c r="G432" s="2" t="s">
        <v>647</v>
      </c>
      <c r="H432" s="2" t="s">
        <v>12719</v>
      </c>
    </row>
    <row r="433">
      <c r="B433" s="7" t="s">
        <v>1117</v>
      </c>
      <c r="C433" s="2" t="s">
        <v>12723</v>
      </c>
      <c r="D433" s="2" t="s">
        <v>647</v>
      </c>
      <c r="E433" s="2" t="s">
        <v>647</v>
      </c>
      <c r="F433" s="2" t="s">
        <v>647</v>
      </c>
      <c r="G433" s="2" t="s">
        <v>647</v>
      </c>
    </row>
    <row r="434">
      <c r="B434" s="7" t="s">
        <v>1118</v>
      </c>
      <c r="C434" s="2" t="s">
        <v>12719</v>
      </c>
      <c r="D434" s="2" t="s">
        <v>647</v>
      </c>
      <c r="E434" s="2" t="s">
        <v>647</v>
      </c>
      <c r="F434" s="2" t="s">
        <v>647</v>
      </c>
      <c r="G434" s="2" t="s">
        <v>647</v>
      </c>
      <c r="H434" s="2" t="s">
        <v>647</v>
      </c>
    </row>
    <row r="435">
      <c r="B435" s="7" t="s">
        <v>1119</v>
      </c>
      <c r="D435" s="2" t="s">
        <v>647</v>
      </c>
      <c r="E435" s="2" t="s">
        <v>647</v>
      </c>
      <c r="F435" s="2" t="s">
        <v>647</v>
      </c>
      <c r="G435" s="2" t="s">
        <v>647</v>
      </c>
      <c r="H435" s="2" t="s">
        <v>13743</v>
      </c>
    </row>
    <row r="436">
      <c r="B436" s="7" t="s">
        <v>1120</v>
      </c>
      <c r="C436" s="2" t="s">
        <v>12719</v>
      </c>
      <c r="D436" s="2" t="s">
        <v>647</v>
      </c>
      <c r="E436" s="2" t="s">
        <v>647</v>
      </c>
      <c r="F436" s="2" t="s">
        <v>647</v>
      </c>
      <c r="G436" s="2" t="s">
        <v>647</v>
      </c>
      <c r="H436" s="2" t="s">
        <v>12723</v>
      </c>
    </row>
    <row r="437">
      <c r="B437" s="7" t="s">
        <v>1121</v>
      </c>
      <c r="C437" s="2" t="s">
        <v>12723</v>
      </c>
      <c r="D437" s="2" t="s">
        <v>647</v>
      </c>
      <c r="E437" s="2" t="s">
        <v>647</v>
      </c>
      <c r="F437" s="2" t="s">
        <v>647</v>
      </c>
      <c r="G437" s="2" t="s">
        <v>647</v>
      </c>
    </row>
    <row r="438">
      <c r="B438" s="7" t="s">
        <v>1122</v>
      </c>
      <c r="C438" s="2" t="s">
        <v>12719</v>
      </c>
      <c r="D438" s="2" t="s">
        <v>647</v>
      </c>
      <c r="E438" s="2" t="s">
        <v>647</v>
      </c>
      <c r="F438" s="2" t="s">
        <v>647</v>
      </c>
      <c r="G438" s="2" t="s">
        <v>647</v>
      </c>
    </row>
    <row r="439">
      <c r="B439" s="7" t="s">
        <v>1123</v>
      </c>
      <c r="C439" s="2" t="s">
        <v>12723</v>
      </c>
      <c r="D439" s="2" t="s">
        <v>647</v>
      </c>
      <c r="E439" s="2" t="s">
        <v>647</v>
      </c>
      <c r="F439" s="2" t="s">
        <v>647</v>
      </c>
      <c r="G439" s="2" t="s">
        <v>647</v>
      </c>
    </row>
    <row r="440">
      <c r="B440" s="7" t="s">
        <v>1124</v>
      </c>
      <c r="C440" s="2" t="s">
        <v>12723</v>
      </c>
      <c r="D440" s="2" t="s">
        <v>647</v>
      </c>
      <c r="E440" s="2" t="s">
        <v>647</v>
      </c>
      <c r="F440" s="2" t="s">
        <v>647</v>
      </c>
      <c r="G440" s="2" t="s">
        <v>647</v>
      </c>
      <c r="H440" s="2" t="s">
        <v>12723</v>
      </c>
    </row>
    <row r="441">
      <c r="B441" s="7" t="s">
        <v>1125</v>
      </c>
      <c r="C441" s="2" t="s">
        <v>12723</v>
      </c>
      <c r="D441" s="2" t="s">
        <v>647</v>
      </c>
      <c r="E441" s="2" t="s">
        <v>647</v>
      </c>
      <c r="F441" s="2" t="s">
        <v>647</v>
      </c>
      <c r="G441" s="2" t="s">
        <v>647</v>
      </c>
      <c r="H441" s="2" t="s">
        <v>12723</v>
      </c>
    </row>
    <row r="442">
      <c r="B442" s="7" t="s">
        <v>1126</v>
      </c>
      <c r="D442" s="2" t="s">
        <v>647</v>
      </c>
      <c r="E442" s="2" t="s">
        <v>647</v>
      </c>
      <c r="F442" s="2" t="s">
        <v>647</v>
      </c>
      <c r="G442" s="2" t="s">
        <v>647</v>
      </c>
    </row>
    <row r="443">
      <c r="B443" s="7" t="s">
        <v>1127</v>
      </c>
      <c r="C443" s="2" t="s">
        <v>12723</v>
      </c>
      <c r="D443" s="2" t="s">
        <v>647</v>
      </c>
      <c r="E443" s="2" t="s">
        <v>647</v>
      </c>
      <c r="F443" s="2" t="s">
        <v>647</v>
      </c>
      <c r="G443" s="2" t="s">
        <v>647</v>
      </c>
      <c r="H443" s="2" t="s">
        <v>12723</v>
      </c>
    </row>
    <row r="444">
      <c r="B444" s="7" t="s">
        <v>1127</v>
      </c>
      <c r="C444" s="2" t="s">
        <v>12723</v>
      </c>
      <c r="D444" s="2" t="s">
        <v>647</v>
      </c>
      <c r="E444" s="2" t="s">
        <v>647</v>
      </c>
      <c r="F444" s="2" t="s">
        <v>647</v>
      </c>
      <c r="G444" s="2" t="s">
        <v>647</v>
      </c>
      <c r="H444" s="2" t="s">
        <v>12723</v>
      </c>
    </row>
    <row r="445">
      <c r="B445" s="7" t="s">
        <v>1128</v>
      </c>
      <c r="C445" s="2" t="s">
        <v>12723</v>
      </c>
      <c r="D445" s="2" t="s">
        <v>647</v>
      </c>
      <c r="E445" s="2" t="s">
        <v>647</v>
      </c>
      <c r="F445" s="2" t="s">
        <v>647</v>
      </c>
      <c r="G445" s="2" t="s">
        <v>647</v>
      </c>
      <c r="H445" s="2" t="s">
        <v>12723</v>
      </c>
    </row>
    <row r="446">
      <c r="B446" s="7" t="s">
        <v>1129</v>
      </c>
      <c r="C446" s="2" t="s">
        <v>12723</v>
      </c>
      <c r="D446" s="2" t="s">
        <v>647</v>
      </c>
      <c r="E446" s="2" t="s">
        <v>647</v>
      </c>
      <c r="F446" s="2" t="s">
        <v>647</v>
      </c>
      <c r="G446" s="2" t="s">
        <v>647</v>
      </c>
    </row>
    <row r="447">
      <c r="B447" s="7" t="s">
        <v>1130</v>
      </c>
      <c r="C447" s="2" t="s">
        <v>12719</v>
      </c>
      <c r="D447" s="2" t="s">
        <v>647</v>
      </c>
      <c r="E447" s="2" t="s">
        <v>647</v>
      </c>
      <c r="F447" s="2" t="s">
        <v>647</v>
      </c>
      <c r="G447" s="2" t="s">
        <v>647</v>
      </c>
    </row>
    <row r="448">
      <c r="B448" s="7" t="s">
        <v>1131</v>
      </c>
      <c r="C448" s="2" t="s">
        <v>12719</v>
      </c>
      <c r="D448" s="2" t="s">
        <v>647</v>
      </c>
      <c r="E448" s="2" t="s">
        <v>647</v>
      </c>
      <c r="F448" s="2" t="s">
        <v>647</v>
      </c>
      <c r="G448" s="2" t="s">
        <v>647</v>
      </c>
      <c r="H448" s="2" t="s">
        <v>12723</v>
      </c>
    </row>
    <row r="449">
      <c r="B449" s="7" t="s">
        <v>1132</v>
      </c>
      <c r="C449" s="2" t="s">
        <v>12719</v>
      </c>
      <c r="D449" s="2" t="s">
        <v>647</v>
      </c>
      <c r="E449" s="2" t="s">
        <v>647</v>
      </c>
      <c r="F449" s="2" t="s">
        <v>647</v>
      </c>
      <c r="G449" s="2" t="s">
        <v>647</v>
      </c>
    </row>
    <row r="450">
      <c r="B450" s="7" t="s">
        <v>1133</v>
      </c>
      <c r="C450" s="2" t="s">
        <v>12723</v>
      </c>
      <c r="D450" s="2" t="s">
        <v>647</v>
      </c>
      <c r="E450" s="2" t="s">
        <v>647</v>
      </c>
      <c r="F450" s="2" t="s">
        <v>647</v>
      </c>
      <c r="G450" s="2" t="s">
        <v>647</v>
      </c>
    </row>
    <row r="451">
      <c r="B451" s="7" t="s">
        <v>1134</v>
      </c>
      <c r="C451" s="2" t="s">
        <v>12733</v>
      </c>
      <c r="D451" s="2" t="s">
        <v>647</v>
      </c>
      <c r="E451" s="2" t="s">
        <v>647</v>
      </c>
      <c r="F451" s="2" t="s">
        <v>647</v>
      </c>
      <c r="G451" s="2" t="s">
        <v>647</v>
      </c>
      <c r="H451" s="2" t="s">
        <v>647</v>
      </c>
    </row>
    <row r="452">
      <c r="B452" s="7" t="s">
        <v>1135</v>
      </c>
      <c r="C452" s="2" t="s">
        <v>12723</v>
      </c>
      <c r="D452" s="2" t="s">
        <v>647</v>
      </c>
      <c r="E452" s="2" t="s">
        <v>647</v>
      </c>
      <c r="F452" s="2" t="s">
        <v>647</v>
      </c>
      <c r="G452" s="2" t="s">
        <v>647</v>
      </c>
    </row>
    <row r="453">
      <c r="B453" s="7" t="s">
        <v>1136</v>
      </c>
      <c r="C453" s="2" t="s">
        <v>12723</v>
      </c>
      <c r="D453" s="2" t="s">
        <v>647</v>
      </c>
      <c r="E453" s="2" t="s">
        <v>647</v>
      </c>
      <c r="F453" s="2" t="s">
        <v>647</v>
      </c>
      <c r="G453" s="2" t="s">
        <v>647</v>
      </c>
    </row>
    <row r="454">
      <c r="B454" s="7" t="s">
        <v>1137</v>
      </c>
      <c r="D454" s="2" t="s">
        <v>647</v>
      </c>
      <c r="E454" s="2" t="s">
        <v>647</v>
      </c>
      <c r="F454" s="2" t="s">
        <v>647</v>
      </c>
      <c r="G454" s="2" t="s">
        <v>647</v>
      </c>
    </row>
    <row r="455">
      <c r="B455" s="7" t="s">
        <v>1138</v>
      </c>
      <c r="C455" s="2" t="s">
        <v>12723</v>
      </c>
      <c r="D455" s="2" t="s">
        <v>647</v>
      </c>
      <c r="E455" s="2" t="s">
        <v>647</v>
      </c>
      <c r="F455" s="2" t="s">
        <v>647</v>
      </c>
      <c r="G455" s="2" t="s">
        <v>647</v>
      </c>
    </row>
    <row r="456">
      <c r="B456" s="7" t="s">
        <v>1139</v>
      </c>
      <c r="C456" s="2" t="s">
        <v>12733</v>
      </c>
      <c r="D456" s="2" t="s">
        <v>647</v>
      </c>
      <c r="E456" s="2" t="s">
        <v>647</v>
      </c>
      <c r="F456" s="2" t="s">
        <v>647</v>
      </c>
      <c r="G456" s="2" t="s">
        <v>647</v>
      </c>
      <c r="H456" s="2" t="s">
        <v>12723</v>
      </c>
    </row>
    <row r="457">
      <c r="B457" s="7" t="s">
        <v>1140</v>
      </c>
      <c r="D457" s="2" t="s">
        <v>647</v>
      </c>
      <c r="E457" s="2" t="s">
        <v>647</v>
      </c>
      <c r="F457" s="2" t="s">
        <v>647</v>
      </c>
      <c r="G457" s="2" t="s">
        <v>647</v>
      </c>
    </row>
    <row r="458">
      <c r="B458" s="7" t="s">
        <v>1140</v>
      </c>
      <c r="D458" s="2" t="s">
        <v>647</v>
      </c>
      <c r="E458" s="2" t="s">
        <v>647</v>
      </c>
      <c r="F458" s="2" t="s">
        <v>647</v>
      </c>
      <c r="G458" s="2" t="s">
        <v>647</v>
      </c>
    </row>
    <row r="459">
      <c r="B459" s="7" t="s">
        <v>1141</v>
      </c>
      <c r="D459" s="2" t="s">
        <v>647</v>
      </c>
      <c r="E459" s="2" t="s">
        <v>647</v>
      </c>
      <c r="F459" s="2" t="s">
        <v>647</v>
      </c>
      <c r="G459" s="2" t="s">
        <v>647</v>
      </c>
      <c r="H459" s="2" t="s">
        <v>12723</v>
      </c>
    </row>
    <row r="460">
      <c r="B460" s="7" t="s">
        <v>1142</v>
      </c>
      <c r="C460" s="2" t="s">
        <v>12719</v>
      </c>
      <c r="D460" s="2" t="s">
        <v>647</v>
      </c>
      <c r="E460" s="2" t="s">
        <v>647</v>
      </c>
      <c r="F460" s="2" t="s">
        <v>647</v>
      </c>
      <c r="G460" s="2" t="s">
        <v>647</v>
      </c>
      <c r="H460" s="2" t="s">
        <v>12719</v>
      </c>
    </row>
    <row r="461">
      <c r="B461" s="7" t="s">
        <v>1143</v>
      </c>
      <c r="C461" s="2" t="s">
        <v>12719</v>
      </c>
      <c r="D461" s="2" t="s">
        <v>647</v>
      </c>
      <c r="E461" s="2" t="s">
        <v>647</v>
      </c>
      <c r="F461" s="2" t="s">
        <v>647</v>
      </c>
      <c r="G461" s="2" t="s">
        <v>647</v>
      </c>
      <c r="H461" s="2" t="s">
        <v>12723</v>
      </c>
    </row>
    <row r="462">
      <c r="B462" s="7" t="s">
        <v>1144</v>
      </c>
      <c r="D462" s="2" t="s">
        <v>647</v>
      </c>
      <c r="E462" s="2" t="s">
        <v>647</v>
      </c>
      <c r="F462" s="2" t="s">
        <v>647</v>
      </c>
      <c r="G462" s="2" t="s">
        <v>647</v>
      </c>
    </row>
    <row r="463">
      <c r="B463" s="7" t="s">
        <v>1145</v>
      </c>
      <c r="C463" s="2" t="s">
        <v>12723</v>
      </c>
      <c r="D463" s="2" t="s">
        <v>647</v>
      </c>
      <c r="E463" s="2" t="s">
        <v>647</v>
      </c>
      <c r="F463" s="2" t="s">
        <v>647</v>
      </c>
      <c r="G463" s="2" t="s">
        <v>647</v>
      </c>
      <c r="H463" s="2" t="s">
        <v>12723</v>
      </c>
    </row>
    <row r="464">
      <c r="B464" s="7" t="s">
        <v>1146</v>
      </c>
      <c r="C464" s="2" t="s">
        <v>12723</v>
      </c>
      <c r="D464" s="2" t="s">
        <v>647</v>
      </c>
      <c r="E464" s="2" t="s">
        <v>647</v>
      </c>
      <c r="F464" s="2" t="s">
        <v>647</v>
      </c>
      <c r="G464" s="2" t="s">
        <v>647</v>
      </c>
    </row>
    <row r="465">
      <c r="B465" s="7" t="s">
        <v>1147</v>
      </c>
      <c r="C465" s="2" t="s">
        <v>12723</v>
      </c>
      <c r="D465" s="2" t="s">
        <v>647</v>
      </c>
      <c r="E465" s="2" t="s">
        <v>647</v>
      </c>
      <c r="F465" s="2" t="s">
        <v>647</v>
      </c>
      <c r="G465" s="2" t="s">
        <v>647</v>
      </c>
      <c r="H465" s="2" t="s">
        <v>12719</v>
      </c>
    </row>
    <row r="466">
      <c r="B466" s="7" t="s">
        <v>1148</v>
      </c>
      <c r="C466" s="2" t="s">
        <v>12719</v>
      </c>
      <c r="D466" s="2" t="s">
        <v>647</v>
      </c>
      <c r="E466" s="2" t="s">
        <v>647</v>
      </c>
      <c r="F466" s="2" t="s">
        <v>647</v>
      </c>
      <c r="G466" s="2" t="s">
        <v>647</v>
      </c>
    </row>
    <row r="467">
      <c r="B467" s="7" t="s">
        <v>1149</v>
      </c>
      <c r="C467" s="2" t="s">
        <v>12723</v>
      </c>
      <c r="D467" s="2" t="s">
        <v>647</v>
      </c>
      <c r="E467" s="2" t="s">
        <v>647</v>
      </c>
      <c r="F467" s="2" t="s">
        <v>647</v>
      </c>
      <c r="G467" s="2" t="s">
        <v>647</v>
      </c>
      <c r="H467" s="2" t="s">
        <v>12723</v>
      </c>
    </row>
    <row r="468">
      <c r="B468" s="7" t="s">
        <v>509</v>
      </c>
      <c r="D468" s="2" t="s">
        <v>647</v>
      </c>
      <c r="E468" s="2" t="s">
        <v>647</v>
      </c>
      <c r="F468" s="2" t="s">
        <v>647</v>
      </c>
      <c r="G468" s="2" t="s">
        <v>647</v>
      </c>
      <c r="H468" s="2" t="s">
        <v>12723</v>
      </c>
    </row>
    <row r="469">
      <c r="B469" s="7" t="s">
        <v>1150</v>
      </c>
      <c r="C469" s="2" t="s">
        <v>12723</v>
      </c>
      <c r="D469" s="2" t="s">
        <v>647</v>
      </c>
      <c r="E469" s="2" t="s">
        <v>647</v>
      </c>
      <c r="F469" s="2" t="s">
        <v>647</v>
      </c>
      <c r="G469" s="2" t="s">
        <v>647</v>
      </c>
    </row>
    <row r="470">
      <c r="B470" s="7" t="s">
        <v>1151</v>
      </c>
      <c r="D470" s="2" t="s">
        <v>647</v>
      </c>
      <c r="E470" s="2" t="s">
        <v>647</v>
      </c>
      <c r="F470" s="2" t="s">
        <v>647</v>
      </c>
      <c r="G470" s="2" t="s">
        <v>647</v>
      </c>
    </row>
    <row r="471">
      <c r="B471" s="7" t="s">
        <v>1152</v>
      </c>
      <c r="D471" s="2" t="s">
        <v>647</v>
      </c>
      <c r="E471" s="2" t="s">
        <v>647</v>
      </c>
      <c r="F471" s="2" t="s">
        <v>647</v>
      </c>
      <c r="G471" s="2" t="s">
        <v>647</v>
      </c>
    </row>
    <row r="472">
      <c r="B472" s="7" t="s">
        <v>1153</v>
      </c>
      <c r="C472" s="2" t="s">
        <v>12723</v>
      </c>
      <c r="D472" s="2" t="s">
        <v>647</v>
      </c>
      <c r="E472" s="2" t="s">
        <v>647</v>
      </c>
      <c r="F472" s="2" t="s">
        <v>647</v>
      </c>
      <c r="G472" s="2" t="s">
        <v>647</v>
      </c>
      <c r="H472" s="2" t="s">
        <v>647</v>
      </c>
    </row>
    <row r="473">
      <c r="B473" s="7" t="s">
        <v>1154</v>
      </c>
      <c r="C473" s="2" t="s">
        <v>12719</v>
      </c>
      <c r="D473" s="2" t="s">
        <v>647</v>
      </c>
      <c r="E473" s="2" t="s">
        <v>647</v>
      </c>
      <c r="F473" s="2" t="s">
        <v>647</v>
      </c>
      <c r="G473" s="2" t="s">
        <v>647</v>
      </c>
    </row>
    <row r="474">
      <c r="B474" s="7" t="s">
        <v>1155</v>
      </c>
      <c r="C474" s="2" t="s">
        <v>12719</v>
      </c>
      <c r="D474" s="2" t="s">
        <v>647</v>
      </c>
      <c r="E474" s="2" t="s">
        <v>647</v>
      </c>
      <c r="F474" s="2" t="s">
        <v>647</v>
      </c>
      <c r="G474" s="2" t="s">
        <v>647</v>
      </c>
    </row>
    <row r="475">
      <c r="B475" s="7" t="s">
        <v>1156</v>
      </c>
      <c r="C475" s="2" t="s">
        <v>12719</v>
      </c>
      <c r="D475" s="2" t="s">
        <v>647</v>
      </c>
      <c r="E475" s="2" t="s">
        <v>647</v>
      </c>
      <c r="F475" s="2" t="s">
        <v>647</v>
      </c>
      <c r="G475" s="2" t="s">
        <v>647</v>
      </c>
    </row>
    <row r="476">
      <c r="B476" s="7" t="s">
        <v>1157</v>
      </c>
      <c r="C476" s="2" t="s">
        <v>12719</v>
      </c>
      <c r="D476" s="2" t="s">
        <v>647</v>
      </c>
      <c r="E476" s="2" t="s">
        <v>647</v>
      </c>
      <c r="F476" s="2" t="s">
        <v>647</v>
      </c>
      <c r="G476" s="2" t="s">
        <v>647</v>
      </c>
    </row>
    <row r="477">
      <c r="B477" s="7" t="s">
        <v>1158</v>
      </c>
      <c r="C477" s="2" t="s">
        <v>12723</v>
      </c>
      <c r="D477" s="2" t="s">
        <v>647</v>
      </c>
      <c r="E477" s="2" t="s">
        <v>647</v>
      </c>
      <c r="F477" s="2" t="s">
        <v>647</v>
      </c>
      <c r="G477" s="2" t="s">
        <v>647</v>
      </c>
    </row>
    <row r="478">
      <c r="B478" s="2" t="s">
        <v>647</v>
      </c>
      <c r="C478" s="2" t="s">
        <v>12719</v>
      </c>
      <c r="D478" s="2" t="s">
        <v>647</v>
      </c>
      <c r="E478" s="2" t="s">
        <v>647</v>
      </c>
      <c r="F478" s="2" t="s">
        <v>647</v>
      </c>
      <c r="G478" s="2" t="s">
        <v>647</v>
      </c>
    </row>
    <row r="479">
      <c r="B479" s="7" t="s">
        <v>1159</v>
      </c>
      <c r="C479" s="2" t="s">
        <v>12733</v>
      </c>
      <c r="D479" s="2" t="s">
        <v>647</v>
      </c>
      <c r="E479" s="2" t="s">
        <v>647</v>
      </c>
      <c r="F479" s="2" t="s">
        <v>647</v>
      </c>
      <c r="G479" s="2" t="s">
        <v>647</v>
      </c>
    </row>
    <row r="480">
      <c r="B480" s="7" t="s">
        <v>1160</v>
      </c>
      <c r="D480" s="2" t="s">
        <v>647</v>
      </c>
      <c r="E480" s="2" t="s">
        <v>647</v>
      </c>
      <c r="F480" s="2" t="s">
        <v>647</v>
      </c>
      <c r="G480" s="2" t="s">
        <v>647</v>
      </c>
    </row>
    <row r="481">
      <c r="B481" s="7" t="s">
        <v>1161</v>
      </c>
      <c r="C481" s="2" t="s">
        <v>13743</v>
      </c>
      <c r="D481" s="2" t="s">
        <v>647</v>
      </c>
      <c r="E481" s="2" t="s">
        <v>647</v>
      </c>
      <c r="F481" s="2" t="s">
        <v>647</v>
      </c>
      <c r="G481" s="2" t="s">
        <v>647</v>
      </c>
    </row>
    <row r="482">
      <c r="B482" s="7" t="s">
        <v>1162</v>
      </c>
      <c r="C482" s="2" t="s">
        <v>12719</v>
      </c>
      <c r="D482" s="2" t="s">
        <v>647</v>
      </c>
      <c r="E482" s="2" t="s">
        <v>647</v>
      </c>
      <c r="F482" s="2" t="s">
        <v>647</v>
      </c>
      <c r="G482" s="2" t="s">
        <v>647</v>
      </c>
      <c r="H482" s="2" t="s">
        <v>12723</v>
      </c>
    </row>
    <row r="483">
      <c r="B483" s="2" t="s">
        <v>647</v>
      </c>
      <c r="C483" s="2" t="s">
        <v>12723</v>
      </c>
      <c r="D483" s="2" t="s">
        <v>647</v>
      </c>
      <c r="E483" s="2" t="s">
        <v>647</v>
      </c>
      <c r="F483" s="2" t="s">
        <v>647</v>
      </c>
      <c r="G483" s="2" t="s">
        <v>647</v>
      </c>
    </row>
    <row r="484">
      <c r="B484" s="7" t="s">
        <v>1163</v>
      </c>
      <c r="C484" s="2" t="s">
        <v>12723</v>
      </c>
      <c r="D484" s="2" t="s">
        <v>647</v>
      </c>
      <c r="E484" s="2" t="s">
        <v>647</v>
      </c>
      <c r="F484" s="2" t="s">
        <v>647</v>
      </c>
      <c r="G484" s="2" t="s">
        <v>647</v>
      </c>
    </row>
    <row r="485">
      <c r="B485" s="7" t="s">
        <v>1164</v>
      </c>
      <c r="C485" s="2" t="s">
        <v>12733</v>
      </c>
      <c r="D485" s="2" t="s">
        <v>647</v>
      </c>
      <c r="E485" s="2" t="s">
        <v>647</v>
      </c>
      <c r="F485" s="2" t="s">
        <v>647</v>
      </c>
      <c r="G485" s="2" t="s">
        <v>647</v>
      </c>
    </row>
    <row r="486">
      <c r="B486" s="7" t="s">
        <v>1165</v>
      </c>
      <c r="D486" s="2" t="s">
        <v>647</v>
      </c>
      <c r="E486" s="2" t="s">
        <v>647</v>
      </c>
      <c r="F486" s="2" t="s">
        <v>647</v>
      </c>
      <c r="G486" s="2" t="s">
        <v>647</v>
      </c>
    </row>
    <row r="487">
      <c r="B487" s="7" t="s">
        <v>1166</v>
      </c>
      <c r="D487" s="2" t="s">
        <v>647</v>
      </c>
      <c r="E487" s="2" t="s">
        <v>647</v>
      </c>
      <c r="F487" s="2" t="s">
        <v>647</v>
      </c>
      <c r="G487" s="2" t="s">
        <v>647</v>
      </c>
    </row>
    <row r="488">
      <c r="B488" s="7" t="s">
        <v>1167</v>
      </c>
      <c r="D488" s="2" t="s">
        <v>647</v>
      </c>
      <c r="E488" s="2" t="s">
        <v>647</v>
      </c>
      <c r="F488" s="2" t="s">
        <v>647</v>
      </c>
      <c r="G488" s="2" t="s">
        <v>647</v>
      </c>
      <c r="H488" s="2" t="s">
        <v>12723</v>
      </c>
    </row>
    <row r="489">
      <c r="A489" s="2" t="s">
        <v>13744</v>
      </c>
      <c r="B489" s="7" t="s">
        <v>1168</v>
      </c>
      <c r="D489" s="2" t="s">
        <v>647</v>
      </c>
      <c r="E489" s="2" t="s">
        <v>647</v>
      </c>
      <c r="F489" s="2" t="s">
        <v>647</v>
      </c>
      <c r="G489" s="2" t="s">
        <v>647</v>
      </c>
      <c r="H489" s="2" t="s">
        <v>647</v>
      </c>
    </row>
    <row r="490">
      <c r="B490" s="7" t="s">
        <v>1169</v>
      </c>
      <c r="D490" s="2" t="s">
        <v>647</v>
      </c>
      <c r="E490" s="2" t="s">
        <v>647</v>
      </c>
      <c r="F490" s="2" t="s">
        <v>647</v>
      </c>
      <c r="G490" s="2" t="s">
        <v>647</v>
      </c>
    </row>
    <row r="491">
      <c r="B491" s="7" t="s">
        <v>1170</v>
      </c>
      <c r="C491" s="2" t="s">
        <v>12723</v>
      </c>
      <c r="D491" s="2" t="s">
        <v>647</v>
      </c>
      <c r="E491" s="2" t="s">
        <v>647</v>
      </c>
      <c r="F491" s="2" t="s">
        <v>647</v>
      </c>
      <c r="G491" s="2" t="s">
        <v>647</v>
      </c>
    </row>
    <row r="492">
      <c r="B492" s="7" t="s">
        <v>1171</v>
      </c>
      <c r="C492" s="2" t="s">
        <v>13743</v>
      </c>
      <c r="D492" s="2" t="s">
        <v>647</v>
      </c>
      <c r="E492" s="2" t="s">
        <v>647</v>
      </c>
      <c r="F492" s="2" t="s">
        <v>647</v>
      </c>
      <c r="G492" s="2" t="s">
        <v>647</v>
      </c>
    </row>
    <row r="493">
      <c r="B493" s="7" t="s">
        <v>1172</v>
      </c>
      <c r="C493" s="2" t="s">
        <v>13743</v>
      </c>
      <c r="D493" s="2" t="s">
        <v>647</v>
      </c>
      <c r="E493" s="2" t="s">
        <v>647</v>
      </c>
      <c r="F493" s="2" t="s">
        <v>647</v>
      </c>
      <c r="G493" s="2" t="s">
        <v>647</v>
      </c>
    </row>
    <row r="494">
      <c r="B494" s="7" t="s">
        <v>1173</v>
      </c>
      <c r="D494" s="2" t="s">
        <v>647</v>
      </c>
      <c r="E494" s="2" t="s">
        <v>647</v>
      </c>
      <c r="F494" s="2" t="s">
        <v>647</v>
      </c>
      <c r="G494" s="2" t="s">
        <v>647</v>
      </c>
      <c r="H494" s="2" t="s">
        <v>12723</v>
      </c>
    </row>
    <row r="495">
      <c r="B495" s="7" t="s">
        <v>1174</v>
      </c>
      <c r="C495" s="2" t="s">
        <v>12723</v>
      </c>
      <c r="D495" s="2" t="s">
        <v>647</v>
      </c>
      <c r="E495" s="2" t="s">
        <v>647</v>
      </c>
      <c r="F495" s="2" t="s">
        <v>647</v>
      </c>
      <c r="G495" s="2" t="s">
        <v>647</v>
      </c>
      <c r="H495" s="2" t="s">
        <v>647</v>
      </c>
    </row>
    <row r="496">
      <c r="B496" s="7" t="s">
        <v>1175</v>
      </c>
      <c r="C496" s="2" t="s">
        <v>12723</v>
      </c>
      <c r="D496" s="2" t="s">
        <v>647</v>
      </c>
      <c r="E496" s="2" t="s">
        <v>647</v>
      </c>
      <c r="F496" s="2" t="s">
        <v>647</v>
      </c>
      <c r="G496" s="2" t="s">
        <v>647</v>
      </c>
      <c r="H496" s="2" t="s">
        <v>12723</v>
      </c>
    </row>
    <row r="497">
      <c r="B497" s="7" t="s">
        <v>1176</v>
      </c>
      <c r="C497" s="2" t="s">
        <v>12723</v>
      </c>
      <c r="D497" s="2" t="s">
        <v>647</v>
      </c>
      <c r="E497" s="2" t="s">
        <v>647</v>
      </c>
      <c r="F497" s="2" t="s">
        <v>647</v>
      </c>
      <c r="G497" s="2" t="s">
        <v>647</v>
      </c>
      <c r="H497" s="2" t="s">
        <v>647</v>
      </c>
    </row>
    <row r="498">
      <c r="B498" s="2" t="s">
        <v>647</v>
      </c>
      <c r="D498" s="2" t="s">
        <v>647</v>
      </c>
      <c r="E498" s="2" t="s">
        <v>647</v>
      </c>
      <c r="F498" s="2" t="s">
        <v>647</v>
      </c>
      <c r="G498" s="2" t="s">
        <v>647</v>
      </c>
      <c r="H498" s="2" t="s">
        <v>12723</v>
      </c>
    </row>
    <row r="499">
      <c r="B499" s="7" t="s">
        <v>1177</v>
      </c>
      <c r="D499" s="2" t="s">
        <v>647</v>
      </c>
      <c r="E499" s="2" t="s">
        <v>647</v>
      </c>
      <c r="F499" s="2" t="s">
        <v>647</v>
      </c>
      <c r="G499" s="2" t="s">
        <v>647</v>
      </c>
      <c r="H499" s="2" t="s">
        <v>647</v>
      </c>
    </row>
    <row r="500">
      <c r="B500" s="7" t="s">
        <v>1178</v>
      </c>
      <c r="C500" s="2" t="s">
        <v>12733</v>
      </c>
      <c r="D500" s="2" t="s">
        <v>647</v>
      </c>
      <c r="E500" s="2" t="s">
        <v>647</v>
      </c>
      <c r="F500" s="2" t="s">
        <v>647</v>
      </c>
      <c r="G500" s="2" t="s">
        <v>647</v>
      </c>
      <c r="H500" s="2" t="s">
        <v>12723</v>
      </c>
    </row>
    <row r="501">
      <c r="B501" s="7" t="s">
        <v>1179</v>
      </c>
      <c r="D501" s="2" t="s">
        <v>647</v>
      </c>
      <c r="E501" s="2" t="s">
        <v>647</v>
      </c>
      <c r="F501" s="2" t="s">
        <v>647</v>
      </c>
      <c r="G501" s="2" t="s">
        <v>647</v>
      </c>
    </row>
    <row r="502">
      <c r="B502" s="7" t="s">
        <v>1180</v>
      </c>
      <c r="C502" s="2" t="s">
        <v>12723</v>
      </c>
      <c r="D502" s="2" t="s">
        <v>647</v>
      </c>
      <c r="E502" s="2" t="s">
        <v>647</v>
      </c>
      <c r="F502" s="2" t="s">
        <v>647</v>
      </c>
      <c r="G502" s="2" t="s">
        <v>647</v>
      </c>
    </row>
    <row r="503">
      <c r="B503" s="7" t="s">
        <v>1181</v>
      </c>
      <c r="C503" s="2" t="s">
        <v>12719</v>
      </c>
      <c r="D503" s="2" t="s">
        <v>647</v>
      </c>
      <c r="E503" s="2" t="s">
        <v>647</v>
      </c>
      <c r="F503" s="2" t="s">
        <v>647</v>
      </c>
      <c r="G503" s="2" t="s">
        <v>647</v>
      </c>
    </row>
    <row r="504">
      <c r="B504" s="7" t="s">
        <v>1182</v>
      </c>
      <c r="D504" s="2" t="s">
        <v>647</v>
      </c>
      <c r="E504" s="2" t="s">
        <v>647</v>
      </c>
      <c r="F504" s="2" t="s">
        <v>647</v>
      </c>
      <c r="G504" s="2" t="s">
        <v>647</v>
      </c>
    </row>
    <row r="505">
      <c r="B505" s="7" t="s">
        <v>1183</v>
      </c>
      <c r="C505" s="2" t="s">
        <v>12723</v>
      </c>
      <c r="D505" s="2" t="s">
        <v>647</v>
      </c>
      <c r="E505" s="2" t="s">
        <v>647</v>
      </c>
      <c r="F505" s="2" t="s">
        <v>647</v>
      </c>
      <c r="G505" s="2" t="s">
        <v>647</v>
      </c>
      <c r="H505" s="2" t="s">
        <v>12723</v>
      </c>
    </row>
    <row r="506">
      <c r="B506" s="7" t="s">
        <v>1184</v>
      </c>
      <c r="C506" s="2" t="s">
        <v>12723</v>
      </c>
      <c r="D506" s="2" t="s">
        <v>647</v>
      </c>
      <c r="E506" s="2" t="s">
        <v>647</v>
      </c>
      <c r="F506" s="2" t="s">
        <v>647</v>
      </c>
      <c r="G506" s="2" t="s">
        <v>647</v>
      </c>
      <c r="H506" s="2" t="s">
        <v>12723</v>
      </c>
    </row>
    <row r="507">
      <c r="B507" s="7" t="s">
        <v>1185</v>
      </c>
      <c r="C507" s="2" t="s">
        <v>12719</v>
      </c>
      <c r="D507" s="2" t="s">
        <v>647</v>
      </c>
      <c r="E507" s="2" t="s">
        <v>647</v>
      </c>
      <c r="F507" s="2" t="s">
        <v>647</v>
      </c>
      <c r="G507" s="2" t="s">
        <v>647</v>
      </c>
      <c r="H507" s="2" t="s">
        <v>12723</v>
      </c>
    </row>
    <row r="508">
      <c r="B508" s="7" t="s">
        <v>1186</v>
      </c>
      <c r="D508" s="2" t="s">
        <v>647</v>
      </c>
      <c r="E508" s="2" t="s">
        <v>647</v>
      </c>
      <c r="F508" s="2" t="s">
        <v>647</v>
      </c>
      <c r="G508" s="2" t="s">
        <v>647</v>
      </c>
      <c r="H508" s="2" t="s">
        <v>647</v>
      </c>
    </row>
    <row r="509">
      <c r="B509" s="7" t="s">
        <v>1187</v>
      </c>
      <c r="D509" s="2" t="s">
        <v>647</v>
      </c>
      <c r="E509" s="2" t="s">
        <v>647</v>
      </c>
      <c r="F509" s="2" t="s">
        <v>647</v>
      </c>
      <c r="G509" s="2" t="s">
        <v>647</v>
      </c>
    </row>
    <row r="510">
      <c r="B510" s="7" t="s">
        <v>1188</v>
      </c>
      <c r="C510" s="2" t="s">
        <v>12723</v>
      </c>
      <c r="D510" s="2" t="s">
        <v>647</v>
      </c>
      <c r="E510" s="2" t="s">
        <v>647</v>
      </c>
      <c r="F510" s="2" t="s">
        <v>647</v>
      </c>
      <c r="G510" s="2" t="s">
        <v>647</v>
      </c>
    </row>
    <row r="511">
      <c r="B511" s="7" t="s">
        <v>1189</v>
      </c>
      <c r="C511" s="2" t="s">
        <v>12723</v>
      </c>
      <c r="D511" s="2" t="s">
        <v>647</v>
      </c>
      <c r="E511" s="2" t="s">
        <v>647</v>
      </c>
      <c r="F511" s="2" t="s">
        <v>647</v>
      </c>
      <c r="G511" s="2" t="s">
        <v>647</v>
      </c>
      <c r="H511" s="2" t="s">
        <v>647</v>
      </c>
    </row>
    <row r="512">
      <c r="B512" s="7" t="s">
        <v>1190</v>
      </c>
      <c r="D512" s="2" t="s">
        <v>647</v>
      </c>
      <c r="E512" s="2" t="s">
        <v>647</v>
      </c>
      <c r="F512" s="2" t="s">
        <v>647</v>
      </c>
      <c r="G512" s="2" t="s">
        <v>647</v>
      </c>
    </row>
    <row r="513">
      <c r="B513" s="7" t="s">
        <v>1191</v>
      </c>
      <c r="C513" s="2" t="s">
        <v>12719</v>
      </c>
      <c r="D513" s="2" t="s">
        <v>647</v>
      </c>
      <c r="E513" s="2" t="s">
        <v>647</v>
      </c>
      <c r="F513" s="2" t="s">
        <v>647</v>
      </c>
      <c r="G513" s="2" t="s">
        <v>647</v>
      </c>
      <c r="H513" s="2" t="s">
        <v>12733</v>
      </c>
    </row>
    <row r="514">
      <c r="B514" s="7" t="s">
        <v>1192</v>
      </c>
      <c r="C514" s="2" t="s">
        <v>12733</v>
      </c>
      <c r="D514" s="2" t="s">
        <v>647</v>
      </c>
      <c r="E514" s="2" t="s">
        <v>647</v>
      </c>
      <c r="F514" s="2" t="s">
        <v>647</v>
      </c>
      <c r="G514" s="2" t="s">
        <v>647</v>
      </c>
    </row>
    <row r="515">
      <c r="B515" s="7" t="s">
        <v>1193</v>
      </c>
      <c r="C515" s="2" t="s">
        <v>12719</v>
      </c>
      <c r="D515" s="2" t="s">
        <v>647</v>
      </c>
      <c r="E515" s="2" t="s">
        <v>647</v>
      </c>
      <c r="F515" s="2" t="s">
        <v>647</v>
      </c>
      <c r="G515" s="2" t="s">
        <v>647</v>
      </c>
    </row>
    <row r="516">
      <c r="B516" s="7" t="s">
        <v>1194</v>
      </c>
      <c r="D516" s="2" t="s">
        <v>647</v>
      </c>
      <c r="E516" s="2" t="s">
        <v>647</v>
      </c>
      <c r="F516" s="2" t="s">
        <v>647</v>
      </c>
      <c r="G516" s="2" t="s">
        <v>647</v>
      </c>
    </row>
    <row r="517">
      <c r="B517" s="7" t="s">
        <v>1195</v>
      </c>
      <c r="C517" s="2" t="s">
        <v>13743</v>
      </c>
      <c r="D517" s="2" t="s">
        <v>647</v>
      </c>
      <c r="E517" s="2" t="s">
        <v>647</v>
      </c>
      <c r="F517" s="2" t="s">
        <v>647</v>
      </c>
      <c r="G517" s="2" t="s">
        <v>647</v>
      </c>
    </row>
    <row r="518">
      <c r="B518" s="7" t="s">
        <v>1196</v>
      </c>
      <c r="C518" s="2" t="s">
        <v>13743</v>
      </c>
      <c r="D518" s="2" t="s">
        <v>647</v>
      </c>
      <c r="E518" s="2" t="s">
        <v>647</v>
      </c>
      <c r="F518" s="2" t="s">
        <v>647</v>
      </c>
      <c r="G518" s="2" t="s">
        <v>647</v>
      </c>
      <c r="H518" s="2" t="s">
        <v>647</v>
      </c>
    </row>
    <row r="519">
      <c r="B519" s="7" t="s">
        <v>1197</v>
      </c>
      <c r="C519" s="2" t="s">
        <v>12723</v>
      </c>
      <c r="D519" s="2" t="s">
        <v>647</v>
      </c>
      <c r="E519" s="2" t="s">
        <v>647</v>
      </c>
      <c r="F519" s="2" t="s">
        <v>647</v>
      </c>
      <c r="G519" s="2" t="s">
        <v>647</v>
      </c>
    </row>
    <row r="520">
      <c r="B520" s="2" t="s">
        <v>647</v>
      </c>
      <c r="D520" s="2" t="s">
        <v>647</v>
      </c>
      <c r="E520" s="2" t="s">
        <v>647</v>
      </c>
      <c r="F520" s="2" t="s">
        <v>647</v>
      </c>
      <c r="G520" s="2" t="s">
        <v>647</v>
      </c>
    </row>
    <row r="521">
      <c r="B521" s="7" t="s">
        <v>1198</v>
      </c>
      <c r="C521" s="2" t="s">
        <v>12719</v>
      </c>
      <c r="D521" s="2" t="s">
        <v>647</v>
      </c>
      <c r="E521" s="2" t="s">
        <v>647</v>
      </c>
      <c r="F521" s="2" t="s">
        <v>647</v>
      </c>
      <c r="G521" s="2" t="s">
        <v>647</v>
      </c>
    </row>
    <row r="522">
      <c r="B522" s="7" t="s">
        <v>1199</v>
      </c>
      <c r="C522" s="2" t="s">
        <v>12719</v>
      </c>
      <c r="D522" s="2" t="s">
        <v>647</v>
      </c>
      <c r="E522" s="2" t="s">
        <v>647</v>
      </c>
      <c r="F522" s="2" t="s">
        <v>647</v>
      </c>
      <c r="G522" s="2" t="s">
        <v>647</v>
      </c>
    </row>
    <row r="523">
      <c r="B523" s="7" t="s">
        <v>1200</v>
      </c>
      <c r="C523" s="2" t="s">
        <v>12723</v>
      </c>
      <c r="D523" s="2" t="s">
        <v>647</v>
      </c>
      <c r="E523" s="2" t="s">
        <v>647</v>
      </c>
      <c r="F523" s="2" t="s">
        <v>647</v>
      </c>
      <c r="G523" s="2" t="s">
        <v>647</v>
      </c>
    </row>
    <row r="524">
      <c r="B524" s="7" t="s">
        <v>1201</v>
      </c>
      <c r="C524" s="2" t="s">
        <v>12723</v>
      </c>
      <c r="D524" s="2" t="s">
        <v>647</v>
      </c>
      <c r="E524" s="2" t="s">
        <v>647</v>
      </c>
      <c r="F524" s="2" t="s">
        <v>647</v>
      </c>
      <c r="G524" s="2" t="s">
        <v>647</v>
      </c>
    </row>
    <row r="525">
      <c r="B525" s="2" t="s">
        <v>647</v>
      </c>
      <c r="C525" s="2" t="s">
        <v>12723</v>
      </c>
      <c r="D525" s="2" t="s">
        <v>647</v>
      </c>
      <c r="E525" s="2" t="s">
        <v>647</v>
      </c>
      <c r="F525" s="2" t="s">
        <v>647</v>
      </c>
      <c r="G525" s="2" t="s">
        <v>647</v>
      </c>
    </row>
    <row r="526">
      <c r="B526" s="7" t="s">
        <v>1202</v>
      </c>
      <c r="C526" s="2" t="s">
        <v>12723</v>
      </c>
      <c r="D526" s="2" t="s">
        <v>647</v>
      </c>
      <c r="E526" s="2" t="s">
        <v>647</v>
      </c>
      <c r="F526" s="2" t="s">
        <v>647</v>
      </c>
      <c r="G526" s="2" t="s">
        <v>647</v>
      </c>
      <c r="H526" s="2" t="s">
        <v>12723</v>
      </c>
    </row>
    <row r="527">
      <c r="B527" s="7" t="s">
        <v>1203</v>
      </c>
      <c r="C527" s="2" t="s">
        <v>12723</v>
      </c>
      <c r="D527" s="2" t="s">
        <v>647</v>
      </c>
      <c r="E527" s="2" t="s">
        <v>647</v>
      </c>
      <c r="F527" s="2" t="s">
        <v>647</v>
      </c>
      <c r="G527" s="2" t="s">
        <v>647</v>
      </c>
      <c r="H527" s="2" t="s">
        <v>12723</v>
      </c>
    </row>
    <row r="528">
      <c r="B528" s="7" t="s">
        <v>1204</v>
      </c>
      <c r="C528" s="2" t="s">
        <v>12723</v>
      </c>
      <c r="D528" s="2" t="s">
        <v>647</v>
      </c>
      <c r="E528" s="2" t="s">
        <v>647</v>
      </c>
      <c r="F528" s="2" t="s">
        <v>647</v>
      </c>
      <c r="G528" s="2" t="s">
        <v>647</v>
      </c>
      <c r="H528" s="2" t="s">
        <v>12719</v>
      </c>
    </row>
    <row r="529">
      <c r="B529" s="7" t="s">
        <v>1205</v>
      </c>
      <c r="C529" s="2" t="s">
        <v>12719</v>
      </c>
      <c r="D529" s="2" t="s">
        <v>647</v>
      </c>
      <c r="E529" s="2" t="s">
        <v>647</v>
      </c>
      <c r="F529" s="2" t="s">
        <v>647</v>
      </c>
      <c r="G529" s="2" t="s">
        <v>647</v>
      </c>
    </row>
    <row r="530">
      <c r="B530" s="7" t="s">
        <v>1206</v>
      </c>
      <c r="C530" s="2" t="s">
        <v>12719</v>
      </c>
      <c r="D530" s="2" t="s">
        <v>647</v>
      </c>
      <c r="E530" s="2" t="s">
        <v>647</v>
      </c>
      <c r="F530" s="2" t="s">
        <v>647</v>
      </c>
      <c r="G530" s="2" t="s">
        <v>647</v>
      </c>
      <c r="H530" s="2" t="s">
        <v>12723</v>
      </c>
    </row>
    <row r="531">
      <c r="B531" s="7" t="s">
        <v>1207</v>
      </c>
      <c r="D531" s="2" t="s">
        <v>647</v>
      </c>
      <c r="E531" s="2" t="s">
        <v>647</v>
      </c>
      <c r="F531" s="2" t="s">
        <v>647</v>
      </c>
      <c r="G531" s="2" t="s">
        <v>647</v>
      </c>
    </row>
    <row r="532">
      <c r="B532" s="7" t="s">
        <v>1208</v>
      </c>
      <c r="C532" s="2" t="s">
        <v>12723</v>
      </c>
      <c r="D532" s="2" t="s">
        <v>647</v>
      </c>
      <c r="E532" s="2" t="s">
        <v>647</v>
      </c>
      <c r="F532" s="2" t="s">
        <v>647</v>
      </c>
      <c r="G532" s="2" t="s">
        <v>647</v>
      </c>
    </row>
    <row r="533">
      <c r="B533" s="7" t="s">
        <v>1209</v>
      </c>
      <c r="C533" s="2" t="s">
        <v>12719</v>
      </c>
      <c r="D533" s="2" t="s">
        <v>647</v>
      </c>
      <c r="E533" s="2" t="s">
        <v>647</v>
      </c>
      <c r="F533" s="2" t="s">
        <v>647</v>
      </c>
      <c r="G533" s="2" t="s">
        <v>647</v>
      </c>
    </row>
    <row r="534">
      <c r="B534" s="7" t="s">
        <v>1210</v>
      </c>
      <c r="C534" s="2" t="s">
        <v>12719</v>
      </c>
      <c r="D534" s="2" t="s">
        <v>647</v>
      </c>
      <c r="E534" s="2" t="s">
        <v>647</v>
      </c>
      <c r="F534" s="2" t="s">
        <v>647</v>
      </c>
      <c r="G534" s="2" t="s">
        <v>647</v>
      </c>
      <c r="H534" s="2" t="s">
        <v>12723</v>
      </c>
    </row>
    <row r="535">
      <c r="B535" s="7" t="s">
        <v>1211</v>
      </c>
      <c r="C535" s="2" t="s">
        <v>12929</v>
      </c>
      <c r="D535" s="2" t="s">
        <v>647</v>
      </c>
      <c r="E535" s="2" t="s">
        <v>647</v>
      </c>
      <c r="F535" s="2" t="s">
        <v>647</v>
      </c>
      <c r="G535" s="2" t="s">
        <v>647</v>
      </c>
    </row>
    <row r="536">
      <c r="B536" s="7" t="s">
        <v>1212</v>
      </c>
      <c r="C536" s="2" t="s">
        <v>12723</v>
      </c>
      <c r="D536" s="2" t="s">
        <v>647</v>
      </c>
      <c r="E536" s="2" t="s">
        <v>647</v>
      </c>
      <c r="F536" s="2" t="s">
        <v>647</v>
      </c>
      <c r="G536" s="2" t="s">
        <v>647</v>
      </c>
    </row>
    <row r="537">
      <c r="B537" s="7" t="s">
        <v>1213</v>
      </c>
      <c r="C537" s="2" t="s">
        <v>12719</v>
      </c>
      <c r="D537" s="2" t="s">
        <v>647</v>
      </c>
      <c r="E537" s="2" t="s">
        <v>647</v>
      </c>
      <c r="F537" s="2" t="s">
        <v>647</v>
      </c>
      <c r="G537" s="2" t="s">
        <v>647</v>
      </c>
      <c r="H537" s="2" t="s">
        <v>12733</v>
      </c>
    </row>
    <row r="538">
      <c r="B538" s="7" t="s">
        <v>1214</v>
      </c>
      <c r="D538" s="2" t="s">
        <v>647</v>
      </c>
      <c r="E538" s="2" t="s">
        <v>647</v>
      </c>
      <c r="F538" s="2" t="s">
        <v>647</v>
      </c>
      <c r="G538" s="2" t="s">
        <v>647</v>
      </c>
      <c r="H538" s="2" t="s">
        <v>12723</v>
      </c>
    </row>
    <row r="539">
      <c r="B539" s="7" t="s">
        <v>1215</v>
      </c>
      <c r="C539" s="2" t="s">
        <v>12719</v>
      </c>
      <c r="D539" s="2" t="s">
        <v>647</v>
      </c>
      <c r="E539" s="2" t="s">
        <v>647</v>
      </c>
      <c r="F539" s="2" t="s">
        <v>647</v>
      </c>
      <c r="G539" s="2" t="s">
        <v>647</v>
      </c>
      <c r="H539" s="2" t="s">
        <v>12723</v>
      </c>
    </row>
    <row r="540">
      <c r="B540" s="7" t="s">
        <v>1216</v>
      </c>
      <c r="D540" s="2" t="s">
        <v>647</v>
      </c>
      <c r="E540" s="2" t="s">
        <v>647</v>
      </c>
      <c r="F540" s="2" t="s">
        <v>647</v>
      </c>
      <c r="G540" s="2" t="s">
        <v>647</v>
      </c>
    </row>
    <row r="541">
      <c r="B541" s="7" t="s">
        <v>1217</v>
      </c>
      <c r="C541" s="2" t="s">
        <v>12733</v>
      </c>
      <c r="D541" s="2" t="s">
        <v>647</v>
      </c>
      <c r="E541" s="2" t="s">
        <v>647</v>
      </c>
      <c r="F541" s="2" t="s">
        <v>647</v>
      </c>
      <c r="G541" s="2" t="s">
        <v>647</v>
      </c>
    </row>
    <row r="542">
      <c r="B542" s="7" t="s">
        <v>1218</v>
      </c>
      <c r="C542" s="2" t="s">
        <v>12733</v>
      </c>
      <c r="D542" s="2" t="s">
        <v>647</v>
      </c>
      <c r="E542" s="2" t="s">
        <v>647</v>
      </c>
      <c r="F542" s="2" t="s">
        <v>647</v>
      </c>
      <c r="G542" s="2" t="s">
        <v>647</v>
      </c>
    </row>
    <row r="543">
      <c r="B543" s="7" t="s">
        <v>1219</v>
      </c>
      <c r="C543" s="2" t="s">
        <v>12719</v>
      </c>
      <c r="D543" s="2" t="s">
        <v>647</v>
      </c>
      <c r="E543" s="2" t="s">
        <v>647</v>
      </c>
      <c r="F543" s="2" t="s">
        <v>647</v>
      </c>
      <c r="G543" s="2" t="s">
        <v>647</v>
      </c>
      <c r="H543" s="2" t="s">
        <v>647</v>
      </c>
    </row>
    <row r="544">
      <c r="B544" s="7" t="s">
        <v>1220</v>
      </c>
      <c r="C544" s="2" t="s">
        <v>12733</v>
      </c>
      <c r="D544" s="2" t="s">
        <v>647</v>
      </c>
      <c r="E544" s="2" t="s">
        <v>647</v>
      </c>
      <c r="F544" s="2" t="s">
        <v>647</v>
      </c>
      <c r="G544" s="2" t="s">
        <v>647</v>
      </c>
      <c r="H544" s="2" t="s">
        <v>12723</v>
      </c>
    </row>
    <row r="545">
      <c r="B545" s="7" t="s">
        <v>1221</v>
      </c>
      <c r="C545" s="2" t="s">
        <v>12733</v>
      </c>
      <c r="D545" s="2" t="s">
        <v>647</v>
      </c>
      <c r="E545" s="2" t="s">
        <v>647</v>
      </c>
      <c r="F545" s="2" t="s">
        <v>647</v>
      </c>
      <c r="G545" s="2" t="s">
        <v>647</v>
      </c>
      <c r="H545" s="2" t="s">
        <v>12733</v>
      </c>
    </row>
    <row r="546">
      <c r="B546" s="7" t="s">
        <v>1222</v>
      </c>
      <c r="D546" s="2" t="s">
        <v>647</v>
      </c>
      <c r="E546" s="2" t="s">
        <v>647</v>
      </c>
      <c r="F546" s="2" t="s">
        <v>647</v>
      </c>
      <c r="G546" s="2" t="s">
        <v>647</v>
      </c>
      <c r="H546" s="2" t="s">
        <v>12719</v>
      </c>
    </row>
    <row r="547">
      <c r="B547" s="7" t="s">
        <v>1223</v>
      </c>
      <c r="D547" s="2" t="s">
        <v>647</v>
      </c>
      <c r="E547" s="2" t="s">
        <v>647</v>
      </c>
      <c r="F547" s="2" t="s">
        <v>647</v>
      </c>
      <c r="G547" s="2" t="s">
        <v>647</v>
      </c>
    </row>
    <row r="548">
      <c r="B548" s="7" t="s">
        <v>1224</v>
      </c>
      <c r="D548" s="2" t="s">
        <v>647</v>
      </c>
      <c r="E548" s="2" t="s">
        <v>647</v>
      </c>
      <c r="F548" s="2" t="s">
        <v>647</v>
      </c>
      <c r="G548" s="2" t="s">
        <v>647</v>
      </c>
    </row>
    <row r="549">
      <c r="B549" s="7" t="s">
        <v>1225</v>
      </c>
      <c r="D549" s="2" t="s">
        <v>647</v>
      </c>
      <c r="E549" s="2" t="s">
        <v>647</v>
      </c>
      <c r="F549" s="2" t="s">
        <v>647</v>
      </c>
      <c r="G549" s="2" t="s">
        <v>647</v>
      </c>
      <c r="H549" s="2" t="s">
        <v>12723</v>
      </c>
    </row>
    <row r="550">
      <c r="B550" s="7" t="s">
        <v>1226</v>
      </c>
      <c r="C550" s="2" t="s">
        <v>12723</v>
      </c>
      <c r="D550" s="2" t="s">
        <v>647</v>
      </c>
      <c r="E550" s="2" t="s">
        <v>647</v>
      </c>
      <c r="F550" s="2" t="s">
        <v>647</v>
      </c>
      <c r="G550" s="2" t="s">
        <v>647</v>
      </c>
      <c r="H550" s="2" t="s">
        <v>12719</v>
      </c>
    </row>
    <row r="551">
      <c r="B551" s="7" t="s">
        <v>1227</v>
      </c>
      <c r="C551" s="2" t="s">
        <v>12733</v>
      </c>
      <c r="D551" s="2" t="s">
        <v>647</v>
      </c>
      <c r="E551" s="2" t="s">
        <v>647</v>
      </c>
      <c r="F551" s="2" t="s">
        <v>647</v>
      </c>
      <c r="G551" s="2" t="s">
        <v>647</v>
      </c>
    </row>
    <row r="552">
      <c r="B552" s="2" t="s">
        <v>647</v>
      </c>
      <c r="D552" s="2" t="s">
        <v>647</v>
      </c>
      <c r="E552" s="2" t="s">
        <v>647</v>
      </c>
      <c r="F552" s="2" t="s">
        <v>647</v>
      </c>
      <c r="G552" s="2" t="s">
        <v>647</v>
      </c>
    </row>
    <row r="553">
      <c r="B553" s="7" t="s">
        <v>1228</v>
      </c>
      <c r="D553" s="2" t="s">
        <v>647</v>
      </c>
      <c r="E553" s="2" t="s">
        <v>647</v>
      </c>
      <c r="F553" s="2" t="s">
        <v>647</v>
      </c>
      <c r="G553" s="2" t="s">
        <v>647</v>
      </c>
    </row>
    <row r="554">
      <c r="B554" s="7" t="s">
        <v>1229</v>
      </c>
      <c r="D554" s="2" t="s">
        <v>647</v>
      </c>
      <c r="E554" s="2" t="s">
        <v>647</v>
      </c>
      <c r="F554" s="2" t="s">
        <v>647</v>
      </c>
      <c r="G554" s="2" t="s">
        <v>647</v>
      </c>
    </row>
    <row r="555">
      <c r="B555" s="7" t="s">
        <v>1230</v>
      </c>
      <c r="D555" s="2" t="s">
        <v>647</v>
      </c>
      <c r="E555" s="2" t="s">
        <v>647</v>
      </c>
      <c r="F555" s="2" t="s">
        <v>647</v>
      </c>
      <c r="G555" s="2" t="s">
        <v>647</v>
      </c>
      <c r="H555" s="2" t="s">
        <v>647</v>
      </c>
    </row>
    <row r="556">
      <c r="B556" s="7" t="s">
        <v>1231</v>
      </c>
      <c r="C556" s="2" t="s">
        <v>12719</v>
      </c>
      <c r="D556" s="2" t="s">
        <v>647</v>
      </c>
      <c r="E556" s="2" t="s">
        <v>647</v>
      </c>
      <c r="F556" s="2" t="s">
        <v>647</v>
      </c>
      <c r="G556" s="2" t="s">
        <v>647</v>
      </c>
      <c r="H556" s="2" t="s">
        <v>12719</v>
      </c>
    </row>
    <row r="557">
      <c r="B557" s="7" t="s">
        <v>1232</v>
      </c>
      <c r="C557" s="2" t="s">
        <v>12723</v>
      </c>
      <c r="D557" s="2" t="s">
        <v>647</v>
      </c>
      <c r="E557" s="2" t="s">
        <v>647</v>
      </c>
      <c r="F557" s="2" t="s">
        <v>647</v>
      </c>
      <c r="G557" s="2" t="s">
        <v>647</v>
      </c>
    </row>
    <row r="558">
      <c r="B558" s="2" t="s">
        <v>647</v>
      </c>
      <c r="D558" s="2" t="s">
        <v>647</v>
      </c>
      <c r="E558" s="2" t="s">
        <v>647</v>
      </c>
      <c r="F558" s="2" t="s">
        <v>647</v>
      </c>
      <c r="G558" s="2" t="s">
        <v>647</v>
      </c>
      <c r="H558" s="2" t="s">
        <v>12723</v>
      </c>
    </row>
    <row r="559">
      <c r="B559" s="7" t="s">
        <v>1233</v>
      </c>
      <c r="C559" s="2" t="s">
        <v>12723</v>
      </c>
      <c r="D559" s="2" t="s">
        <v>647</v>
      </c>
      <c r="E559" s="2" t="s">
        <v>647</v>
      </c>
      <c r="F559" s="2" t="s">
        <v>647</v>
      </c>
      <c r="G559" s="2" t="s">
        <v>647</v>
      </c>
    </row>
    <row r="560">
      <c r="B560" s="7" t="s">
        <v>1234</v>
      </c>
      <c r="D560" s="2" t="s">
        <v>647</v>
      </c>
      <c r="E560" s="2" t="s">
        <v>647</v>
      </c>
      <c r="F560" s="2" t="s">
        <v>647</v>
      </c>
      <c r="G560" s="2" t="s">
        <v>647</v>
      </c>
      <c r="H560" s="2" t="s">
        <v>12723</v>
      </c>
    </row>
    <row r="561">
      <c r="B561" s="7" t="s">
        <v>1235</v>
      </c>
      <c r="D561" s="2" t="s">
        <v>647</v>
      </c>
      <c r="E561" s="2" t="s">
        <v>647</v>
      </c>
      <c r="F561" s="2" t="s">
        <v>647</v>
      </c>
      <c r="G561" s="2" t="s">
        <v>647</v>
      </c>
      <c r="H561" s="2" t="s">
        <v>647</v>
      </c>
    </row>
    <row r="562">
      <c r="B562" s="7" t="s">
        <v>1236</v>
      </c>
      <c r="D562" s="2" t="s">
        <v>647</v>
      </c>
      <c r="E562" s="2" t="s">
        <v>647</v>
      </c>
      <c r="F562" s="2" t="s">
        <v>647</v>
      </c>
      <c r="G562" s="2" t="s">
        <v>647</v>
      </c>
    </row>
    <row r="563">
      <c r="B563" s="7" t="s">
        <v>1237</v>
      </c>
      <c r="D563" s="2" t="s">
        <v>647</v>
      </c>
      <c r="E563" s="2" t="s">
        <v>647</v>
      </c>
      <c r="F563" s="2" t="s">
        <v>647</v>
      </c>
      <c r="G563" s="2" t="s">
        <v>647</v>
      </c>
    </row>
    <row r="564">
      <c r="B564" s="7" t="s">
        <v>1238</v>
      </c>
      <c r="C564" s="2" t="s">
        <v>12719</v>
      </c>
      <c r="D564" s="2" t="s">
        <v>647</v>
      </c>
      <c r="E564" s="2" t="s">
        <v>647</v>
      </c>
      <c r="F564" s="2" t="s">
        <v>647</v>
      </c>
      <c r="G564" s="2" t="s">
        <v>647</v>
      </c>
    </row>
    <row r="565">
      <c r="B565" s="7" t="s">
        <v>1239</v>
      </c>
      <c r="C565" s="2" t="s">
        <v>12723</v>
      </c>
      <c r="D565" s="2" t="s">
        <v>647</v>
      </c>
      <c r="E565" s="2" t="s">
        <v>647</v>
      </c>
      <c r="F565" s="2" t="s">
        <v>647</v>
      </c>
      <c r="G565" s="2" t="s">
        <v>647</v>
      </c>
      <c r="H565" s="2" t="s">
        <v>647</v>
      </c>
    </row>
    <row r="566">
      <c r="B566" s="7" t="s">
        <v>1240</v>
      </c>
      <c r="C566" s="2" t="s">
        <v>12723</v>
      </c>
      <c r="D566" s="2" t="s">
        <v>647</v>
      </c>
      <c r="E566" s="2" t="s">
        <v>647</v>
      </c>
      <c r="F566" s="2" t="s">
        <v>647</v>
      </c>
      <c r="G566" s="2" t="s">
        <v>647</v>
      </c>
      <c r="H566" s="2" t="s">
        <v>12723</v>
      </c>
    </row>
    <row r="567">
      <c r="B567" s="2" t="s">
        <v>647</v>
      </c>
      <c r="C567" s="2" t="s">
        <v>12723</v>
      </c>
      <c r="D567" s="2" t="s">
        <v>647</v>
      </c>
      <c r="E567" s="2" t="s">
        <v>647</v>
      </c>
      <c r="F567" s="2" t="s">
        <v>647</v>
      </c>
      <c r="G567" s="2" t="s">
        <v>647</v>
      </c>
    </row>
    <row r="568">
      <c r="B568" s="7" t="s">
        <v>1241</v>
      </c>
      <c r="D568" s="2" t="s">
        <v>647</v>
      </c>
      <c r="E568" s="2" t="s">
        <v>647</v>
      </c>
      <c r="F568" s="2" t="s">
        <v>647</v>
      </c>
      <c r="G568" s="2" t="s">
        <v>647</v>
      </c>
      <c r="H568" s="2" t="s">
        <v>647</v>
      </c>
    </row>
    <row r="569">
      <c r="B569" s="7" t="s">
        <v>1242</v>
      </c>
      <c r="C569" s="2" t="s">
        <v>12719</v>
      </c>
      <c r="D569" s="2" t="s">
        <v>647</v>
      </c>
      <c r="E569" s="2" t="s">
        <v>647</v>
      </c>
      <c r="F569" s="2" t="s">
        <v>647</v>
      </c>
      <c r="G569" s="2" t="s">
        <v>647</v>
      </c>
      <c r="H569" s="2" t="s">
        <v>12719</v>
      </c>
    </row>
    <row r="570">
      <c r="B570" s="7" t="s">
        <v>1243</v>
      </c>
      <c r="C570" s="2" t="s">
        <v>12723</v>
      </c>
      <c r="D570" s="2" t="s">
        <v>647</v>
      </c>
      <c r="E570" s="2" t="s">
        <v>647</v>
      </c>
      <c r="F570" s="2" t="s">
        <v>647</v>
      </c>
      <c r="G570" s="2" t="s">
        <v>647</v>
      </c>
    </row>
    <row r="571">
      <c r="B571" s="7" t="s">
        <v>1244</v>
      </c>
      <c r="C571" s="2" t="s">
        <v>12723</v>
      </c>
      <c r="D571" s="2" t="s">
        <v>647</v>
      </c>
      <c r="E571" s="2" t="s">
        <v>647</v>
      </c>
      <c r="F571" s="2" t="s">
        <v>647</v>
      </c>
      <c r="G571" s="2" t="s">
        <v>647</v>
      </c>
      <c r="H571" s="2" t="s">
        <v>12719</v>
      </c>
    </row>
    <row r="572">
      <c r="B572" s="7" t="s">
        <v>1245</v>
      </c>
      <c r="C572" s="2" t="s">
        <v>13743</v>
      </c>
      <c r="D572" s="2" t="s">
        <v>647</v>
      </c>
      <c r="E572" s="2" t="s">
        <v>647</v>
      </c>
      <c r="F572" s="2" t="s">
        <v>647</v>
      </c>
      <c r="G572" s="2" t="s">
        <v>647</v>
      </c>
      <c r="H572" s="2" t="s">
        <v>647</v>
      </c>
    </row>
    <row r="573">
      <c r="B573" s="7" t="s">
        <v>1246</v>
      </c>
      <c r="C573" s="2" t="s">
        <v>12723</v>
      </c>
      <c r="D573" s="2" t="s">
        <v>647</v>
      </c>
      <c r="E573" s="2" t="s">
        <v>647</v>
      </c>
      <c r="F573" s="2" t="s">
        <v>647</v>
      </c>
      <c r="G573" s="2" t="s">
        <v>647</v>
      </c>
    </row>
    <row r="574">
      <c r="B574" s="7" t="s">
        <v>1247</v>
      </c>
      <c r="D574" s="2" t="s">
        <v>647</v>
      </c>
      <c r="E574" s="2" t="s">
        <v>647</v>
      </c>
      <c r="F574" s="2" t="s">
        <v>647</v>
      </c>
      <c r="G574" s="2" t="s">
        <v>647</v>
      </c>
    </row>
    <row r="575">
      <c r="B575" s="7" t="s">
        <v>1248</v>
      </c>
      <c r="C575" s="2" t="s">
        <v>12723</v>
      </c>
      <c r="D575" s="2" t="s">
        <v>647</v>
      </c>
      <c r="E575" s="2" t="s">
        <v>647</v>
      </c>
      <c r="F575" s="2" t="s">
        <v>647</v>
      </c>
      <c r="G575" s="2" t="s">
        <v>647</v>
      </c>
      <c r="H575" s="2" t="s">
        <v>12719</v>
      </c>
    </row>
    <row r="576">
      <c r="B576" s="7" t="s">
        <v>1249</v>
      </c>
      <c r="C576" s="2" t="s">
        <v>12719</v>
      </c>
      <c r="D576" s="2" t="s">
        <v>647</v>
      </c>
      <c r="E576" s="2" t="s">
        <v>647</v>
      </c>
      <c r="F576" s="2" t="s">
        <v>647</v>
      </c>
      <c r="G576" s="2" t="s">
        <v>647</v>
      </c>
    </row>
    <row r="577">
      <c r="B577" s="7" t="s">
        <v>1250</v>
      </c>
      <c r="D577" s="2" t="s">
        <v>647</v>
      </c>
      <c r="E577" s="2" t="s">
        <v>647</v>
      </c>
      <c r="F577" s="2" t="s">
        <v>647</v>
      </c>
      <c r="G577" s="2" t="s">
        <v>647</v>
      </c>
    </row>
    <row r="578">
      <c r="B578" s="7" t="s">
        <v>1251</v>
      </c>
      <c r="C578" s="2" t="s">
        <v>13743</v>
      </c>
      <c r="D578" s="2" t="s">
        <v>647</v>
      </c>
      <c r="E578" s="2" t="s">
        <v>647</v>
      </c>
      <c r="F578" s="2" t="s">
        <v>647</v>
      </c>
      <c r="G578" s="2" t="s">
        <v>647</v>
      </c>
      <c r="H578" s="2" t="s">
        <v>12719</v>
      </c>
    </row>
    <row r="579">
      <c r="B579" s="7" t="s">
        <v>1252</v>
      </c>
      <c r="C579" s="2" t="s">
        <v>12733</v>
      </c>
      <c r="D579" s="2" t="s">
        <v>647</v>
      </c>
      <c r="E579" s="2" t="s">
        <v>647</v>
      </c>
      <c r="F579" s="2" t="s">
        <v>647</v>
      </c>
      <c r="G579" s="2" t="s">
        <v>647</v>
      </c>
      <c r="H579" s="2" t="s">
        <v>12723</v>
      </c>
    </row>
    <row r="580">
      <c r="B580" s="7" t="s">
        <v>1253</v>
      </c>
      <c r="C580" s="2" t="s">
        <v>12719</v>
      </c>
      <c r="D580" s="2" t="s">
        <v>647</v>
      </c>
      <c r="E580" s="2" t="s">
        <v>647</v>
      </c>
      <c r="F580" s="2" t="s">
        <v>647</v>
      </c>
      <c r="G580" s="2" t="s">
        <v>647</v>
      </c>
      <c r="H580" s="2" t="s">
        <v>12723</v>
      </c>
    </row>
    <row r="581">
      <c r="B581" s="7" t="s">
        <v>1254</v>
      </c>
      <c r="D581" s="2" t="s">
        <v>647</v>
      </c>
      <c r="E581" s="2" t="s">
        <v>647</v>
      </c>
      <c r="F581" s="2" t="s">
        <v>647</v>
      </c>
      <c r="G581" s="2" t="s">
        <v>647</v>
      </c>
      <c r="H581" s="2" t="s">
        <v>12723</v>
      </c>
    </row>
    <row r="582">
      <c r="B582" s="7" t="s">
        <v>1255</v>
      </c>
      <c r="D582" s="2" t="s">
        <v>647</v>
      </c>
      <c r="E582" s="2" t="s">
        <v>647</v>
      </c>
      <c r="F582" s="2" t="s">
        <v>647</v>
      </c>
      <c r="G582" s="2" t="s">
        <v>647</v>
      </c>
      <c r="H582" s="2" t="s">
        <v>12723</v>
      </c>
    </row>
    <row r="583">
      <c r="B583" s="7" t="s">
        <v>1256</v>
      </c>
      <c r="C583" s="2" t="s">
        <v>12723</v>
      </c>
      <c r="D583" s="2" t="s">
        <v>647</v>
      </c>
      <c r="E583" s="2" t="s">
        <v>647</v>
      </c>
      <c r="F583" s="2" t="s">
        <v>647</v>
      </c>
      <c r="G583" s="2" t="s">
        <v>647</v>
      </c>
      <c r="H583" s="2" t="s">
        <v>12723</v>
      </c>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A75"/>
    <hyperlink r:id="rId75" ref="B75"/>
    <hyperlink r:id="rId76" ref="B76"/>
    <hyperlink r:id="rId77" ref="B77"/>
    <hyperlink r:id="rId78" ref="B78"/>
    <hyperlink r:id="rId79" ref="B79"/>
    <hyperlink r:id="rId80" ref="B80"/>
    <hyperlink r:id="rId81" ref="B81"/>
    <hyperlink r:id="rId82" ref="B82"/>
    <hyperlink r:id="rId83" ref="B83"/>
    <hyperlink r:id="rId84" ref="B84"/>
    <hyperlink r:id="rId85" ref="B85"/>
    <hyperlink r:id="rId86" ref="B86"/>
    <hyperlink r:id="rId87" ref="B87"/>
    <hyperlink r:id="rId88" ref="B88"/>
    <hyperlink r:id="rId89" ref="B89"/>
    <hyperlink r:id="rId90" ref="B90"/>
    <hyperlink r:id="rId91" ref="B91"/>
    <hyperlink r:id="rId92" ref="B92"/>
    <hyperlink r:id="rId93" ref="B93"/>
    <hyperlink r:id="rId94" ref="B94"/>
    <hyperlink r:id="rId95" ref="B96"/>
    <hyperlink r:id="rId96" ref="B97"/>
    <hyperlink r:id="rId97" ref="B98"/>
    <hyperlink r:id="rId98" ref="B99"/>
    <hyperlink r:id="rId99" ref="B100"/>
    <hyperlink r:id="rId100" ref="B101"/>
    <hyperlink r:id="rId101" ref="B102"/>
    <hyperlink r:id="rId102" ref="B103"/>
    <hyperlink r:id="rId103" ref="B104"/>
    <hyperlink r:id="rId104" ref="B105"/>
    <hyperlink r:id="rId105" ref="B106"/>
    <hyperlink r:id="rId106" ref="B107"/>
    <hyperlink r:id="rId107" ref="B108"/>
    <hyperlink r:id="rId108" ref="B109"/>
    <hyperlink r:id="rId109" ref="B110"/>
    <hyperlink r:id="rId110" ref="B111"/>
    <hyperlink r:id="rId111" ref="B112"/>
    <hyperlink r:id="rId112" ref="B113"/>
    <hyperlink r:id="rId113" ref="B114"/>
    <hyperlink r:id="rId114" ref="B115"/>
    <hyperlink r:id="rId115" ref="B116"/>
    <hyperlink r:id="rId116" ref="B117"/>
    <hyperlink r:id="rId117" ref="B118"/>
    <hyperlink r:id="rId118" ref="B119"/>
    <hyperlink r:id="rId119" ref="B120"/>
    <hyperlink r:id="rId120" ref="B121"/>
    <hyperlink r:id="rId121" ref="B122"/>
    <hyperlink r:id="rId122" ref="B123"/>
    <hyperlink r:id="rId123" ref="B124"/>
    <hyperlink r:id="rId124" ref="B125"/>
    <hyperlink r:id="rId125" ref="B126"/>
    <hyperlink r:id="rId126" ref="B127"/>
    <hyperlink r:id="rId127" ref="B128"/>
    <hyperlink r:id="rId128" ref="B129"/>
    <hyperlink r:id="rId129" ref="B130"/>
    <hyperlink r:id="rId130" ref="B131"/>
    <hyperlink r:id="rId131" ref="B132"/>
    <hyperlink r:id="rId132" ref="B133"/>
    <hyperlink r:id="rId133" ref="B134"/>
    <hyperlink r:id="rId134" ref="B135"/>
    <hyperlink r:id="rId135" ref="B136"/>
    <hyperlink r:id="rId136" ref="B137"/>
    <hyperlink r:id="rId137" ref="B138"/>
    <hyperlink r:id="rId138" ref="B139"/>
    <hyperlink r:id="rId139" ref="B140"/>
    <hyperlink r:id="rId140" ref="B141"/>
    <hyperlink r:id="rId141" ref="B142"/>
    <hyperlink r:id="rId142" ref="B143"/>
    <hyperlink r:id="rId143" ref="B144"/>
    <hyperlink r:id="rId144" ref="B146"/>
    <hyperlink r:id="rId145" ref="B147"/>
    <hyperlink r:id="rId146" ref="B148"/>
    <hyperlink r:id="rId147" ref="B149"/>
    <hyperlink r:id="rId148" ref="B151"/>
    <hyperlink r:id="rId149" ref="B152"/>
    <hyperlink r:id="rId150" ref="B153"/>
    <hyperlink r:id="rId151" ref="B154"/>
    <hyperlink r:id="rId152" ref="B155"/>
    <hyperlink r:id="rId153" ref="B156"/>
    <hyperlink r:id="rId154" ref="B157"/>
    <hyperlink r:id="rId155" ref="B158"/>
    <hyperlink r:id="rId156" ref="B159"/>
    <hyperlink r:id="rId157" ref="B160"/>
    <hyperlink r:id="rId158" ref="B161"/>
    <hyperlink r:id="rId159" ref="B162"/>
    <hyperlink r:id="rId160" ref="B163"/>
    <hyperlink r:id="rId161" ref="B164"/>
    <hyperlink r:id="rId162" ref="B165"/>
    <hyperlink r:id="rId163" ref="B166"/>
    <hyperlink r:id="rId164" ref="B167"/>
    <hyperlink r:id="rId165" ref="B168"/>
    <hyperlink r:id="rId166" ref="B169"/>
    <hyperlink r:id="rId167" ref="B170"/>
    <hyperlink r:id="rId168" ref="B171"/>
    <hyperlink r:id="rId169" ref="B172"/>
    <hyperlink r:id="rId170" ref="B173"/>
    <hyperlink r:id="rId171" ref="B174"/>
    <hyperlink r:id="rId172" ref="B175"/>
    <hyperlink r:id="rId173" ref="B176"/>
    <hyperlink r:id="rId174" ref="B177"/>
    <hyperlink r:id="rId175" ref="B178"/>
    <hyperlink r:id="rId176" ref="B179"/>
    <hyperlink r:id="rId177" ref="B180"/>
    <hyperlink r:id="rId178" ref="B181"/>
    <hyperlink r:id="rId179" ref="B182"/>
    <hyperlink r:id="rId180" ref="B183"/>
    <hyperlink r:id="rId181" ref="B184"/>
    <hyperlink r:id="rId182" ref="B185"/>
    <hyperlink r:id="rId183" ref="B186"/>
    <hyperlink r:id="rId184" ref="B187"/>
    <hyperlink r:id="rId185" ref="B189"/>
    <hyperlink r:id="rId186" ref="B190"/>
    <hyperlink r:id="rId187" ref="B191"/>
    <hyperlink r:id="rId188" ref="B192"/>
    <hyperlink r:id="rId189" ref="B193"/>
    <hyperlink r:id="rId190" ref="B194"/>
    <hyperlink r:id="rId191" ref="B196"/>
    <hyperlink r:id="rId192" ref="A197"/>
    <hyperlink r:id="rId193" ref="B197"/>
    <hyperlink r:id="rId194" ref="B198"/>
    <hyperlink r:id="rId195" ref="B199"/>
    <hyperlink r:id="rId196" ref="B200"/>
    <hyperlink r:id="rId197" ref="B202"/>
    <hyperlink r:id="rId198" ref="B203"/>
    <hyperlink r:id="rId199" ref="B204"/>
    <hyperlink r:id="rId200" ref="B206"/>
    <hyperlink r:id="rId201" ref="B207"/>
    <hyperlink r:id="rId202" ref="B208"/>
    <hyperlink r:id="rId203" ref="B209"/>
    <hyperlink r:id="rId204" ref="B210"/>
    <hyperlink r:id="rId205" ref="B211"/>
    <hyperlink r:id="rId206" ref="B212"/>
    <hyperlink r:id="rId207" ref="B213"/>
    <hyperlink r:id="rId208" ref="B214"/>
    <hyperlink r:id="rId209" ref="B215"/>
    <hyperlink r:id="rId210" ref="B216"/>
    <hyperlink r:id="rId211" ref="B217"/>
    <hyperlink r:id="rId212" ref="B218"/>
    <hyperlink r:id="rId213" ref="B219"/>
    <hyperlink r:id="rId214" ref="B220"/>
    <hyperlink r:id="rId215" ref="B221"/>
    <hyperlink r:id="rId216" ref="B222"/>
    <hyperlink r:id="rId217" ref="B223"/>
    <hyperlink r:id="rId218" ref="B224"/>
    <hyperlink r:id="rId219" ref="B225"/>
    <hyperlink r:id="rId220" ref="B226"/>
    <hyperlink r:id="rId221" ref="B227"/>
    <hyperlink r:id="rId222" ref="B228"/>
    <hyperlink r:id="rId223" ref="B229"/>
    <hyperlink r:id="rId224" ref="B230"/>
    <hyperlink r:id="rId225" ref="B231"/>
    <hyperlink r:id="rId226" ref="B233"/>
    <hyperlink r:id="rId227" ref="B234"/>
    <hyperlink r:id="rId228" ref="B235"/>
    <hyperlink r:id="rId229" ref="B236"/>
    <hyperlink r:id="rId230" ref="B237"/>
    <hyperlink r:id="rId231" ref="B238"/>
    <hyperlink r:id="rId232" ref="B239"/>
    <hyperlink r:id="rId233" ref="B240"/>
    <hyperlink r:id="rId234" ref="B241"/>
    <hyperlink r:id="rId235" ref="B243"/>
    <hyperlink r:id="rId236" ref="B244"/>
    <hyperlink r:id="rId237" ref="B245"/>
    <hyperlink r:id="rId238" ref="B246"/>
    <hyperlink r:id="rId239" ref="B248"/>
    <hyperlink r:id="rId240" ref="B249"/>
    <hyperlink r:id="rId241" ref="B250"/>
    <hyperlink r:id="rId242" ref="B251"/>
    <hyperlink r:id="rId243" ref="B252"/>
    <hyperlink r:id="rId244" ref="B253"/>
    <hyperlink r:id="rId245" ref="B254"/>
    <hyperlink r:id="rId246" ref="B255"/>
    <hyperlink r:id="rId247" ref="B256"/>
    <hyperlink r:id="rId248" ref="B257"/>
    <hyperlink r:id="rId249" ref="B258"/>
    <hyperlink r:id="rId250" ref="B259"/>
    <hyperlink r:id="rId251" ref="B260"/>
    <hyperlink r:id="rId252" ref="B261"/>
    <hyperlink r:id="rId253" ref="B262"/>
    <hyperlink r:id="rId254" ref="B263"/>
    <hyperlink r:id="rId255" ref="B264"/>
    <hyperlink r:id="rId256" ref="B265"/>
    <hyperlink r:id="rId257" ref="B266"/>
    <hyperlink r:id="rId258" ref="B267"/>
    <hyperlink r:id="rId259" ref="B268"/>
    <hyperlink r:id="rId260" ref="B269"/>
    <hyperlink r:id="rId261" ref="B270"/>
    <hyperlink r:id="rId262" ref="B271"/>
    <hyperlink r:id="rId263" ref="B272"/>
    <hyperlink r:id="rId264" ref="B273"/>
    <hyperlink r:id="rId265" ref="B274"/>
    <hyperlink r:id="rId266" ref="B275"/>
    <hyperlink r:id="rId267" ref="B276"/>
    <hyperlink r:id="rId268" ref="B277"/>
    <hyperlink r:id="rId269" ref="B278"/>
    <hyperlink r:id="rId270" ref="B279"/>
    <hyperlink r:id="rId271" ref="B280"/>
    <hyperlink r:id="rId272" ref="B281"/>
    <hyperlink r:id="rId273" ref="B282"/>
    <hyperlink r:id="rId274" ref="B283"/>
    <hyperlink r:id="rId275" ref="B285"/>
    <hyperlink r:id="rId276" ref="B286"/>
    <hyperlink r:id="rId277" ref="B287"/>
    <hyperlink r:id="rId278" ref="B289"/>
    <hyperlink r:id="rId279" ref="B290"/>
    <hyperlink r:id="rId280" ref="B291"/>
    <hyperlink r:id="rId281" ref="B292"/>
    <hyperlink r:id="rId282" ref="B293"/>
    <hyperlink r:id="rId283" ref="B294"/>
    <hyperlink r:id="rId284" ref="B295"/>
    <hyperlink r:id="rId285" ref="B296"/>
    <hyperlink r:id="rId286" ref="B297"/>
    <hyperlink r:id="rId287" ref="B298"/>
    <hyperlink r:id="rId288" ref="B300"/>
    <hyperlink r:id="rId289" ref="B301"/>
    <hyperlink r:id="rId290" ref="B302"/>
    <hyperlink r:id="rId291" ref="B303"/>
    <hyperlink r:id="rId292" ref="B304"/>
    <hyperlink r:id="rId293" ref="B305"/>
    <hyperlink r:id="rId294" ref="B306"/>
    <hyperlink r:id="rId295" ref="B307"/>
    <hyperlink r:id="rId296" ref="B308"/>
    <hyperlink r:id="rId297" ref="B309"/>
    <hyperlink r:id="rId298" ref="B310"/>
    <hyperlink r:id="rId299" ref="B312"/>
    <hyperlink r:id="rId300" ref="B314"/>
    <hyperlink r:id="rId301" ref="B315"/>
    <hyperlink r:id="rId302" ref="B316"/>
    <hyperlink r:id="rId303" ref="B318"/>
    <hyperlink r:id="rId304" ref="B320"/>
    <hyperlink r:id="rId305" ref="B321"/>
    <hyperlink r:id="rId306" ref="B322"/>
    <hyperlink r:id="rId307" ref="B323"/>
    <hyperlink r:id="rId308" ref="B324"/>
    <hyperlink r:id="rId309" ref="B325"/>
    <hyperlink r:id="rId310" ref="B326"/>
    <hyperlink r:id="rId311" ref="B327"/>
    <hyperlink r:id="rId312" ref="B328"/>
    <hyperlink r:id="rId313" ref="B329"/>
    <hyperlink r:id="rId314" ref="B330"/>
    <hyperlink r:id="rId315" ref="B331"/>
    <hyperlink r:id="rId316" ref="B332"/>
    <hyperlink r:id="rId317" ref="B333"/>
    <hyperlink r:id="rId318" ref="B334"/>
    <hyperlink r:id="rId319" ref="B335"/>
    <hyperlink r:id="rId320" ref="B336"/>
    <hyperlink r:id="rId321" ref="B337"/>
    <hyperlink r:id="rId322" ref="B338"/>
    <hyperlink r:id="rId323" ref="B339"/>
    <hyperlink r:id="rId324" ref="B340"/>
    <hyperlink r:id="rId325" ref="B341"/>
    <hyperlink r:id="rId326" ref="B342"/>
    <hyperlink r:id="rId327" ref="B343"/>
    <hyperlink r:id="rId328" ref="B344"/>
    <hyperlink r:id="rId329" ref="B345"/>
    <hyperlink r:id="rId330" ref="B346"/>
    <hyperlink r:id="rId331" ref="B347"/>
    <hyperlink r:id="rId332" ref="B348"/>
    <hyperlink r:id="rId333" ref="B349"/>
    <hyperlink r:id="rId334" ref="B350"/>
    <hyperlink r:id="rId335" ref="B351"/>
    <hyperlink r:id="rId336" ref="B352"/>
    <hyperlink r:id="rId337" ref="B353"/>
    <hyperlink r:id="rId338" ref="B354"/>
    <hyperlink r:id="rId339" ref="B355"/>
    <hyperlink r:id="rId340" ref="B356"/>
    <hyperlink r:id="rId341" ref="B357"/>
    <hyperlink r:id="rId342" ref="B358"/>
    <hyperlink r:id="rId343" ref="B359"/>
    <hyperlink r:id="rId344" ref="B360"/>
    <hyperlink r:id="rId345" ref="B361"/>
    <hyperlink r:id="rId346" ref="B362"/>
    <hyperlink r:id="rId347" ref="B363"/>
    <hyperlink r:id="rId348" ref="B364"/>
    <hyperlink r:id="rId349" ref="B365"/>
    <hyperlink r:id="rId350" ref="B366"/>
    <hyperlink r:id="rId351" ref="B367"/>
    <hyperlink r:id="rId352" ref="B368"/>
    <hyperlink r:id="rId353" ref="B369"/>
    <hyperlink r:id="rId354" ref="B370"/>
    <hyperlink r:id="rId355" ref="B371"/>
    <hyperlink r:id="rId356" ref="B372"/>
    <hyperlink r:id="rId357" ref="B373"/>
    <hyperlink r:id="rId358" ref="B374"/>
    <hyperlink r:id="rId359" ref="B375"/>
    <hyperlink r:id="rId360" ref="B376"/>
    <hyperlink r:id="rId361" ref="B377"/>
    <hyperlink r:id="rId362" ref="B378"/>
    <hyperlink r:id="rId363" ref="B379"/>
    <hyperlink r:id="rId364" ref="B380"/>
    <hyperlink r:id="rId365" ref="B381"/>
    <hyperlink r:id="rId366" ref="B382"/>
    <hyperlink r:id="rId367" ref="B383"/>
    <hyperlink r:id="rId368" ref="B384"/>
    <hyperlink r:id="rId369" ref="B385"/>
    <hyperlink r:id="rId370" ref="B386"/>
    <hyperlink r:id="rId371" ref="B387"/>
    <hyperlink r:id="rId372" ref="B388"/>
    <hyperlink r:id="rId373" ref="B389"/>
    <hyperlink r:id="rId374" ref="B390"/>
    <hyperlink r:id="rId375" ref="B391"/>
    <hyperlink r:id="rId376" ref="B392"/>
    <hyperlink r:id="rId377" ref="B393"/>
    <hyperlink r:id="rId378" ref="B394"/>
    <hyperlink r:id="rId379" ref="B395"/>
    <hyperlink r:id="rId380" ref="B396"/>
    <hyperlink r:id="rId381" ref="B397"/>
    <hyperlink r:id="rId382" ref="B398"/>
    <hyperlink r:id="rId383" ref="B399"/>
    <hyperlink r:id="rId384" ref="B400"/>
    <hyperlink r:id="rId385" ref="B402"/>
    <hyperlink r:id="rId386" ref="B403"/>
    <hyperlink r:id="rId387" ref="B404"/>
    <hyperlink r:id="rId388" ref="B405"/>
    <hyperlink r:id="rId389" ref="B406"/>
    <hyperlink r:id="rId390" ref="B407"/>
    <hyperlink r:id="rId391" ref="B408"/>
    <hyperlink r:id="rId392" ref="B409"/>
    <hyperlink r:id="rId393" ref="B410"/>
    <hyperlink r:id="rId394" ref="B411"/>
    <hyperlink r:id="rId395" ref="B412"/>
    <hyperlink r:id="rId396" ref="B413"/>
    <hyperlink r:id="rId397" ref="B414"/>
    <hyperlink r:id="rId398" ref="B415"/>
    <hyperlink r:id="rId399" ref="B416"/>
    <hyperlink r:id="rId400" ref="B417"/>
    <hyperlink r:id="rId401" ref="B419"/>
    <hyperlink r:id="rId402" ref="B420"/>
    <hyperlink r:id="rId403" ref="B422"/>
    <hyperlink r:id="rId404" ref="B423"/>
    <hyperlink r:id="rId405" ref="B424"/>
    <hyperlink r:id="rId406" ref="B425"/>
    <hyperlink r:id="rId407" ref="B426"/>
    <hyperlink r:id="rId408" ref="B427"/>
    <hyperlink r:id="rId409" ref="B428"/>
    <hyperlink r:id="rId410" ref="B429"/>
    <hyperlink r:id="rId411" ref="B430"/>
    <hyperlink r:id="rId412" ref="B431"/>
    <hyperlink r:id="rId413" ref="B432"/>
    <hyperlink r:id="rId414" ref="B433"/>
    <hyperlink r:id="rId415" ref="B434"/>
    <hyperlink r:id="rId416" ref="B435"/>
    <hyperlink r:id="rId417" ref="B436"/>
    <hyperlink r:id="rId418" ref="B437"/>
    <hyperlink r:id="rId419" ref="B438"/>
    <hyperlink r:id="rId420" ref="B439"/>
    <hyperlink r:id="rId421" ref="B440"/>
    <hyperlink r:id="rId422" ref="B441"/>
    <hyperlink r:id="rId423" ref="B442"/>
    <hyperlink r:id="rId424" ref="B443"/>
    <hyperlink r:id="rId425" ref="B444"/>
    <hyperlink r:id="rId426" ref="B445"/>
    <hyperlink r:id="rId427" ref="B446"/>
    <hyperlink r:id="rId428" ref="B447"/>
    <hyperlink r:id="rId429" ref="B448"/>
    <hyperlink r:id="rId430" ref="B449"/>
    <hyperlink r:id="rId431" ref="B450"/>
    <hyperlink r:id="rId432" ref="B451"/>
    <hyperlink r:id="rId433" ref="B452"/>
    <hyperlink r:id="rId434" ref="B453"/>
    <hyperlink r:id="rId435" ref="B454"/>
    <hyperlink r:id="rId436" ref="B455"/>
    <hyperlink r:id="rId437" ref="B456"/>
    <hyperlink r:id="rId438" ref="B457"/>
    <hyperlink r:id="rId439" ref="B458"/>
    <hyperlink r:id="rId440" ref="B459"/>
    <hyperlink r:id="rId441" ref="B460"/>
    <hyperlink r:id="rId442" ref="B461"/>
    <hyperlink r:id="rId443" ref="B462"/>
    <hyperlink r:id="rId444" ref="B463"/>
    <hyperlink r:id="rId445" ref="B464"/>
    <hyperlink r:id="rId446" ref="B465"/>
    <hyperlink r:id="rId447" ref="B466"/>
    <hyperlink r:id="rId448" ref="B467"/>
    <hyperlink r:id="rId449" ref="B468"/>
    <hyperlink r:id="rId450" ref="B469"/>
    <hyperlink r:id="rId451" ref="B470"/>
    <hyperlink r:id="rId452" ref="B471"/>
    <hyperlink r:id="rId453" ref="B472"/>
    <hyperlink r:id="rId454" ref="B473"/>
    <hyperlink r:id="rId455" ref="B474"/>
    <hyperlink r:id="rId456" ref="B475"/>
    <hyperlink r:id="rId457" ref="B476"/>
    <hyperlink r:id="rId458" ref="B477"/>
    <hyperlink r:id="rId459" ref="B479"/>
    <hyperlink r:id="rId460" ref="B480"/>
    <hyperlink r:id="rId461" ref="B481"/>
    <hyperlink r:id="rId462" ref="B482"/>
    <hyperlink r:id="rId463" ref="B484"/>
    <hyperlink r:id="rId464" ref="B485"/>
    <hyperlink r:id="rId465" ref="B486"/>
    <hyperlink r:id="rId466" ref="B487"/>
    <hyperlink r:id="rId467" ref="B488"/>
    <hyperlink r:id="rId468" ref="B489"/>
    <hyperlink r:id="rId469" ref="B490"/>
    <hyperlink r:id="rId470" ref="B491"/>
    <hyperlink r:id="rId471" ref="B492"/>
    <hyperlink r:id="rId472" ref="B493"/>
    <hyperlink r:id="rId473" ref="B494"/>
    <hyperlink r:id="rId474" ref="B495"/>
    <hyperlink r:id="rId475" ref="B496"/>
    <hyperlink r:id="rId476" ref="B497"/>
    <hyperlink r:id="rId477" ref="B499"/>
    <hyperlink r:id="rId478" ref="B500"/>
    <hyperlink r:id="rId479" ref="B501"/>
    <hyperlink r:id="rId480" ref="B502"/>
    <hyperlink r:id="rId481" ref="B503"/>
    <hyperlink r:id="rId482" ref="B504"/>
    <hyperlink r:id="rId483" ref="B505"/>
    <hyperlink r:id="rId484" ref="B506"/>
    <hyperlink r:id="rId485" ref="B507"/>
    <hyperlink r:id="rId486" ref="B508"/>
    <hyperlink r:id="rId487" ref="B509"/>
    <hyperlink r:id="rId488" ref="B510"/>
    <hyperlink r:id="rId489" ref="B511"/>
    <hyperlink r:id="rId490" ref="B512"/>
    <hyperlink r:id="rId491" ref="B513"/>
    <hyperlink r:id="rId492" ref="B514"/>
    <hyperlink r:id="rId493" ref="B515"/>
    <hyperlink r:id="rId494" ref="B516"/>
    <hyperlink r:id="rId495" ref="B517"/>
    <hyperlink r:id="rId496" ref="B518"/>
    <hyperlink r:id="rId497" ref="B519"/>
    <hyperlink r:id="rId498" ref="B521"/>
    <hyperlink r:id="rId499" ref="B522"/>
    <hyperlink r:id="rId500" ref="B523"/>
    <hyperlink r:id="rId501" ref="B524"/>
    <hyperlink r:id="rId502" ref="B526"/>
    <hyperlink r:id="rId503" ref="B527"/>
    <hyperlink r:id="rId504" ref="B528"/>
    <hyperlink r:id="rId505" ref="B529"/>
    <hyperlink r:id="rId506" ref="B530"/>
    <hyperlink r:id="rId507" ref="B531"/>
    <hyperlink r:id="rId508" ref="B532"/>
    <hyperlink r:id="rId509" ref="B533"/>
    <hyperlink r:id="rId510" ref="B534"/>
    <hyperlink r:id="rId511" ref="B535"/>
    <hyperlink r:id="rId512" ref="B536"/>
    <hyperlink r:id="rId513" ref="B537"/>
    <hyperlink r:id="rId514" ref="B538"/>
    <hyperlink r:id="rId515" ref="B539"/>
    <hyperlink r:id="rId516" ref="B540"/>
    <hyperlink r:id="rId517" ref="B541"/>
    <hyperlink r:id="rId518" ref="B542"/>
    <hyperlink r:id="rId519" ref="B543"/>
    <hyperlink r:id="rId520" ref="B544"/>
    <hyperlink r:id="rId521" ref="B545"/>
    <hyperlink r:id="rId522" ref="B546"/>
    <hyperlink r:id="rId523" ref="B547"/>
    <hyperlink r:id="rId524" ref="B548"/>
    <hyperlink r:id="rId525" ref="B549"/>
    <hyperlink r:id="rId526" ref="B550"/>
    <hyperlink r:id="rId527" ref="B551"/>
    <hyperlink r:id="rId528" ref="B553"/>
    <hyperlink r:id="rId529" ref="B554"/>
    <hyperlink r:id="rId530" ref="B555"/>
    <hyperlink r:id="rId531" ref="B556"/>
    <hyperlink r:id="rId532" ref="B557"/>
    <hyperlink r:id="rId533" ref="B559"/>
    <hyperlink r:id="rId534" ref="B560"/>
    <hyperlink r:id="rId535" ref="B561"/>
    <hyperlink r:id="rId536" ref="B562"/>
    <hyperlink r:id="rId537" ref="B563"/>
    <hyperlink r:id="rId538" ref="B564"/>
    <hyperlink r:id="rId539" ref="B565"/>
    <hyperlink r:id="rId540" ref="B566"/>
    <hyperlink r:id="rId541" ref="B568"/>
    <hyperlink r:id="rId542" ref="B569"/>
    <hyperlink r:id="rId543" ref="B570"/>
    <hyperlink r:id="rId544" ref="B571"/>
    <hyperlink r:id="rId545" ref="B572"/>
    <hyperlink r:id="rId546" ref="B573"/>
    <hyperlink r:id="rId547" ref="B574"/>
    <hyperlink r:id="rId548" ref="B575"/>
    <hyperlink r:id="rId549" ref="B576"/>
    <hyperlink r:id="rId550" ref="B577"/>
    <hyperlink r:id="rId551" ref="B578"/>
    <hyperlink r:id="rId552" ref="B579"/>
    <hyperlink r:id="rId553" ref="B580"/>
    <hyperlink r:id="rId554" ref="B581"/>
    <hyperlink r:id="rId555" ref="B582"/>
    <hyperlink r:id="rId556" ref="B583"/>
  </hyperlinks>
  <drawing r:id="rId557"/>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3946</v>
      </c>
      <c r="B1" s="2" t="s">
        <v>13745</v>
      </c>
      <c r="C1" s="2" t="s">
        <v>1266</v>
      </c>
      <c r="D1" s="30" t="s">
        <v>12712</v>
      </c>
      <c r="E1" s="2" t="s">
        <v>13746</v>
      </c>
      <c r="F1" s="2" t="s">
        <v>13747</v>
      </c>
      <c r="G1" s="2" t="s">
        <v>12709</v>
      </c>
      <c r="H1" s="2" t="s">
        <v>1265</v>
      </c>
      <c r="I1" s="2" t="s">
        <v>13748</v>
      </c>
    </row>
    <row r="2" hidden="1">
      <c r="A2" s="2" t="s">
        <v>3997</v>
      </c>
      <c r="B2" s="2" t="s">
        <v>13749</v>
      </c>
      <c r="C2" s="2" t="s">
        <v>647</v>
      </c>
      <c r="D2" s="2" t="s">
        <v>13750</v>
      </c>
      <c r="E2" s="2" t="s">
        <v>1268</v>
      </c>
      <c r="F2" s="2" t="s">
        <v>647</v>
      </c>
    </row>
    <row r="3" hidden="1">
      <c r="A3" s="2" t="s">
        <v>13751</v>
      </c>
      <c r="B3" s="2">
        <v>2010.0</v>
      </c>
      <c r="C3" s="2" t="s">
        <v>3396</v>
      </c>
      <c r="D3" s="2" t="s">
        <v>13752</v>
      </c>
      <c r="E3" s="2" t="s">
        <v>13753</v>
      </c>
      <c r="F3" s="7" t="s">
        <v>13754</v>
      </c>
      <c r="G3" s="2" t="s">
        <v>647</v>
      </c>
      <c r="H3" s="2" t="s">
        <v>13755</v>
      </c>
      <c r="I3" s="2" t="s">
        <v>13753</v>
      </c>
    </row>
    <row r="4">
      <c r="B4" s="2">
        <v>2007.0</v>
      </c>
      <c r="C4" s="2" t="s">
        <v>3396</v>
      </c>
      <c r="D4" s="2" t="s">
        <v>13756</v>
      </c>
      <c r="E4" s="2" t="s">
        <v>13757</v>
      </c>
      <c r="F4" s="7" t="s">
        <v>13758</v>
      </c>
      <c r="G4" s="7" t="s">
        <v>616</v>
      </c>
      <c r="H4" s="2" t="s">
        <v>13759</v>
      </c>
      <c r="I4" s="2" t="s">
        <v>13757</v>
      </c>
    </row>
    <row r="5" hidden="1">
      <c r="B5" s="2">
        <v>1996.0</v>
      </c>
      <c r="C5" s="2" t="s">
        <v>3396</v>
      </c>
      <c r="D5" s="2" t="s">
        <v>13760</v>
      </c>
      <c r="E5" s="2" t="s">
        <v>13761</v>
      </c>
      <c r="F5" s="7" t="s">
        <v>13762</v>
      </c>
      <c r="G5" s="2" t="s">
        <v>647</v>
      </c>
      <c r="H5" s="2" t="s">
        <v>13763</v>
      </c>
      <c r="I5" s="2" t="s">
        <v>13761</v>
      </c>
    </row>
    <row r="6" hidden="1">
      <c r="B6" s="2">
        <v>1998.0</v>
      </c>
      <c r="C6" s="2" t="s">
        <v>3396</v>
      </c>
      <c r="D6" s="2" t="s">
        <v>13764</v>
      </c>
      <c r="E6" s="2" t="s">
        <v>13765</v>
      </c>
      <c r="F6" s="7" t="s">
        <v>13766</v>
      </c>
      <c r="G6" s="2" t="s">
        <v>647</v>
      </c>
      <c r="H6" s="2" t="s">
        <v>13763</v>
      </c>
      <c r="I6" s="2" t="s">
        <v>13765</v>
      </c>
    </row>
    <row r="7" hidden="1">
      <c r="B7" s="2">
        <v>2013.0</v>
      </c>
      <c r="C7" s="2" t="s">
        <v>3396</v>
      </c>
      <c r="D7" s="2" t="s">
        <v>13767</v>
      </c>
      <c r="E7" s="2" t="s">
        <v>13768</v>
      </c>
      <c r="F7" s="7" t="s">
        <v>13769</v>
      </c>
      <c r="G7" s="7" t="s">
        <v>13770</v>
      </c>
      <c r="H7" s="2" t="s">
        <v>13759</v>
      </c>
      <c r="I7" s="2" t="s">
        <v>13768</v>
      </c>
    </row>
    <row r="8">
      <c r="B8" s="2">
        <v>2014.0</v>
      </c>
      <c r="C8" s="2" t="s">
        <v>3396</v>
      </c>
      <c r="D8" s="2" t="s">
        <v>13756</v>
      </c>
      <c r="E8" s="2" t="s">
        <v>13771</v>
      </c>
      <c r="F8" s="7" t="s">
        <v>13772</v>
      </c>
      <c r="G8" s="7" t="s">
        <v>617</v>
      </c>
      <c r="H8" s="2" t="s">
        <v>13759</v>
      </c>
      <c r="I8" s="2" t="s">
        <v>13771</v>
      </c>
    </row>
    <row r="9">
      <c r="B9" s="2">
        <v>2021.0</v>
      </c>
      <c r="C9" s="2" t="s">
        <v>3396</v>
      </c>
      <c r="D9" s="2" t="s">
        <v>13756</v>
      </c>
      <c r="E9" s="2" t="s">
        <v>13773</v>
      </c>
      <c r="F9" s="7" t="s">
        <v>13774</v>
      </c>
      <c r="G9" s="7" t="s">
        <v>618</v>
      </c>
      <c r="H9" s="2" t="s">
        <v>13775</v>
      </c>
      <c r="I9" s="2" t="s">
        <v>13773</v>
      </c>
    </row>
    <row r="10">
      <c r="B10" s="2">
        <v>2024.0</v>
      </c>
      <c r="C10" s="2" t="s">
        <v>3396</v>
      </c>
      <c r="D10" s="2" t="s">
        <v>13756</v>
      </c>
      <c r="E10" s="2" t="s">
        <v>13776</v>
      </c>
      <c r="F10" s="7" t="s">
        <v>13777</v>
      </c>
      <c r="G10" s="7" t="s">
        <v>619</v>
      </c>
      <c r="H10" s="2" t="s">
        <v>13778</v>
      </c>
      <c r="I10" s="2" t="s">
        <v>13776</v>
      </c>
    </row>
    <row r="11" hidden="1">
      <c r="B11" s="2">
        <v>2007.0</v>
      </c>
      <c r="C11" s="2" t="s">
        <v>3396</v>
      </c>
      <c r="D11" s="2" t="s">
        <v>13779</v>
      </c>
      <c r="E11" s="2" t="s">
        <v>13780</v>
      </c>
      <c r="F11" s="7" t="s">
        <v>13781</v>
      </c>
      <c r="G11" s="2" t="s">
        <v>647</v>
      </c>
      <c r="H11" s="2" t="s">
        <v>13775</v>
      </c>
      <c r="I11" s="2" t="s">
        <v>13780</v>
      </c>
    </row>
    <row r="12" hidden="1">
      <c r="B12" s="2">
        <v>2005.0</v>
      </c>
      <c r="C12" s="2" t="s">
        <v>3396</v>
      </c>
      <c r="D12" s="2" t="s">
        <v>13782</v>
      </c>
      <c r="E12" s="2" t="s">
        <v>13783</v>
      </c>
      <c r="F12" s="7" t="s">
        <v>13784</v>
      </c>
      <c r="G12" s="7" t="s">
        <v>13785</v>
      </c>
      <c r="H12" s="2" t="s">
        <v>13763</v>
      </c>
      <c r="I12" s="2" t="s">
        <v>13783</v>
      </c>
    </row>
    <row r="13" hidden="1">
      <c r="B13" s="2">
        <v>2014.0</v>
      </c>
      <c r="C13" s="2" t="s">
        <v>3396</v>
      </c>
      <c r="D13" s="2" t="s">
        <v>13786</v>
      </c>
      <c r="E13" s="2" t="s">
        <v>13787</v>
      </c>
      <c r="F13" s="7" t="s">
        <v>13788</v>
      </c>
      <c r="G13" s="7" t="s">
        <v>13789</v>
      </c>
      <c r="H13" s="2" t="s">
        <v>13775</v>
      </c>
      <c r="I13" s="2" t="s">
        <v>13787</v>
      </c>
    </row>
    <row r="14" hidden="1">
      <c r="B14" s="2">
        <v>2008.0</v>
      </c>
      <c r="C14" s="2" t="s">
        <v>3396</v>
      </c>
      <c r="D14" s="2" t="s">
        <v>13790</v>
      </c>
      <c r="E14" s="2" t="s">
        <v>13791</v>
      </c>
      <c r="F14" s="7" t="s">
        <v>13792</v>
      </c>
      <c r="G14" s="7" t="s">
        <v>13793</v>
      </c>
      <c r="H14" s="2" t="s">
        <v>13759</v>
      </c>
      <c r="I14" s="2" t="s">
        <v>13791</v>
      </c>
    </row>
    <row r="15" hidden="1">
      <c r="B15" s="2">
        <v>2018.0</v>
      </c>
      <c r="C15" s="2" t="s">
        <v>3396</v>
      </c>
      <c r="D15" s="2" t="s">
        <v>13794</v>
      </c>
      <c r="E15" s="2" t="s">
        <v>13783</v>
      </c>
      <c r="F15" s="7" t="s">
        <v>13795</v>
      </c>
      <c r="G15" s="2" t="s">
        <v>647</v>
      </c>
      <c r="H15" s="2" t="s">
        <v>13775</v>
      </c>
      <c r="I15" s="2" t="s">
        <v>13796</v>
      </c>
    </row>
    <row r="16" hidden="1">
      <c r="A16" s="7" t="s">
        <v>13797</v>
      </c>
      <c r="B16" s="2">
        <v>1999.0</v>
      </c>
      <c r="C16" s="2" t="s">
        <v>3396</v>
      </c>
      <c r="D16" s="2" t="s">
        <v>13798</v>
      </c>
      <c r="E16" s="2" t="s">
        <v>13799</v>
      </c>
      <c r="F16" s="7" t="s">
        <v>13800</v>
      </c>
      <c r="G16" s="2" t="s">
        <v>647</v>
      </c>
      <c r="H16" s="2" t="s">
        <v>13763</v>
      </c>
      <c r="I16" s="2" t="s">
        <v>13799</v>
      </c>
    </row>
    <row r="17" hidden="1">
      <c r="A17" s="2" t="s">
        <v>13801</v>
      </c>
      <c r="B17" s="2">
        <v>2001.0</v>
      </c>
      <c r="C17" s="2" t="s">
        <v>3396</v>
      </c>
      <c r="D17" s="2" t="s">
        <v>13802</v>
      </c>
      <c r="E17" s="2" t="s">
        <v>13803</v>
      </c>
      <c r="F17" s="7" t="s">
        <v>13804</v>
      </c>
      <c r="G17" s="2" t="s">
        <v>647</v>
      </c>
      <c r="H17" s="2" t="s">
        <v>13763</v>
      </c>
      <c r="I17" s="2" t="s">
        <v>13803</v>
      </c>
    </row>
    <row r="18">
      <c r="B18" s="2">
        <v>2014.0</v>
      </c>
      <c r="C18" s="2" t="s">
        <v>3396</v>
      </c>
      <c r="D18" s="2" t="s">
        <v>13756</v>
      </c>
      <c r="E18" s="2" t="s">
        <v>13805</v>
      </c>
      <c r="F18" s="7" t="s">
        <v>13806</v>
      </c>
      <c r="G18" s="7" t="s">
        <v>620</v>
      </c>
      <c r="H18" s="2" t="s">
        <v>13763</v>
      </c>
      <c r="I18" s="2" t="s">
        <v>13805</v>
      </c>
    </row>
    <row r="19">
      <c r="B19" s="2">
        <v>2012.0</v>
      </c>
      <c r="C19" s="2" t="s">
        <v>3396</v>
      </c>
      <c r="D19" s="2" t="s">
        <v>13756</v>
      </c>
      <c r="E19" s="2" t="s">
        <v>13807</v>
      </c>
      <c r="F19" s="7" t="s">
        <v>13808</v>
      </c>
      <c r="G19" s="7" t="s">
        <v>621</v>
      </c>
      <c r="H19" s="2" t="s">
        <v>13763</v>
      </c>
      <c r="I19" s="2" t="s">
        <v>13807</v>
      </c>
    </row>
    <row r="20">
      <c r="B20" s="2">
        <v>2018.0</v>
      </c>
      <c r="C20" s="2" t="s">
        <v>3396</v>
      </c>
      <c r="D20" s="2" t="s">
        <v>13756</v>
      </c>
      <c r="E20" s="2" t="s">
        <v>13809</v>
      </c>
      <c r="F20" s="7" t="s">
        <v>13810</v>
      </c>
      <c r="G20" s="7" t="s">
        <v>622</v>
      </c>
      <c r="H20" s="2" t="s">
        <v>13811</v>
      </c>
      <c r="I20" s="2" t="s">
        <v>13809</v>
      </c>
    </row>
    <row r="21">
      <c r="B21" s="2">
        <v>2019.0</v>
      </c>
      <c r="C21" s="2" t="s">
        <v>3396</v>
      </c>
      <c r="D21" s="2" t="s">
        <v>13756</v>
      </c>
      <c r="E21" s="2" t="s">
        <v>13812</v>
      </c>
      <c r="F21" s="7" t="s">
        <v>13813</v>
      </c>
      <c r="G21" s="7" t="s">
        <v>623</v>
      </c>
      <c r="H21" s="2" t="s">
        <v>13775</v>
      </c>
      <c r="I21" s="2" t="s">
        <v>13812</v>
      </c>
    </row>
    <row r="22">
      <c r="B22" s="2">
        <v>2011.0</v>
      </c>
      <c r="C22" s="2" t="s">
        <v>3396</v>
      </c>
      <c r="D22" s="2" t="s">
        <v>13756</v>
      </c>
      <c r="E22" s="2" t="s">
        <v>13814</v>
      </c>
      <c r="F22" s="7" t="s">
        <v>13815</v>
      </c>
      <c r="G22" s="7" t="s">
        <v>624</v>
      </c>
      <c r="H22" s="2" t="s">
        <v>13763</v>
      </c>
      <c r="I22" s="2" t="s">
        <v>13814</v>
      </c>
    </row>
    <row r="23" hidden="1">
      <c r="B23" s="2">
        <v>2017.0</v>
      </c>
      <c r="C23" s="2" t="s">
        <v>3396</v>
      </c>
      <c r="D23" s="2" t="s">
        <v>13816</v>
      </c>
      <c r="E23" s="2" t="s">
        <v>13817</v>
      </c>
      <c r="F23" s="7" t="s">
        <v>13818</v>
      </c>
      <c r="G23" s="7" t="s">
        <v>13819</v>
      </c>
      <c r="H23" s="2" t="s">
        <v>13775</v>
      </c>
      <c r="I23" s="2" t="s">
        <v>13817</v>
      </c>
    </row>
    <row r="24">
      <c r="B24" s="2">
        <v>2014.0</v>
      </c>
      <c r="C24" s="2" t="s">
        <v>3396</v>
      </c>
      <c r="D24" s="2" t="s">
        <v>13756</v>
      </c>
      <c r="E24" s="2" t="s">
        <v>13820</v>
      </c>
      <c r="F24" s="7" t="s">
        <v>13821</v>
      </c>
      <c r="G24" s="7" t="s">
        <v>625</v>
      </c>
      <c r="H24" s="2" t="s">
        <v>13759</v>
      </c>
      <c r="I24" s="2" t="s">
        <v>13820</v>
      </c>
    </row>
    <row r="25">
      <c r="B25" s="2">
        <v>2019.0</v>
      </c>
      <c r="C25" s="2" t="s">
        <v>3396</v>
      </c>
      <c r="D25" s="2" t="s">
        <v>13756</v>
      </c>
      <c r="E25" s="2" t="s">
        <v>13822</v>
      </c>
      <c r="F25" s="7" t="s">
        <v>13823</v>
      </c>
      <c r="G25" s="7" t="s">
        <v>626</v>
      </c>
      <c r="H25" s="2" t="s">
        <v>13775</v>
      </c>
      <c r="I25" s="2" t="s">
        <v>13822</v>
      </c>
    </row>
    <row r="26" hidden="1">
      <c r="B26" s="2">
        <v>1997.0</v>
      </c>
      <c r="C26" s="2" t="s">
        <v>3396</v>
      </c>
      <c r="D26" s="2" t="s">
        <v>13824</v>
      </c>
      <c r="E26" s="2" t="s">
        <v>13825</v>
      </c>
      <c r="F26" s="7" t="s">
        <v>13826</v>
      </c>
      <c r="G26" s="2" t="s">
        <v>647</v>
      </c>
      <c r="H26" s="2" t="s">
        <v>13763</v>
      </c>
      <c r="I26" s="2" t="s">
        <v>13825</v>
      </c>
    </row>
    <row r="27">
      <c r="B27" s="2">
        <v>2024.0</v>
      </c>
      <c r="C27" s="2" t="s">
        <v>3396</v>
      </c>
      <c r="D27" s="2" t="s">
        <v>13756</v>
      </c>
      <c r="E27" s="2" t="s">
        <v>13827</v>
      </c>
      <c r="F27" s="7" t="s">
        <v>13828</v>
      </c>
      <c r="G27" s="7" t="s">
        <v>627</v>
      </c>
      <c r="H27" s="2" t="s">
        <v>13775</v>
      </c>
      <c r="I27" s="2" t="s">
        <v>13827</v>
      </c>
    </row>
    <row r="28" hidden="1">
      <c r="B28" s="2">
        <v>2008.0</v>
      </c>
      <c r="C28" s="2" t="s">
        <v>3396</v>
      </c>
      <c r="D28" s="2" t="s">
        <v>13829</v>
      </c>
      <c r="E28" s="2" t="s">
        <v>13830</v>
      </c>
      <c r="F28" s="7" t="s">
        <v>13831</v>
      </c>
      <c r="G28" s="7" t="s">
        <v>13832</v>
      </c>
      <c r="H28" s="2" t="s">
        <v>13811</v>
      </c>
      <c r="I28" s="2" t="s">
        <v>13830</v>
      </c>
    </row>
    <row r="29" hidden="1">
      <c r="B29" s="2">
        <v>1994.0</v>
      </c>
      <c r="C29" s="2" t="s">
        <v>3396</v>
      </c>
      <c r="D29" s="2" t="s">
        <v>13833</v>
      </c>
      <c r="E29" s="2" t="s">
        <v>13834</v>
      </c>
      <c r="F29" s="7" t="s">
        <v>13835</v>
      </c>
      <c r="G29" s="2" t="s">
        <v>647</v>
      </c>
      <c r="H29" s="2" t="s">
        <v>13811</v>
      </c>
      <c r="I29" s="2" t="s">
        <v>13834</v>
      </c>
    </row>
    <row r="30" hidden="1">
      <c r="A30" s="2" t="s">
        <v>13836</v>
      </c>
      <c r="B30" s="2">
        <v>1994.0</v>
      </c>
      <c r="C30" s="2" t="s">
        <v>3396</v>
      </c>
      <c r="D30" s="2" t="s">
        <v>13837</v>
      </c>
      <c r="E30" s="2" t="s">
        <v>13838</v>
      </c>
      <c r="F30" s="7" t="s">
        <v>13839</v>
      </c>
      <c r="G30" s="2" t="s">
        <v>647</v>
      </c>
      <c r="H30" s="2" t="s">
        <v>13811</v>
      </c>
      <c r="I30" s="2" t="s">
        <v>13838</v>
      </c>
    </row>
    <row r="31" hidden="1">
      <c r="B31" s="2">
        <v>1997.0</v>
      </c>
      <c r="C31" s="2" t="s">
        <v>3396</v>
      </c>
      <c r="D31" s="2" t="s">
        <v>13840</v>
      </c>
      <c r="E31" s="2" t="s">
        <v>13841</v>
      </c>
      <c r="F31" s="7" t="s">
        <v>13842</v>
      </c>
      <c r="G31" s="2" t="s">
        <v>647</v>
      </c>
      <c r="H31" s="2" t="s">
        <v>13763</v>
      </c>
      <c r="I31" s="2" t="s">
        <v>13841</v>
      </c>
    </row>
    <row r="32" hidden="1">
      <c r="B32" s="2">
        <v>2015.0</v>
      </c>
      <c r="C32" s="2" t="s">
        <v>3396</v>
      </c>
      <c r="D32" s="2" t="s">
        <v>13843</v>
      </c>
      <c r="E32" s="2" t="s">
        <v>13844</v>
      </c>
      <c r="F32" s="7" t="s">
        <v>13845</v>
      </c>
      <c r="G32" s="2" t="s">
        <v>647</v>
      </c>
      <c r="H32" s="2" t="s">
        <v>13775</v>
      </c>
      <c r="I32" s="2" t="s">
        <v>13844</v>
      </c>
    </row>
    <row r="33" hidden="1">
      <c r="A33" s="2" t="s">
        <v>13846</v>
      </c>
      <c r="B33" s="2">
        <v>1995.0</v>
      </c>
      <c r="C33" s="2" t="s">
        <v>3396</v>
      </c>
      <c r="D33" s="2" t="s">
        <v>13847</v>
      </c>
      <c r="E33" s="2" t="s">
        <v>13848</v>
      </c>
      <c r="F33" s="7" t="s">
        <v>13849</v>
      </c>
      <c r="G33" s="2" t="s">
        <v>647</v>
      </c>
      <c r="H33" s="2" t="s">
        <v>13775</v>
      </c>
      <c r="I33" s="2" t="s">
        <v>13848</v>
      </c>
    </row>
    <row r="34" hidden="1">
      <c r="B34" s="2">
        <v>2016.0</v>
      </c>
      <c r="C34" s="2" t="s">
        <v>3396</v>
      </c>
      <c r="D34" s="2" t="s">
        <v>13850</v>
      </c>
      <c r="E34" s="2" t="s">
        <v>13851</v>
      </c>
      <c r="F34" s="7" t="s">
        <v>13852</v>
      </c>
      <c r="G34" s="7" t="s">
        <v>13853</v>
      </c>
      <c r="H34" s="2" t="s">
        <v>13775</v>
      </c>
      <c r="I34" s="2" t="s">
        <v>13851</v>
      </c>
    </row>
    <row r="35" hidden="1">
      <c r="A35" s="2" t="s">
        <v>13854</v>
      </c>
      <c r="B35" s="2">
        <v>2009.0</v>
      </c>
      <c r="C35" s="2" t="s">
        <v>3396</v>
      </c>
      <c r="D35" s="2" t="s">
        <v>13855</v>
      </c>
      <c r="E35" s="2" t="s">
        <v>13856</v>
      </c>
      <c r="F35" s="7" t="s">
        <v>13857</v>
      </c>
      <c r="G35" s="2" t="s">
        <v>647</v>
      </c>
      <c r="H35" s="2" t="s">
        <v>13763</v>
      </c>
      <c r="I35" s="2" t="s">
        <v>13856</v>
      </c>
    </row>
    <row r="36">
      <c r="B36" s="2">
        <v>2024.0</v>
      </c>
      <c r="C36" s="2" t="s">
        <v>3396</v>
      </c>
      <c r="D36" s="2" t="s">
        <v>13756</v>
      </c>
      <c r="E36" s="2" t="s">
        <v>13858</v>
      </c>
      <c r="F36" s="7" t="s">
        <v>13859</v>
      </c>
      <c r="G36" s="7" t="s">
        <v>628</v>
      </c>
      <c r="H36" s="2" t="s">
        <v>13811</v>
      </c>
      <c r="I36" s="2" t="s">
        <v>13858</v>
      </c>
    </row>
    <row r="37">
      <c r="B37" s="2">
        <v>2021.0</v>
      </c>
      <c r="C37" s="2" t="s">
        <v>3396</v>
      </c>
      <c r="D37" s="2" t="s">
        <v>13756</v>
      </c>
      <c r="E37" s="2" t="s">
        <v>13860</v>
      </c>
      <c r="F37" s="7" t="s">
        <v>13861</v>
      </c>
      <c r="G37" s="7" t="s">
        <v>629</v>
      </c>
      <c r="H37" s="2" t="s">
        <v>13763</v>
      </c>
      <c r="I37" s="2" t="s">
        <v>13860</v>
      </c>
    </row>
    <row r="38">
      <c r="B38" s="2">
        <v>2019.0</v>
      </c>
      <c r="C38" s="2" t="s">
        <v>3396</v>
      </c>
      <c r="D38" s="2" t="s">
        <v>13756</v>
      </c>
      <c r="E38" s="2" t="s">
        <v>13862</v>
      </c>
      <c r="F38" s="7" t="s">
        <v>13863</v>
      </c>
      <c r="G38" s="7" t="s">
        <v>630</v>
      </c>
      <c r="H38" s="2" t="s">
        <v>13763</v>
      </c>
      <c r="I38" s="2" t="s">
        <v>13862</v>
      </c>
    </row>
    <row r="39" hidden="1">
      <c r="B39" s="2">
        <v>1983.0</v>
      </c>
      <c r="C39" s="2" t="s">
        <v>3396</v>
      </c>
      <c r="D39" s="2" t="s">
        <v>13864</v>
      </c>
      <c r="E39" s="2" t="s">
        <v>13865</v>
      </c>
      <c r="F39" s="7" t="s">
        <v>13866</v>
      </c>
      <c r="G39" s="7" t="s">
        <v>13867</v>
      </c>
      <c r="H39" s="2" t="s">
        <v>13763</v>
      </c>
      <c r="I39" s="2" t="s">
        <v>13865</v>
      </c>
    </row>
    <row r="40" hidden="1">
      <c r="B40" s="2">
        <v>2000.0</v>
      </c>
      <c r="C40" s="2" t="s">
        <v>3396</v>
      </c>
      <c r="D40" s="2" t="s">
        <v>13868</v>
      </c>
      <c r="E40" s="2" t="s">
        <v>13869</v>
      </c>
      <c r="F40" s="7" t="s">
        <v>13870</v>
      </c>
      <c r="G40" s="2" t="s">
        <v>647</v>
      </c>
      <c r="H40" s="2" t="s">
        <v>13775</v>
      </c>
      <c r="I40" s="2" t="s">
        <v>13869</v>
      </c>
    </row>
    <row r="41" hidden="1">
      <c r="B41" s="2">
        <v>2009.0</v>
      </c>
      <c r="C41" s="2" t="s">
        <v>3396</v>
      </c>
      <c r="D41" s="2" t="s">
        <v>13871</v>
      </c>
      <c r="E41" s="2" t="s">
        <v>13872</v>
      </c>
      <c r="F41" s="7" t="s">
        <v>13873</v>
      </c>
      <c r="G41" s="7" t="s">
        <v>13874</v>
      </c>
      <c r="H41" s="2" t="s">
        <v>13763</v>
      </c>
      <c r="I41" s="2" t="s">
        <v>13872</v>
      </c>
    </row>
    <row r="42" hidden="1">
      <c r="B42" s="2">
        <v>2020.0</v>
      </c>
      <c r="C42" s="2" t="s">
        <v>3396</v>
      </c>
      <c r="D42" s="2" t="s">
        <v>13875</v>
      </c>
      <c r="E42" s="2" t="s">
        <v>13876</v>
      </c>
      <c r="F42" s="7" t="s">
        <v>13877</v>
      </c>
      <c r="G42" s="7" t="s">
        <v>13878</v>
      </c>
      <c r="H42" s="2" t="s">
        <v>13775</v>
      </c>
      <c r="I42" s="2" t="s">
        <v>13876</v>
      </c>
    </row>
    <row r="43" hidden="1">
      <c r="A43" s="2" t="s">
        <v>13879</v>
      </c>
      <c r="B43" s="2">
        <v>2005.0</v>
      </c>
      <c r="C43" s="2" t="s">
        <v>3396</v>
      </c>
      <c r="D43" s="2" t="s">
        <v>13880</v>
      </c>
      <c r="E43" s="2" t="s">
        <v>13881</v>
      </c>
      <c r="F43" s="7" t="s">
        <v>13882</v>
      </c>
      <c r="G43" s="2" t="s">
        <v>647</v>
      </c>
      <c r="H43" s="2" t="s">
        <v>13763</v>
      </c>
      <c r="I43" s="2" t="s">
        <v>13881</v>
      </c>
    </row>
    <row r="44" hidden="1">
      <c r="B44" s="2">
        <v>2008.0</v>
      </c>
      <c r="C44" s="2" t="s">
        <v>3396</v>
      </c>
      <c r="D44" s="2" t="s">
        <v>13883</v>
      </c>
      <c r="E44" s="2" t="s">
        <v>13884</v>
      </c>
      <c r="F44" s="7" t="s">
        <v>13885</v>
      </c>
      <c r="G44" s="7" t="s">
        <v>13886</v>
      </c>
      <c r="H44" s="2" t="s">
        <v>13775</v>
      </c>
      <c r="I44" s="2" t="s">
        <v>13884</v>
      </c>
    </row>
    <row r="45" hidden="1">
      <c r="A45" s="2" t="s">
        <v>13887</v>
      </c>
      <c r="B45" s="2">
        <v>1998.0</v>
      </c>
      <c r="C45" s="2" t="s">
        <v>3396</v>
      </c>
      <c r="D45" s="2" t="s">
        <v>13888</v>
      </c>
      <c r="E45" s="2" t="s">
        <v>13889</v>
      </c>
      <c r="F45" s="7" t="s">
        <v>13890</v>
      </c>
      <c r="G45" s="2" t="s">
        <v>647</v>
      </c>
      <c r="H45" s="2" t="s">
        <v>13763</v>
      </c>
      <c r="I45" s="2" t="s">
        <v>13889</v>
      </c>
    </row>
    <row r="46">
      <c r="B46" s="2">
        <v>2022.0</v>
      </c>
      <c r="C46" s="2" t="s">
        <v>3396</v>
      </c>
      <c r="D46" s="2" t="s">
        <v>13756</v>
      </c>
      <c r="E46" s="2" t="s">
        <v>13891</v>
      </c>
      <c r="F46" s="7" t="s">
        <v>13892</v>
      </c>
      <c r="G46" s="7" t="s">
        <v>631</v>
      </c>
      <c r="H46" s="2" t="s">
        <v>13763</v>
      </c>
      <c r="I46" s="2" t="s">
        <v>13891</v>
      </c>
    </row>
    <row r="47">
      <c r="B47" s="2">
        <v>2019.0</v>
      </c>
      <c r="C47" s="2" t="s">
        <v>3396</v>
      </c>
      <c r="D47" s="2" t="s">
        <v>13756</v>
      </c>
      <c r="E47" s="2" t="s">
        <v>13893</v>
      </c>
      <c r="F47" s="7" t="s">
        <v>13894</v>
      </c>
      <c r="G47" s="7" t="s">
        <v>632</v>
      </c>
      <c r="H47" s="2" t="s">
        <v>13763</v>
      </c>
      <c r="I47" s="2" t="s">
        <v>13893</v>
      </c>
    </row>
    <row r="48" hidden="1">
      <c r="B48" s="2">
        <v>1990.0</v>
      </c>
      <c r="C48" s="2" t="s">
        <v>3396</v>
      </c>
      <c r="D48" s="2" t="s">
        <v>13895</v>
      </c>
      <c r="E48" s="2" t="s">
        <v>13896</v>
      </c>
      <c r="F48" s="7" t="s">
        <v>13897</v>
      </c>
      <c r="G48" s="2" t="s">
        <v>647</v>
      </c>
      <c r="H48" s="2" t="s">
        <v>13763</v>
      </c>
      <c r="I48" s="2" t="s">
        <v>13896</v>
      </c>
    </row>
    <row r="49" hidden="1">
      <c r="A49" s="2" t="s">
        <v>13898</v>
      </c>
      <c r="B49" s="2">
        <v>1989.0</v>
      </c>
      <c r="C49" s="2" t="s">
        <v>3396</v>
      </c>
      <c r="D49" s="2" t="s">
        <v>13899</v>
      </c>
      <c r="E49" s="2" t="s">
        <v>13900</v>
      </c>
      <c r="F49" s="7" t="s">
        <v>13901</v>
      </c>
      <c r="G49" s="2" t="s">
        <v>647</v>
      </c>
      <c r="H49" s="2" t="s">
        <v>13775</v>
      </c>
      <c r="I49" s="2" t="s">
        <v>13900</v>
      </c>
    </row>
    <row r="50">
      <c r="B50" s="2">
        <v>2022.0</v>
      </c>
      <c r="C50" s="2" t="s">
        <v>3396</v>
      </c>
      <c r="D50" s="2" t="s">
        <v>13756</v>
      </c>
      <c r="E50" s="2" t="s">
        <v>13902</v>
      </c>
      <c r="F50" s="7" t="s">
        <v>13903</v>
      </c>
      <c r="G50" s="7" t="s">
        <v>633</v>
      </c>
      <c r="H50" s="2" t="s">
        <v>13763</v>
      </c>
      <c r="I50" s="2" t="s">
        <v>13902</v>
      </c>
    </row>
    <row r="51" hidden="1">
      <c r="A51" s="2" t="s">
        <v>13904</v>
      </c>
      <c r="B51" s="2">
        <v>1998.0</v>
      </c>
      <c r="C51" s="2" t="s">
        <v>3396</v>
      </c>
      <c r="D51" s="2" t="s">
        <v>13905</v>
      </c>
      <c r="E51" s="2" t="s">
        <v>13906</v>
      </c>
      <c r="F51" s="7" t="s">
        <v>13907</v>
      </c>
      <c r="G51" s="2" t="s">
        <v>647</v>
      </c>
      <c r="H51" s="2" t="s">
        <v>13763</v>
      </c>
      <c r="I51" s="2" t="s">
        <v>13906</v>
      </c>
    </row>
    <row r="52">
      <c r="B52" s="2">
        <v>2020.0</v>
      </c>
      <c r="C52" s="2" t="s">
        <v>3396</v>
      </c>
      <c r="D52" s="2" t="s">
        <v>13756</v>
      </c>
      <c r="E52" s="2" t="s">
        <v>13908</v>
      </c>
      <c r="F52" s="7" t="s">
        <v>13909</v>
      </c>
      <c r="G52" s="7" t="s">
        <v>634</v>
      </c>
      <c r="H52" s="2" t="s">
        <v>13763</v>
      </c>
      <c r="I52" s="2" t="s">
        <v>13908</v>
      </c>
    </row>
    <row r="53" hidden="1">
      <c r="B53" s="2">
        <v>2006.0</v>
      </c>
      <c r="C53" s="2" t="s">
        <v>3396</v>
      </c>
      <c r="D53" s="2" t="s">
        <v>13910</v>
      </c>
      <c r="E53" s="2" t="s">
        <v>13911</v>
      </c>
      <c r="F53" s="7" t="s">
        <v>13912</v>
      </c>
      <c r="G53" s="2" t="s">
        <v>647</v>
      </c>
      <c r="H53" s="2" t="s">
        <v>13763</v>
      </c>
      <c r="I53" s="2" t="s">
        <v>13911</v>
      </c>
    </row>
    <row r="54">
      <c r="B54" s="2">
        <v>2020.0</v>
      </c>
      <c r="C54" s="2" t="s">
        <v>3396</v>
      </c>
      <c r="D54" s="2" t="s">
        <v>13756</v>
      </c>
      <c r="E54" s="2" t="s">
        <v>13913</v>
      </c>
      <c r="F54" s="7" t="s">
        <v>13914</v>
      </c>
      <c r="G54" s="7" t="s">
        <v>635</v>
      </c>
      <c r="H54" s="2" t="s">
        <v>13763</v>
      </c>
      <c r="I54" s="2" t="s">
        <v>13913</v>
      </c>
    </row>
    <row r="55">
      <c r="B55" s="2">
        <v>2005.0</v>
      </c>
      <c r="C55" s="2" t="s">
        <v>3396</v>
      </c>
      <c r="D55" s="2" t="s">
        <v>13756</v>
      </c>
      <c r="E55" s="2" t="s">
        <v>13915</v>
      </c>
      <c r="F55" s="7" t="s">
        <v>13916</v>
      </c>
      <c r="G55" s="7" t="s">
        <v>636</v>
      </c>
      <c r="H55" s="2" t="s">
        <v>13763</v>
      </c>
      <c r="I55" s="2" t="s">
        <v>13915</v>
      </c>
    </row>
    <row r="56">
      <c r="B56" s="2">
        <v>2021.0</v>
      </c>
      <c r="C56" s="2" t="s">
        <v>3396</v>
      </c>
      <c r="D56" s="2" t="s">
        <v>13756</v>
      </c>
      <c r="E56" s="2" t="s">
        <v>13917</v>
      </c>
      <c r="F56" s="7" t="s">
        <v>13918</v>
      </c>
      <c r="G56" s="7" t="s">
        <v>637</v>
      </c>
      <c r="H56" s="2" t="s">
        <v>13775</v>
      </c>
      <c r="I56" s="2" t="s">
        <v>13917</v>
      </c>
    </row>
    <row r="57">
      <c r="B57" s="2">
        <v>2024.0</v>
      </c>
      <c r="C57" s="2" t="s">
        <v>3396</v>
      </c>
      <c r="D57" s="2" t="s">
        <v>13756</v>
      </c>
      <c r="E57" s="2" t="s">
        <v>13919</v>
      </c>
      <c r="F57" s="7" t="s">
        <v>13920</v>
      </c>
      <c r="G57" s="7" t="s">
        <v>638</v>
      </c>
      <c r="H57" s="2" t="s">
        <v>13763</v>
      </c>
      <c r="I57" s="2" t="s">
        <v>13919</v>
      </c>
    </row>
    <row r="58" hidden="1">
      <c r="B58" s="2">
        <v>2006.0</v>
      </c>
      <c r="C58" s="2" t="s">
        <v>3396</v>
      </c>
      <c r="D58" s="2" t="s">
        <v>13921</v>
      </c>
      <c r="E58" s="2" t="s">
        <v>13922</v>
      </c>
      <c r="F58" s="7" t="s">
        <v>13923</v>
      </c>
      <c r="G58" s="7" t="s">
        <v>13924</v>
      </c>
      <c r="H58" s="2" t="s">
        <v>13759</v>
      </c>
      <c r="I58" s="2" t="s">
        <v>13922</v>
      </c>
    </row>
    <row r="59" hidden="1">
      <c r="B59" s="2">
        <v>1990.0</v>
      </c>
      <c r="C59" s="2" t="s">
        <v>3396</v>
      </c>
      <c r="D59" s="2" t="s">
        <v>13925</v>
      </c>
      <c r="E59" s="2" t="s">
        <v>13926</v>
      </c>
      <c r="F59" s="7" t="s">
        <v>13927</v>
      </c>
      <c r="G59" s="2" t="s">
        <v>647</v>
      </c>
      <c r="H59" s="2" t="s">
        <v>13763</v>
      </c>
      <c r="I59" s="2" t="s">
        <v>13926</v>
      </c>
    </row>
    <row r="60" hidden="1">
      <c r="B60" s="2">
        <v>2004.0</v>
      </c>
      <c r="C60" s="2" t="s">
        <v>3396</v>
      </c>
      <c r="D60" s="2" t="s">
        <v>13928</v>
      </c>
      <c r="E60" s="2" t="s">
        <v>13929</v>
      </c>
      <c r="F60" s="7" t="s">
        <v>13930</v>
      </c>
      <c r="G60" s="2" t="s">
        <v>647</v>
      </c>
      <c r="H60" s="2" t="s">
        <v>13763</v>
      </c>
      <c r="I60" s="2" t="s">
        <v>13929</v>
      </c>
    </row>
    <row r="61" hidden="1">
      <c r="B61" s="2">
        <v>2010.0</v>
      </c>
      <c r="C61" s="2" t="s">
        <v>3396</v>
      </c>
      <c r="D61" s="2" t="s">
        <v>13931</v>
      </c>
      <c r="E61" s="2" t="s">
        <v>13932</v>
      </c>
      <c r="F61" s="7" t="s">
        <v>13933</v>
      </c>
      <c r="G61" s="2" t="s">
        <v>647</v>
      </c>
      <c r="H61" s="2" t="s">
        <v>13759</v>
      </c>
      <c r="I61" s="2" t="s">
        <v>13932</v>
      </c>
    </row>
    <row r="62">
      <c r="B62" s="2">
        <v>2012.0</v>
      </c>
      <c r="C62" s="2" t="s">
        <v>3396</v>
      </c>
      <c r="D62" s="2" t="s">
        <v>13756</v>
      </c>
      <c r="E62" s="2" t="s">
        <v>13934</v>
      </c>
      <c r="F62" s="7" t="s">
        <v>13935</v>
      </c>
      <c r="G62" s="7" t="s">
        <v>639</v>
      </c>
      <c r="H62" s="2" t="s">
        <v>13759</v>
      </c>
      <c r="I62" s="2" t="s">
        <v>13934</v>
      </c>
    </row>
    <row r="63">
      <c r="B63" s="2">
        <v>2024.0</v>
      </c>
      <c r="C63" s="2" t="s">
        <v>3396</v>
      </c>
      <c r="D63" s="2" t="s">
        <v>13756</v>
      </c>
      <c r="E63" s="2" t="s">
        <v>13936</v>
      </c>
      <c r="F63" s="7" t="s">
        <v>13937</v>
      </c>
      <c r="G63" s="7" t="s">
        <v>640</v>
      </c>
      <c r="H63" s="2" t="s">
        <v>13759</v>
      </c>
      <c r="I63" s="2" t="s">
        <v>13936</v>
      </c>
    </row>
    <row r="64" hidden="1">
      <c r="B64" s="2">
        <v>2013.0</v>
      </c>
      <c r="C64" s="2" t="s">
        <v>3396</v>
      </c>
      <c r="D64" s="2" t="s">
        <v>13938</v>
      </c>
      <c r="E64" s="2" t="s">
        <v>13939</v>
      </c>
      <c r="F64" s="7" t="s">
        <v>13940</v>
      </c>
      <c r="G64" s="7" t="s">
        <v>13941</v>
      </c>
      <c r="H64" s="2" t="s">
        <v>13759</v>
      </c>
      <c r="I64" s="2" t="s">
        <v>13939</v>
      </c>
    </row>
    <row r="65">
      <c r="B65" s="2">
        <v>2021.0</v>
      </c>
      <c r="C65" s="2" t="s">
        <v>3396</v>
      </c>
      <c r="D65" s="2" t="s">
        <v>13756</v>
      </c>
      <c r="E65" s="2" t="s">
        <v>13942</v>
      </c>
      <c r="F65" s="7" t="s">
        <v>13943</v>
      </c>
      <c r="G65" s="7" t="s">
        <v>641</v>
      </c>
      <c r="H65" s="2" t="s">
        <v>13811</v>
      </c>
      <c r="I65" s="2" t="s">
        <v>13942</v>
      </c>
    </row>
    <row r="66">
      <c r="B66" s="2">
        <v>2012.0</v>
      </c>
      <c r="C66" s="2" t="s">
        <v>3396</v>
      </c>
      <c r="D66" s="2" t="s">
        <v>13756</v>
      </c>
      <c r="E66" s="2" t="s">
        <v>13944</v>
      </c>
      <c r="F66" s="7" t="s">
        <v>13945</v>
      </c>
      <c r="G66" s="7" t="s">
        <v>642</v>
      </c>
      <c r="H66" s="2" t="s">
        <v>13759</v>
      </c>
      <c r="I66" s="2" t="s">
        <v>13944</v>
      </c>
    </row>
    <row r="67" hidden="1">
      <c r="A67" s="2" t="s">
        <v>13946</v>
      </c>
      <c r="B67" s="2">
        <v>1996.0</v>
      </c>
      <c r="C67" s="2" t="s">
        <v>3396</v>
      </c>
      <c r="D67" s="2" t="s">
        <v>13947</v>
      </c>
      <c r="E67" s="2" t="s">
        <v>13948</v>
      </c>
      <c r="F67" s="7" t="s">
        <v>13949</v>
      </c>
      <c r="G67" s="2" t="s">
        <v>647</v>
      </c>
      <c r="H67" s="2" t="s">
        <v>13763</v>
      </c>
      <c r="I67" s="2" t="s">
        <v>13948</v>
      </c>
    </row>
    <row r="68" hidden="1">
      <c r="B68" s="2">
        <v>2016.0</v>
      </c>
      <c r="C68" s="2" t="s">
        <v>3396</v>
      </c>
      <c r="D68" s="2" t="s">
        <v>13950</v>
      </c>
      <c r="E68" s="2" t="s">
        <v>13951</v>
      </c>
      <c r="F68" s="7" t="s">
        <v>13952</v>
      </c>
      <c r="G68" s="7" t="s">
        <v>13953</v>
      </c>
      <c r="H68" s="2" t="s">
        <v>13763</v>
      </c>
      <c r="I68" s="2" t="s">
        <v>13951</v>
      </c>
    </row>
    <row r="69" hidden="1">
      <c r="A69" s="2" t="s">
        <v>13954</v>
      </c>
      <c r="B69" s="2">
        <v>1980.0</v>
      </c>
      <c r="C69" s="2" t="s">
        <v>3396</v>
      </c>
      <c r="D69" s="2" t="s">
        <v>13955</v>
      </c>
      <c r="E69" s="2" t="s">
        <v>13956</v>
      </c>
      <c r="F69" s="7" t="s">
        <v>13957</v>
      </c>
      <c r="G69" s="2" t="s">
        <v>647</v>
      </c>
      <c r="H69" s="2" t="s">
        <v>13775</v>
      </c>
      <c r="I69" s="2" t="s">
        <v>13956</v>
      </c>
    </row>
    <row r="70">
      <c r="B70" s="2">
        <v>2020.0</v>
      </c>
      <c r="C70" s="2" t="s">
        <v>3396</v>
      </c>
      <c r="D70" s="2" t="s">
        <v>13756</v>
      </c>
      <c r="E70" s="2" t="s">
        <v>13958</v>
      </c>
      <c r="F70" s="7" t="s">
        <v>13959</v>
      </c>
      <c r="G70" s="7" t="s">
        <v>643</v>
      </c>
      <c r="H70" s="2" t="s">
        <v>13763</v>
      </c>
      <c r="I70" s="2" t="s">
        <v>13958</v>
      </c>
    </row>
    <row r="71" hidden="1">
      <c r="B71" s="2">
        <v>2013.0</v>
      </c>
      <c r="C71" s="2" t="s">
        <v>3396</v>
      </c>
      <c r="D71" s="2" t="s">
        <v>13960</v>
      </c>
      <c r="E71" s="2" t="s">
        <v>13961</v>
      </c>
      <c r="F71" s="7" t="s">
        <v>13962</v>
      </c>
      <c r="G71" s="7" t="s">
        <v>13963</v>
      </c>
      <c r="H71" s="2" t="s">
        <v>13763</v>
      </c>
      <c r="I71" s="2" t="s">
        <v>13961</v>
      </c>
    </row>
    <row r="72" hidden="1">
      <c r="B72" s="2">
        <v>2018.0</v>
      </c>
      <c r="C72" s="2" t="s">
        <v>3396</v>
      </c>
      <c r="D72" s="2" t="s">
        <v>13964</v>
      </c>
      <c r="E72" s="2" t="s">
        <v>13965</v>
      </c>
      <c r="F72" s="7" t="s">
        <v>13966</v>
      </c>
      <c r="G72" s="7" t="s">
        <v>13967</v>
      </c>
      <c r="H72" s="2" t="s">
        <v>13775</v>
      </c>
      <c r="I72" s="2" t="s">
        <v>13965</v>
      </c>
    </row>
    <row r="73">
      <c r="B73" s="2">
        <v>2022.0</v>
      </c>
      <c r="C73" s="2" t="s">
        <v>3396</v>
      </c>
      <c r="D73" s="2" t="s">
        <v>13756</v>
      </c>
      <c r="E73" s="2" t="s">
        <v>13968</v>
      </c>
      <c r="F73" s="7" t="s">
        <v>13969</v>
      </c>
      <c r="G73" s="7" t="s">
        <v>644</v>
      </c>
      <c r="H73" s="2" t="s">
        <v>13759</v>
      </c>
      <c r="I73" s="2" t="s">
        <v>13968</v>
      </c>
    </row>
    <row r="74" hidden="1">
      <c r="B74" s="2">
        <v>2003.0</v>
      </c>
      <c r="C74" s="2" t="s">
        <v>3396</v>
      </c>
      <c r="D74" s="2" t="s">
        <v>13970</v>
      </c>
      <c r="E74" s="2" t="s">
        <v>13971</v>
      </c>
      <c r="F74" s="7" t="s">
        <v>13972</v>
      </c>
      <c r="G74" s="7" t="s">
        <v>13973</v>
      </c>
      <c r="H74" s="2" t="s">
        <v>13763</v>
      </c>
      <c r="I74" s="2" t="s">
        <v>13971</v>
      </c>
    </row>
    <row r="75">
      <c r="B75" s="2">
        <v>2012.0</v>
      </c>
      <c r="C75" s="2" t="s">
        <v>3396</v>
      </c>
      <c r="D75" s="2" t="s">
        <v>13756</v>
      </c>
      <c r="E75" s="2" t="s">
        <v>13974</v>
      </c>
      <c r="F75" s="7" t="s">
        <v>13975</v>
      </c>
      <c r="G75" s="7" t="s">
        <v>645</v>
      </c>
      <c r="H75" s="2" t="s">
        <v>13763</v>
      </c>
      <c r="I75" s="2" t="s">
        <v>13974</v>
      </c>
    </row>
    <row r="76">
      <c r="B76" s="2">
        <v>2022.0</v>
      </c>
      <c r="C76" s="2" t="s">
        <v>3396</v>
      </c>
      <c r="D76" s="2" t="s">
        <v>13756</v>
      </c>
      <c r="E76" s="2" t="s">
        <v>13976</v>
      </c>
      <c r="F76" s="7" t="s">
        <v>13977</v>
      </c>
      <c r="G76" s="7" t="s">
        <v>646</v>
      </c>
      <c r="H76" s="2" t="s">
        <v>13763</v>
      </c>
      <c r="I76" s="2" t="s">
        <v>13976</v>
      </c>
    </row>
    <row r="77" hidden="1">
      <c r="B77" s="2">
        <v>2011.0</v>
      </c>
      <c r="C77" s="2" t="s">
        <v>3396</v>
      </c>
      <c r="D77" s="2" t="s">
        <v>13978</v>
      </c>
      <c r="E77" s="2" t="s">
        <v>13979</v>
      </c>
      <c r="F77" s="7" t="s">
        <v>13980</v>
      </c>
      <c r="G77" s="7" t="s">
        <v>13981</v>
      </c>
      <c r="H77" s="2" t="s">
        <v>13763</v>
      </c>
      <c r="I77" s="2" t="s">
        <v>13979</v>
      </c>
    </row>
    <row r="78">
      <c r="B78" s="2">
        <v>2020.0</v>
      </c>
      <c r="C78" s="2" t="s">
        <v>3396</v>
      </c>
      <c r="D78" s="2" t="s">
        <v>13756</v>
      </c>
      <c r="E78" s="2" t="s">
        <v>13982</v>
      </c>
      <c r="F78" s="7" t="s">
        <v>13983</v>
      </c>
      <c r="G78" s="2" t="s">
        <v>647</v>
      </c>
      <c r="H78" s="2" t="s">
        <v>13763</v>
      </c>
      <c r="I78" s="2" t="s">
        <v>13982</v>
      </c>
    </row>
    <row r="79" hidden="1">
      <c r="B79" s="2">
        <v>2001.0</v>
      </c>
      <c r="C79" s="2" t="s">
        <v>3396</v>
      </c>
      <c r="D79" s="2" t="s">
        <v>13984</v>
      </c>
      <c r="E79" s="2" t="s">
        <v>13985</v>
      </c>
      <c r="F79" s="7" t="s">
        <v>13986</v>
      </c>
      <c r="G79" s="7" t="s">
        <v>13987</v>
      </c>
      <c r="H79" s="2" t="s">
        <v>13759</v>
      </c>
      <c r="I79" s="2" t="s">
        <v>13985</v>
      </c>
    </row>
    <row r="80" hidden="1">
      <c r="A80" s="2" t="s">
        <v>8657</v>
      </c>
      <c r="B80" s="2">
        <v>2014.0</v>
      </c>
      <c r="C80" s="2" t="s">
        <v>3396</v>
      </c>
      <c r="D80" s="2" t="s">
        <v>13988</v>
      </c>
      <c r="E80" s="2" t="s">
        <v>13989</v>
      </c>
      <c r="F80" s="7" t="s">
        <v>13990</v>
      </c>
      <c r="G80" s="2" t="s">
        <v>647</v>
      </c>
      <c r="H80" s="2" t="s">
        <v>13763</v>
      </c>
      <c r="I80" s="2" t="s">
        <v>13989</v>
      </c>
    </row>
    <row r="81" hidden="1">
      <c r="B81" s="2">
        <v>2008.0</v>
      </c>
      <c r="C81" s="2" t="s">
        <v>3396</v>
      </c>
      <c r="D81" s="2" t="s">
        <v>13991</v>
      </c>
      <c r="E81" s="2" t="s">
        <v>13992</v>
      </c>
      <c r="F81" s="7" t="s">
        <v>13993</v>
      </c>
      <c r="G81" s="7" t="s">
        <v>13994</v>
      </c>
      <c r="H81" s="2" t="s">
        <v>13763</v>
      </c>
      <c r="I81" s="2" t="s">
        <v>13992</v>
      </c>
    </row>
    <row r="82">
      <c r="B82" s="2">
        <v>2014.0</v>
      </c>
      <c r="C82" s="2" t="s">
        <v>3396</v>
      </c>
      <c r="D82" s="2" t="s">
        <v>13756</v>
      </c>
      <c r="E82" s="2" t="s">
        <v>13995</v>
      </c>
      <c r="F82" s="7" t="s">
        <v>13996</v>
      </c>
      <c r="G82" s="7" t="s">
        <v>648</v>
      </c>
      <c r="H82" s="2" t="s">
        <v>13763</v>
      </c>
      <c r="I82" s="2" t="s">
        <v>13995</v>
      </c>
    </row>
    <row r="83" hidden="1">
      <c r="B83" s="2">
        <v>1994.0</v>
      </c>
      <c r="C83" s="2" t="s">
        <v>3396</v>
      </c>
      <c r="D83" s="2" t="s">
        <v>13997</v>
      </c>
      <c r="E83" s="2" t="s">
        <v>13998</v>
      </c>
      <c r="F83" s="7" t="s">
        <v>13999</v>
      </c>
      <c r="G83" s="2" t="s">
        <v>647</v>
      </c>
      <c r="H83" s="2" t="s">
        <v>13811</v>
      </c>
      <c r="I83" s="2" t="s">
        <v>13998</v>
      </c>
    </row>
    <row r="84">
      <c r="A84" s="2" t="s">
        <v>14000</v>
      </c>
      <c r="B84" s="2">
        <v>2024.0</v>
      </c>
      <c r="C84" s="2" t="s">
        <v>3396</v>
      </c>
      <c r="D84" s="2" t="s">
        <v>13756</v>
      </c>
      <c r="E84" s="2" t="s">
        <v>14001</v>
      </c>
      <c r="F84" s="7" t="s">
        <v>14002</v>
      </c>
      <c r="G84" s="2" t="s">
        <v>647</v>
      </c>
      <c r="H84" s="2" t="s">
        <v>13775</v>
      </c>
      <c r="I84" s="2" t="s">
        <v>14001</v>
      </c>
    </row>
    <row r="85" hidden="1">
      <c r="B85" s="2">
        <v>2002.0</v>
      </c>
      <c r="C85" s="2" t="s">
        <v>3396</v>
      </c>
      <c r="D85" s="2" t="s">
        <v>14003</v>
      </c>
      <c r="E85" s="2" t="s">
        <v>14004</v>
      </c>
      <c r="F85" s="7" t="s">
        <v>14005</v>
      </c>
      <c r="G85" s="7" t="s">
        <v>14006</v>
      </c>
      <c r="H85" s="2" t="s">
        <v>13775</v>
      </c>
      <c r="I85" s="2" t="s">
        <v>14004</v>
      </c>
    </row>
    <row r="86" hidden="1">
      <c r="B86" s="2">
        <v>2016.0</v>
      </c>
      <c r="C86" s="2" t="s">
        <v>3396</v>
      </c>
      <c r="D86" s="2" t="s">
        <v>14007</v>
      </c>
      <c r="E86" s="2" t="s">
        <v>14008</v>
      </c>
      <c r="F86" s="7" t="s">
        <v>14009</v>
      </c>
      <c r="G86" s="7" t="s">
        <v>14010</v>
      </c>
      <c r="H86" s="2" t="s">
        <v>13811</v>
      </c>
      <c r="I86" s="2" t="s">
        <v>14008</v>
      </c>
    </row>
    <row r="87">
      <c r="B87" s="2">
        <v>2015.0</v>
      </c>
      <c r="C87" s="2" t="s">
        <v>3396</v>
      </c>
      <c r="D87" s="2" t="s">
        <v>13756</v>
      </c>
      <c r="E87" s="2" t="s">
        <v>14011</v>
      </c>
      <c r="F87" s="7" t="s">
        <v>14012</v>
      </c>
      <c r="G87" s="7" t="s">
        <v>649</v>
      </c>
      <c r="H87" s="2" t="s">
        <v>13763</v>
      </c>
      <c r="I87" s="2" t="s">
        <v>14011</v>
      </c>
    </row>
    <row r="88" hidden="1">
      <c r="B88" s="2">
        <v>2005.0</v>
      </c>
      <c r="C88" s="2" t="s">
        <v>3396</v>
      </c>
      <c r="D88" s="2" t="s">
        <v>14013</v>
      </c>
      <c r="E88" s="2" t="s">
        <v>14014</v>
      </c>
      <c r="F88" s="7" t="s">
        <v>14015</v>
      </c>
      <c r="G88" s="2" t="s">
        <v>647</v>
      </c>
      <c r="H88" s="2" t="s">
        <v>13763</v>
      </c>
      <c r="I88" s="2" t="s">
        <v>14014</v>
      </c>
    </row>
    <row r="89">
      <c r="B89" s="2">
        <v>2017.0</v>
      </c>
      <c r="C89" s="2" t="s">
        <v>3396</v>
      </c>
      <c r="D89" s="2" t="s">
        <v>13756</v>
      </c>
      <c r="E89" s="2" t="s">
        <v>14016</v>
      </c>
      <c r="F89" s="7" t="s">
        <v>14017</v>
      </c>
      <c r="G89" s="7" t="s">
        <v>650</v>
      </c>
      <c r="H89" s="2" t="s">
        <v>13763</v>
      </c>
      <c r="I89" s="2" t="s">
        <v>14016</v>
      </c>
    </row>
    <row r="90">
      <c r="B90" s="2">
        <v>2018.0</v>
      </c>
      <c r="C90" s="2" t="s">
        <v>3396</v>
      </c>
      <c r="D90" s="2" t="s">
        <v>13756</v>
      </c>
      <c r="E90" s="2" t="s">
        <v>14018</v>
      </c>
      <c r="F90" s="7" t="s">
        <v>14019</v>
      </c>
      <c r="G90" s="7" t="s">
        <v>651</v>
      </c>
      <c r="H90" s="2" t="s">
        <v>13759</v>
      </c>
      <c r="I90" s="2" t="s">
        <v>14018</v>
      </c>
    </row>
    <row r="91" hidden="1">
      <c r="B91" s="2">
        <v>2011.0</v>
      </c>
      <c r="C91" s="2" t="s">
        <v>3396</v>
      </c>
      <c r="D91" s="2" t="s">
        <v>14020</v>
      </c>
      <c r="E91" s="2" t="s">
        <v>14021</v>
      </c>
      <c r="F91" s="7" t="s">
        <v>14022</v>
      </c>
      <c r="G91" s="7" t="s">
        <v>14023</v>
      </c>
      <c r="H91" s="2" t="s">
        <v>13759</v>
      </c>
      <c r="I91" s="2" t="s">
        <v>14021</v>
      </c>
    </row>
    <row r="92">
      <c r="B92" s="2">
        <v>2018.0</v>
      </c>
      <c r="C92" s="2" t="s">
        <v>3396</v>
      </c>
      <c r="D92" s="2" t="s">
        <v>13756</v>
      </c>
      <c r="E92" s="2" t="s">
        <v>14024</v>
      </c>
      <c r="F92" s="7" t="s">
        <v>14025</v>
      </c>
      <c r="G92" s="7" t="s">
        <v>652</v>
      </c>
      <c r="H92" s="2" t="s">
        <v>13759</v>
      </c>
      <c r="I92" s="2" t="s">
        <v>14024</v>
      </c>
    </row>
    <row r="93">
      <c r="B93" s="2">
        <v>2021.0</v>
      </c>
      <c r="C93" s="2" t="s">
        <v>3396</v>
      </c>
      <c r="D93" s="2" t="s">
        <v>13756</v>
      </c>
      <c r="E93" s="2" t="s">
        <v>14026</v>
      </c>
      <c r="F93" s="7" t="s">
        <v>14027</v>
      </c>
      <c r="G93" s="7" t="s">
        <v>653</v>
      </c>
      <c r="H93" s="2" t="s">
        <v>13759</v>
      </c>
      <c r="I93" s="2" t="s">
        <v>14026</v>
      </c>
    </row>
    <row r="94">
      <c r="B94" s="2">
        <v>2014.0</v>
      </c>
      <c r="C94" s="2" t="s">
        <v>3396</v>
      </c>
      <c r="D94" s="2" t="s">
        <v>13756</v>
      </c>
      <c r="E94" s="2" t="s">
        <v>14028</v>
      </c>
      <c r="F94" s="7" t="s">
        <v>14029</v>
      </c>
      <c r="G94" s="7" t="s">
        <v>654</v>
      </c>
      <c r="H94" s="2" t="s">
        <v>13763</v>
      </c>
      <c r="I94" s="2" t="s">
        <v>14028</v>
      </c>
    </row>
    <row r="95">
      <c r="B95" s="2">
        <v>2010.0</v>
      </c>
      <c r="C95" s="2" t="s">
        <v>3396</v>
      </c>
      <c r="D95" s="2" t="s">
        <v>13756</v>
      </c>
      <c r="E95" s="2" t="s">
        <v>14030</v>
      </c>
      <c r="F95" s="7" t="s">
        <v>14031</v>
      </c>
      <c r="G95" s="7" t="s">
        <v>655</v>
      </c>
      <c r="H95" s="2" t="s">
        <v>13775</v>
      </c>
      <c r="I95" s="2" t="s">
        <v>14030</v>
      </c>
    </row>
    <row r="96" hidden="1">
      <c r="A96" s="2" t="s">
        <v>14032</v>
      </c>
      <c r="B96" s="2">
        <v>1995.0</v>
      </c>
      <c r="C96" s="2" t="s">
        <v>3396</v>
      </c>
      <c r="D96" s="2" t="s">
        <v>14033</v>
      </c>
      <c r="E96" s="2" t="s">
        <v>14034</v>
      </c>
      <c r="F96" s="7" t="s">
        <v>14035</v>
      </c>
      <c r="G96" s="2" t="s">
        <v>647</v>
      </c>
      <c r="H96" s="2" t="s">
        <v>13775</v>
      </c>
      <c r="I96" s="2" t="s">
        <v>14034</v>
      </c>
    </row>
    <row r="97" hidden="1">
      <c r="A97" s="2" t="s">
        <v>14036</v>
      </c>
      <c r="B97" s="2">
        <v>1987.0</v>
      </c>
      <c r="C97" s="2" t="s">
        <v>3396</v>
      </c>
      <c r="D97" s="2" t="s">
        <v>14037</v>
      </c>
      <c r="E97" s="2" t="s">
        <v>14038</v>
      </c>
      <c r="F97" s="7" t="s">
        <v>14039</v>
      </c>
      <c r="G97" s="2" t="s">
        <v>647</v>
      </c>
      <c r="H97" s="2" t="s">
        <v>13775</v>
      </c>
      <c r="I97" s="2" t="s">
        <v>14038</v>
      </c>
    </row>
    <row r="98">
      <c r="B98" s="2">
        <v>2024.0</v>
      </c>
      <c r="C98" s="2" t="s">
        <v>3396</v>
      </c>
      <c r="D98" s="2" t="s">
        <v>13756</v>
      </c>
      <c r="E98" s="2" t="s">
        <v>14040</v>
      </c>
      <c r="F98" s="7" t="s">
        <v>14041</v>
      </c>
      <c r="G98" s="7" t="s">
        <v>656</v>
      </c>
      <c r="H98" s="2" t="s">
        <v>13775</v>
      </c>
      <c r="I98" s="2" t="s">
        <v>14040</v>
      </c>
    </row>
    <row r="99" hidden="1">
      <c r="B99" s="2">
        <v>2010.0</v>
      </c>
      <c r="C99" s="2" t="s">
        <v>3396</v>
      </c>
      <c r="D99" s="2" t="s">
        <v>14042</v>
      </c>
      <c r="E99" s="2" t="s">
        <v>14043</v>
      </c>
      <c r="F99" s="7" t="s">
        <v>14044</v>
      </c>
      <c r="G99" s="7" t="s">
        <v>14045</v>
      </c>
      <c r="H99" s="2" t="s">
        <v>13759</v>
      </c>
      <c r="I99" s="2" t="s">
        <v>14043</v>
      </c>
    </row>
    <row r="100" hidden="1">
      <c r="B100" s="2">
        <v>1996.0</v>
      </c>
      <c r="C100" s="2" t="s">
        <v>3396</v>
      </c>
      <c r="D100" s="2" t="s">
        <v>14046</v>
      </c>
      <c r="E100" s="2" t="s">
        <v>14047</v>
      </c>
      <c r="F100" s="7" t="s">
        <v>14048</v>
      </c>
      <c r="G100" s="7" t="s">
        <v>14049</v>
      </c>
      <c r="H100" s="2" t="s">
        <v>13759</v>
      </c>
      <c r="I100" s="2" t="s">
        <v>14047</v>
      </c>
    </row>
    <row r="101" hidden="1">
      <c r="B101" s="2">
        <v>2012.0</v>
      </c>
      <c r="C101" s="2" t="s">
        <v>3396</v>
      </c>
      <c r="D101" s="2" t="s">
        <v>14050</v>
      </c>
      <c r="E101" s="2" t="s">
        <v>14051</v>
      </c>
      <c r="F101" s="7" t="s">
        <v>14052</v>
      </c>
      <c r="G101" s="7" t="s">
        <v>14053</v>
      </c>
      <c r="H101" s="2" t="s">
        <v>13759</v>
      </c>
      <c r="I101" s="2" t="s">
        <v>14051</v>
      </c>
    </row>
    <row r="102" hidden="1">
      <c r="B102" s="2">
        <v>1997.0</v>
      </c>
      <c r="C102" s="2" t="s">
        <v>3396</v>
      </c>
      <c r="D102" s="2" t="s">
        <v>14054</v>
      </c>
      <c r="E102" s="2" t="s">
        <v>14055</v>
      </c>
      <c r="F102" s="7" t="s">
        <v>14056</v>
      </c>
      <c r="G102" s="2" t="s">
        <v>647</v>
      </c>
      <c r="H102" s="2" t="s">
        <v>13763</v>
      </c>
      <c r="I102" s="2" t="s">
        <v>14055</v>
      </c>
    </row>
    <row r="103" hidden="1">
      <c r="B103" s="2">
        <v>2005.0</v>
      </c>
      <c r="C103" s="2" t="s">
        <v>3396</v>
      </c>
      <c r="D103" s="2" t="s">
        <v>14057</v>
      </c>
      <c r="E103" s="2" t="s">
        <v>14058</v>
      </c>
      <c r="F103" s="7" t="s">
        <v>14059</v>
      </c>
      <c r="G103" s="2" t="s">
        <v>647</v>
      </c>
      <c r="H103" s="2" t="s">
        <v>13775</v>
      </c>
      <c r="I103" s="2" t="s">
        <v>14058</v>
      </c>
    </row>
    <row r="104" hidden="1">
      <c r="B104" s="2">
        <v>2011.0</v>
      </c>
      <c r="C104" s="2" t="s">
        <v>3396</v>
      </c>
      <c r="D104" s="2" t="s">
        <v>14060</v>
      </c>
      <c r="E104" s="2" t="s">
        <v>14061</v>
      </c>
      <c r="F104" s="7" t="s">
        <v>14062</v>
      </c>
      <c r="G104" s="2" t="s">
        <v>647</v>
      </c>
      <c r="H104" s="2" t="s">
        <v>13775</v>
      </c>
      <c r="I104" s="2" t="s">
        <v>14061</v>
      </c>
    </row>
    <row r="105" hidden="1">
      <c r="B105" s="2">
        <v>2014.0</v>
      </c>
      <c r="C105" s="2" t="s">
        <v>3396</v>
      </c>
      <c r="D105" s="2" t="s">
        <v>14063</v>
      </c>
      <c r="E105" s="2" t="s">
        <v>14064</v>
      </c>
      <c r="F105" s="7" t="s">
        <v>14065</v>
      </c>
      <c r="G105" s="7" t="s">
        <v>14066</v>
      </c>
      <c r="H105" s="2" t="s">
        <v>13759</v>
      </c>
      <c r="I105" s="2" t="s">
        <v>14064</v>
      </c>
    </row>
    <row r="106">
      <c r="B106" s="2">
        <v>2017.0</v>
      </c>
      <c r="C106" s="2" t="s">
        <v>3396</v>
      </c>
      <c r="D106" s="2" t="s">
        <v>13756</v>
      </c>
      <c r="E106" s="2" t="s">
        <v>14067</v>
      </c>
      <c r="F106" s="7" t="s">
        <v>14068</v>
      </c>
      <c r="G106" s="7" t="s">
        <v>657</v>
      </c>
      <c r="H106" s="2" t="s">
        <v>13763</v>
      </c>
      <c r="I106" s="2" t="s">
        <v>14067</v>
      </c>
    </row>
    <row r="107" hidden="1">
      <c r="B107" s="2">
        <v>2016.0</v>
      </c>
      <c r="C107" s="2" t="s">
        <v>3396</v>
      </c>
      <c r="D107" s="2" t="s">
        <v>14069</v>
      </c>
      <c r="E107" s="2" t="s">
        <v>14070</v>
      </c>
      <c r="F107" s="7" t="s">
        <v>14071</v>
      </c>
      <c r="G107" s="7" t="s">
        <v>14072</v>
      </c>
      <c r="H107" s="2" t="s">
        <v>13763</v>
      </c>
      <c r="I107" s="2" t="s">
        <v>14070</v>
      </c>
    </row>
    <row r="108" hidden="1">
      <c r="B108" s="2">
        <v>2010.0</v>
      </c>
      <c r="C108" s="2" t="s">
        <v>3396</v>
      </c>
      <c r="D108" s="2" t="s">
        <v>14073</v>
      </c>
      <c r="E108" s="2" t="s">
        <v>14074</v>
      </c>
      <c r="F108" s="7" t="s">
        <v>14075</v>
      </c>
      <c r="G108" s="7" t="s">
        <v>14076</v>
      </c>
      <c r="H108" s="2" t="s">
        <v>13759</v>
      </c>
      <c r="I108" s="2" t="s">
        <v>14074</v>
      </c>
    </row>
    <row r="109" hidden="1">
      <c r="B109" s="2">
        <v>2015.0</v>
      </c>
      <c r="C109" s="2" t="s">
        <v>3396</v>
      </c>
      <c r="D109" s="2" t="s">
        <v>14077</v>
      </c>
      <c r="E109" s="2" t="s">
        <v>14078</v>
      </c>
      <c r="F109" s="7" t="s">
        <v>14079</v>
      </c>
      <c r="G109" s="7" t="s">
        <v>14080</v>
      </c>
      <c r="H109" s="2" t="s">
        <v>13759</v>
      </c>
      <c r="I109" s="2" t="s">
        <v>14078</v>
      </c>
    </row>
    <row r="110">
      <c r="B110" s="2">
        <v>2017.0</v>
      </c>
      <c r="C110" s="2" t="s">
        <v>3396</v>
      </c>
      <c r="D110" s="2" t="s">
        <v>13756</v>
      </c>
      <c r="E110" s="2" t="s">
        <v>14081</v>
      </c>
      <c r="F110" s="7" t="s">
        <v>14082</v>
      </c>
      <c r="G110" s="7" t="s">
        <v>658</v>
      </c>
      <c r="H110" s="2" t="s">
        <v>13775</v>
      </c>
      <c r="I110" s="2" t="s">
        <v>14081</v>
      </c>
    </row>
    <row r="111" hidden="1">
      <c r="B111" s="2">
        <v>2014.0</v>
      </c>
      <c r="C111" s="2" t="s">
        <v>3396</v>
      </c>
      <c r="D111" s="2" t="s">
        <v>14083</v>
      </c>
      <c r="E111" s="2" t="s">
        <v>14084</v>
      </c>
      <c r="F111" s="7" t="s">
        <v>14085</v>
      </c>
      <c r="G111" s="7" t="s">
        <v>14086</v>
      </c>
      <c r="H111" s="2" t="s">
        <v>13775</v>
      </c>
      <c r="I111" s="2" t="s">
        <v>14084</v>
      </c>
    </row>
    <row r="112" hidden="1">
      <c r="B112" s="2">
        <v>2007.0</v>
      </c>
      <c r="C112" s="2" t="s">
        <v>3396</v>
      </c>
      <c r="D112" s="2" t="s">
        <v>14087</v>
      </c>
      <c r="E112" s="2" t="s">
        <v>14088</v>
      </c>
      <c r="F112" s="7" t="s">
        <v>14089</v>
      </c>
      <c r="G112" s="7" t="s">
        <v>14090</v>
      </c>
      <c r="H112" s="2" t="s">
        <v>13763</v>
      </c>
      <c r="I112" s="2" t="s">
        <v>14088</v>
      </c>
    </row>
    <row r="113">
      <c r="B113" s="2">
        <v>2002.0</v>
      </c>
      <c r="C113" s="2" t="s">
        <v>3396</v>
      </c>
      <c r="D113" s="2" t="s">
        <v>13756</v>
      </c>
      <c r="E113" s="2" t="s">
        <v>14091</v>
      </c>
      <c r="F113" s="7" t="s">
        <v>14092</v>
      </c>
      <c r="G113" s="7" t="s">
        <v>659</v>
      </c>
      <c r="H113" s="2" t="s">
        <v>13763</v>
      </c>
      <c r="I113" s="2" t="s">
        <v>14091</v>
      </c>
    </row>
    <row r="114" hidden="1">
      <c r="B114" s="2">
        <v>1998.0</v>
      </c>
      <c r="C114" s="2" t="s">
        <v>3396</v>
      </c>
      <c r="D114" s="2" t="s">
        <v>14093</v>
      </c>
      <c r="E114" s="2" t="s">
        <v>14094</v>
      </c>
      <c r="F114" s="7" t="s">
        <v>14095</v>
      </c>
      <c r="G114" s="7" t="s">
        <v>14096</v>
      </c>
      <c r="H114" s="2" t="s">
        <v>13811</v>
      </c>
      <c r="I114" s="2" t="s">
        <v>14094</v>
      </c>
    </row>
    <row r="115">
      <c r="A115" s="2" t="s">
        <v>14097</v>
      </c>
      <c r="B115" s="2">
        <v>2006.0</v>
      </c>
      <c r="C115" s="2" t="s">
        <v>3396</v>
      </c>
      <c r="D115" s="2" t="s">
        <v>13756</v>
      </c>
      <c r="E115" s="2" t="s">
        <v>14098</v>
      </c>
      <c r="F115" s="7" t="s">
        <v>14099</v>
      </c>
      <c r="G115" s="2" t="s">
        <v>647</v>
      </c>
      <c r="H115" s="2" t="s">
        <v>13763</v>
      </c>
      <c r="I115" s="2" t="s">
        <v>14098</v>
      </c>
    </row>
    <row r="116" hidden="1">
      <c r="B116" s="2">
        <v>2008.0</v>
      </c>
      <c r="C116" s="2" t="s">
        <v>3396</v>
      </c>
      <c r="D116" s="2" t="s">
        <v>14100</v>
      </c>
      <c r="E116" s="2" t="s">
        <v>14101</v>
      </c>
      <c r="F116" s="7" t="s">
        <v>14102</v>
      </c>
      <c r="G116" s="2" t="s">
        <v>647</v>
      </c>
      <c r="H116" s="2" t="s">
        <v>13775</v>
      </c>
      <c r="I116" s="2" t="s">
        <v>14101</v>
      </c>
    </row>
    <row r="117">
      <c r="B117" s="2">
        <v>2017.0</v>
      </c>
      <c r="C117" s="2" t="s">
        <v>3396</v>
      </c>
      <c r="D117" s="2" t="s">
        <v>13756</v>
      </c>
      <c r="E117" s="2" t="s">
        <v>14103</v>
      </c>
      <c r="F117" s="7" t="s">
        <v>14104</v>
      </c>
      <c r="G117" s="7" t="s">
        <v>660</v>
      </c>
      <c r="H117" s="2" t="s">
        <v>13775</v>
      </c>
      <c r="I117" s="2" t="s">
        <v>14103</v>
      </c>
    </row>
    <row r="118" hidden="1">
      <c r="B118" s="2">
        <v>1990.0</v>
      </c>
      <c r="C118" s="2" t="s">
        <v>3396</v>
      </c>
      <c r="D118" s="2" t="s">
        <v>14105</v>
      </c>
      <c r="E118" s="2" t="s">
        <v>14106</v>
      </c>
      <c r="F118" s="7" t="s">
        <v>14107</v>
      </c>
      <c r="G118" s="7" t="s">
        <v>14108</v>
      </c>
      <c r="H118" s="2" t="s">
        <v>13763</v>
      </c>
      <c r="I118" s="2" t="s">
        <v>14106</v>
      </c>
    </row>
    <row r="119">
      <c r="B119" s="2">
        <v>2018.0</v>
      </c>
      <c r="C119" s="2" t="s">
        <v>3396</v>
      </c>
      <c r="D119" s="2" t="s">
        <v>13756</v>
      </c>
      <c r="E119" s="2" t="s">
        <v>14109</v>
      </c>
      <c r="F119" s="7" t="s">
        <v>14110</v>
      </c>
      <c r="G119" s="7" t="s">
        <v>661</v>
      </c>
      <c r="H119" s="2" t="s">
        <v>13763</v>
      </c>
      <c r="I119" s="2" t="s">
        <v>14109</v>
      </c>
    </row>
    <row r="120" hidden="1">
      <c r="B120" s="2">
        <v>1992.0</v>
      </c>
      <c r="C120" s="2" t="s">
        <v>3396</v>
      </c>
      <c r="D120" s="2" t="s">
        <v>14111</v>
      </c>
      <c r="E120" s="2" t="s">
        <v>14112</v>
      </c>
      <c r="F120" s="7" t="s">
        <v>14113</v>
      </c>
      <c r="G120" s="2" t="s">
        <v>647</v>
      </c>
      <c r="H120" s="2" t="s">
        <v>13763</v>
      </c>
      <c r="I120" s="2" t="s">
        <v>14112</v>
      </c>
    </row>
    <row r="121" hidden="1">
      <c r="B121" s="2">
        <v>2012.0</v>
      </c>
      <c r="C121" s="2" t="s">
        <v>3396</v>
      </c>
      <c r="D121" s="2" t="s">
        <v>14114</v>
      </c>
      <c r="E121" s="2" t="s">
        <v>14115</v>
      </c>
      <c r="F121" s="7" t="s">
        <v>14116</v>
      </c>
      <c r="G121" s="2" t="s">
        <v>647</v>
      </c>
      <c r="H121" s="2" t="s">
        <v>13811</v>
      </c>
      <c r="I121" s="2" t="s">
        <v>14115</v>
      </c>
    </row>
    <row r="122">
      <c r="B122" s="2">
        <v>2014.0</v>
      </c>
      <c r="C122" s="2" t="s">
        <v>3396</v>
      </c>
      <c r="D122" s="2" t="s">
        <v>13756</v>
      </c>
      <c r="E122" s="2" t="s">
        <v>14117</v>
      </c>
      <c r="F122" s="7" t="s">
        <v>14118</v>
      </c>
      <c r="G122" s="7" t="s">
        <v>662</v>
      </c>
      <c r="H122" s="2" t="s">
        <v>13763</v>
      </c>
      <c r="I122" s="2" t="s">
        <v>14117</v>
      </c>
    </row>
    <row r="123">
      <c r="B123" s="2">
        <v>2013.0</v>
      </c>
      <c r="C123" s="2" t="s">
        <v>3396</v>
      </c>
      <c r="D123" s="2" t="s">
        <v>13756</v>
      </c>
      <c r="E123" s="2" t="s">
        <v>14119</v>
      </c>
      <c r="F123" s="7" t="s">
        <v>14120</v>
      </c>
      <c r="G123" s="7" t="s">
        <v>663</v>
      </c>
      <c r="H123" s="2" t="s">
        <v>13775</v>
      </c>
      <c r="I123" s="2" t="s">
        <v>14119</v>
      </c>
    </row>
    <row r="124" hidden="1">
      <c r="B124" s="2">
        <v>2015.0</v>
      </c>
      <c r="C124" s="2" t="s">
        <v>3396</v>
      </c>
      <c r="D124" s="2" t="s">
        <v>14121</v>
      </c>
      <c r="E124" s="2" t="s">
        <v>14122</v>
      </c>
      <c r="F124" s="7" t="s">
        <v>14123</v>
      </c>
      <c r="G124" s="7" t="s">
        <v>14124</v>
      </c>
      <c r="H124" s="2" t="s">
        <v>13775</v>
      </c>
      <c r="I124" s="2" t="s">
        <v>14122</v>
      </c>
    </row>
    <row r="125">
      <c r="B125" s="2">
        <v>2018.0</v>
      </c>
      <c r="C125" s="2" t="s">
        <v>3396</v>
      </c>
      <c r="D125" s="2" t="s">
        <v>13756</v>
      </c>
      <c r="E125" s="2" t="s">
        <v>14125</v>
      </c>
      <c r="F125" s="7" t="s">
        <v>14126</v>
      </c>
      <c r="G125" s="7" t="s">
        <v>664</v>
      </c>
      <c r="H125" s="2" t="s">
        <v>13763</v>
      </c>
      <c r="I125" s="2" t="s">
        <v>14125</v>
      </c>
    </row>
    <row r="126" hidden="1">
      <c r="B126" s="2">
        <v>2006.0</v>
      </c>
      <c r="C126" s="2" t="s">
        <v>3396</v>
      </c>
      <c r="D126" s="2" t="s">
        <v>14127</v>
      </c>
      <c r="E126" s="2" t="s">
        <v>14128</v>
      </c>
      <c r="F126" s="7" t="s">
        <v>14129</v>
      </c>
      <c r="G126" s="2" t="s">
        <v>647</v>
      </c>
      <c r="H126" s="2" t="s">
        <v>13763</v>
      </c>
      <c r="I126" s="2" t="s">
        <v>14128</v>
      </c>
    </row>
    <row r="127">
      <c r="B127" s="2">
        <v>2021.0</v>
      </c>
      <c r="C127" s="2" t="s">
        <v>3396</v>
      </c>
      <c r="D127" s="2" t="s">
        <v>13756</v>
      </c>
      <c r="E127" s="2" t="s">
        <v>14130</v>
      </c>
      <c r="F127" s="7" t="s">
        <v>14131</v>
      </c>
      <c r="G127" s="7" t="s">
        <v>665</v>
      </c>
      <c r="H127" s="2" t="s">
        <v>13763</v>
      </c>
      <c r="I127" s="2" t="s">
        <v>14130</v>
      </c>
    </row>
    <row r="128" hidden="1">
      <c r="B128" s="2">
        <v>2010.0</v>
      </c>
      <c r="C128" s="2" t="s">
        <v>3396</v>
      </c>
      <c r="D128" s="2" t="s">
        <v>14132</v>
      </c>
      <c r="E128" s="2" t="s">
        <v>14133</v>
      </c>
      <c r="F128" s="7" t="s">
        <v>14134</v>
      </c>
      <c r="G128" s="7" t="s">
        <v>14135</v>
      </c>
      <c r="H128" s="2" t="s">
        <v>13763</v>
      </c>
      <c r="I128" s="2" t="s">
        <v>14133</v>
      </c>
    </row>
    <row r="129" hidden="1">
      <c r="B129" s="2">
        <v>2009.0</v>
      </c>
      <c r="C129" s="2" t="s">
        <v>3396</v>
      </c>
      <c r="D129" s="2" t="s">
        <v>14136</v>
      </c>
      <c r="E129" s="2" t="s">
        <v>14137</v>
      </c>
      <c r="F129" s="7" t="s">
        <v>14138</v>
      </c>
      <c r="G129" s="7" t="s">
        <v>14139</v>
      </c>
      <c r="H129" s="2" t="s">
        <v>13775</v>
      </c>
      <c r="I129" s="2" t="s">
        <v>14137</v>
      </c>
    </row>
    <row r="130">
      <c r="B130" s="2">
        <v>2015.0</v>
      </c>
      <c r="C130" s="2" t="s">
        <v>3396</v>
      </c>
      <c r="D130" s="2" t="s">
        <v>13756</v>
      </c>
      <c r="E130" s="2" t="s">
        <v>14140</v>
      </c>
      <c r="F130" s="7" t="s">
        <v>14141</v>
      </c>
      <c r="G130" s="7" t="s">
        <v>666</v>
      </c>
      <c r="H130" s="2" t="s">
        <v>13763</v>
      </c>
      <c r="I130" s="2" t="s">
        <v>14140</v>
      </c>
    </row>
    <row r="131">
      <c r="B131" s="2">
        <v>2021.0</v>
      </c>
      <c r="C131" s="2" t="s">
        <v>3396</v>
      </c>
      <c r="D131" s="2" t="s">
        <v>13756</v>
      </c>
      <c r="E131" s="2" t="s">
        <v>14142</v>
      </c>
      <c r="F131" s="7" t="s">
        <v>14143</v>
      </c>
      <c r="G131" s="7" t="s">
        <v>667</v>
      </c>
      <c r="H131" s="2" t="s">
        <v>13775</v>
      </c>
      <c r="I131" s="2" t="s">
        <v>14142</v>
      </c>
    </row>
    <row r="132">
      <c r="B132" s="2">
        <v>2013.0</v>
      </c>
      <c r="C132" s="2" t="s">
        <v>3396</v>
      </c>
      <c r="D132" s="2" t="s">
        <v>13756</v>
      </c>
      <c r="E132" s="2" t="s">
        <v>14144</v>
      </c>
      <c r="F132" s="7" t="s">
        <v>14145</v>
      </c>
      <c r="G132" s="7" t="s">
        <v>668</v>
      </c>
      <c r="H132" s="2" t="s">
        <v>13763</v>
      </c>
      <c r="I132" s="2" t="s">
        <v>14144</v>
      </c>
    </row>
    <row r="133">
      <c r="B133" s="2">
        <v>2014.0</v>
      </c>
      <c r="C133" s="2" t="s">
        <v>3396</v>
      </c>
      <c r="D133" s="2" t="s">
        <v>13756</v>
      </c>
      <c r="E133" s="2" t="s">
        <v>14146</v>
      </c>
      <c r="F133" s="7" t="s">
        <v>14147</v>
      </c>
      <c r="G133" s="7" t="s">
        <v>669</v>
      </c>
      <c r="H133" s="2" t="s">
        <v>13811</v>
      </c>
      <c r="I133" s="2" t="s">
        <v>14146</v>
      </c>
    </row>
    <row r="134" hidden="1">
      <c r="B134" s="2">
        <v>1994.0</v>
      </c>
      <c r="C134" s="2" t="s">
        <v>3396</v>
      </c>
      <c r="D134" s="2" t="s">
        <v>14148</v>
      </c>
      <c r="E134" s="2" t="s">
        <v>14149</v>
      </c>
      <c r="F134" s="7" t="s">
        <v>14150</v>
      </c>
      <c r="G134" s="2" t="s">
        <v>647</v>
      </c>
      <c r="H134" s="2" t="s">
        <v>13755</v>
      </c>
      <c r="I134" s="2" t="s">
        <v>14149</v>
      </c>
    </row>
    <row r="135">
      <c r="B135" s="2">
        <v>2021.0</v>
      </c>
      <c r="C135" s="2" t="s">
        <v>3396</v>
      </c>
      <c r="D135" s="2" t="s">
        <v>13756</v>
      </c>
      <c r="E135" s="2" t="s">
        <v>14151</v>
      </c>
      <c r="F135" s="7" t="s">
        <v>14152</v>
      </c>
      <c r="G135" s="2" t="s">
        <v>647</v>
      </c>
      <c r="H135" s="2" t="s">
        <v>14153</v>
      </c>
      <c r="I135" s="2" t="s">
        <v>14151</v>
      </c>
    </row>
    <row r="136">
      <c r="B136" s="2">
        <v>2017.0</v>
      </c>
      <c r="C136" s="2" t="s">
        <v>3396</v>
      </c>
      <c r="D136" s="2" t="s">
        <v>13756</v>
      </c>
      <c r="E136" s="2" t="s">
        <v>14154</v>
      </c>
      <c r="F136" s="7" t="s">
        <v>14155</v>
      </c>
      <c r="G136" s="2" t="s">
        <v>647</v>
      </c>
      <c r="H136" s="2" t="s">
        <v>13775</v>
      </c>
      <c r="I136" s="2" t="s">
        <v>14154</v>
      </c>
    </row>
    <row r="137" hidden="1">
      <c r="B137" s="2">
        <v>2019.0</v>
      </c>
      <c r="C137" s="2" t="s">
        <v>3396</v>
      </c>
      <c r="D137" s="2" t="s">
        <v>14156</v>
      </c>
      <c r="E137" s="2" t="s">
        <v>14157</v>
      </c>
      <c r="F137" s="7" t="s">
        <v>14158</v>
      </c>
      <c r="G137" s="7" t="s">
        <v>14159</v>
      </c>
      <c r="H137" s="2" t="s">
        <v>13811</v>
      </c>
      <c r="I137" s="2" t="s">
        <v>14157</v>
      </c>
    </row>
    <row r="138" hidden="1">
      <c r="B138" s="2">
        <v>1999.0</v>
      </c>
      <c r="C138" s="2" t="s">
        <v>3396</v>
      </c>
      <c r="D138" s="2" t="s">
        <v>14160</v>
      </c>
      <c r="E138" s="2" t="s">
        <v>14161</v>
      </c>
      <c r="F138" s="7" t="s">
        <v>14162</v>
      </c>
      <c r="G138" s="7" t="s">
        <v>14163</v>
      </c>
      <c r="H138" s="2" t="s">
        <v>13811</v>
      </c>
      <c r="I138" s="2" t="s">
        <v>14161</v>
      </c>
    </row>
    <row r="139" hidden="1">
      <c r="A139" s="2" t="s">
        <v>14164</v>
      </c>
      <c r="B139" s="2">
        <v>1992.0</v>
      </c>
      <c r="C139" s="2" t="s">
        <v>3396</v>
      </c>
      <c r="D139" s="2" t="s">
        <v>14165</v>
      </c>
      <c r="E139" s="2" t="s">
        <v>14166</v>
      </c>
      <c r="F139" s="7" t="s">
        <v>14167</v>
      </c>
      <c r="G139" s="2" t="s">
        <v>647</v>
      </c>
      <c r="H139" s="2" t="s">
        <v>13775</v>
      </c>
      <c r="I139" s="2" t="s">
        <v>14166</v>
      </c>
    </row>
    <row r="140">
      <c r="B140" s="2">
        <v>2021.0</v>
      </c>
      <c r="C140" s="2" t="s">
        <v>3396</v>
      </c>
      <c r="D140" s="2" t="s">
        <v>13756</v>
      </c>
      <c r="E140" s="2" t="s">
        <v>14168</v>
      </c>
      <c r="F140" s="7" t="s">
        <v>14169</v>
      </c>
      <c r="G140" s="7" t="s">
        <v>670</v>
      </c>
      <c r="H140" s="2" t="s">
        <v>13759</v>
      </c>
      <c r="I140" s="2" t="s">
        <v>14168</v>
      </c>
    </row>
    <row r="141">
      <c r="B141" s="2">
        <v>2006.0</v>
      </c>
      <c r="C141" s="2" t="s">
        <v>3396</v>
      </c>
      <c r="D141" s="2" t="s">
        <v>13756</v>
      </c>
      <c r="E141" s="2" t="s">
        <v>14170</v>
      </c>
      <c r="F141" s="7" t="s">
        <v>14171</v>
      </c>
      <c r="G141" s="7" t="s">
        <v>671</v>
      </c>
      <c r="H141" s="2" t="s">
        <v>13763</v>
      </c>
      <c r="I141" s="2" t="s">
        <v>14170</v>
      </c>
    </row>
    <row r="142" hidden="1">
      <c r="A142" s="2" t="s">
        <v>14172</v>
      </c>
      <c r="B142" s="2">
        <v>1998.0</v>
      </c>
      <c r="C142" s="2" t="s">
        <v>3396</v>
      </c>
      <c r="D142" s="2" t="s">
        <v>14173</v>
      </c>
      <c r="E142" s="2" t="s">
        <v>14174</v>
      </c>
      <c r="F142" s="7" t="s">
        <v>14175</v>
      </c>
      <c r="G142" s="2" t="s">
        <v>647</v>
      </c>
      <c r="H142" s="2" t="s">
        <v>13763</v>
      </c>
      <c r="I142" s="2" t="s">
        <v>14174</v>
      </c>
    </row>
    <row r="143" hidden="1">
      <c r="B143" s="2">
        <v>2011.0</v>
      </c>
      <c r="C143" s="2" t="s">
        <v>3396</v>
      </c>
      <c r="D143" s="2" t="s">
        <v>14176</v>
      </c>
      <c r="E143" s="2" t="s">
        <v>14177</v>
      </c>
      <c r="F143" s="7" t="s">
        <v>14178</v>
      </c>
      <c r="G143" s="7" t="s">
        <v>14179</v>
      </c>
      <c r="H143" s="2" t="s">
        <v>13759</v>
      </c>
      <c r="I143" s="2" t="s">
        <v>14177</v>
      </c>
    </row>
    <row r="144">
      <c r="B144" s="2">
        <v>2022.0</v>
      </c>
      <c r="C144" s="2" t="s">
        <v>3396</v>
      </c>
      <c r="D144" s="2" t="s">
        <v>13756</v>
      </c>
      <c r="E144" s="2" t="s">
        <v>14180</v>
      </c>
      <c r="F144" s="7" t="s">
        <v>14181</v>
      </c>
      <c r="G144" s="7" t="s">
        <v>672</v>
      </c>
      <c r="H144" s="2" t="s">
        <v>13763</v>
      </c>
      <c r="I144" s="2" t="s">
        <v>14180</v>
      </c>
    </row>
    <row r="145">
      <c r="B145" s="2">
        <v>2012.0</v>
      </c>
      <c r="C145" s="2" t="s">
        <v>3396</v>
      </c>
      <c r="D145" s="2" t="s">
        <v>13756</v>
      </c>
      <c r="E145" s="2" t="s">
        <v>14182</v>
      </c>
      <c r="F145" s="7" t="s">
        <v>14183</v>
      </c>
      <c r="G145" s="7" t="s">
        <v>673</v>
      </c>
      <c r="H145" s="2" t="s">
        <v>13759</v>
      </c>
      <c r="I145" s="2" t="s">
        <v>14182</v>
      </c>
    </row>
    <row r="146" hidden="1">
      <c r="B146" s="2">
        <v>2011.0</v>
      </c>
      <c r="C146" s="2" t="s">
        <v>3396</v>
      </c>
      <c r="D146" s="2" t="s">
        <v>14184</v>
      </c>
      <c r="E146" s="2" t="s">
        <v>14185</v>
      </c>
      <c r="F146" s="7" t="s">
        <v>14186</v>
      </c>
      <c r="G146" s="7" t="s">
        <v>14187</v>
      </c>
      <c r="H146" s="2" t="s">
        <v>13763</v>
      </c>
      <c r="I146" s="2" t="s">
        <v>14185</v>
      </c>
    </row>
    <row r="147" hidden="1">
      <c r="A147" s="2" t="s">
        <v>14188</v>
      </c>
      <c r="B147" s="2">
        <v>2019.0</v>
      </c>
      <c r="C147" s="2" t="s">
        <v>3396</v>
      </c>
      <c r="D147" s="2" t="s">
        <v>14189</v>
      </c>
      <c r="E147" s="2" t="s">
        <v>14190</v>
      </c>
      <c r="F147" s="7" t="s">
        <v>14191</v>
      </c>
      <c r="G147" s="2" t="s">
        <v>647</v>
      </c>
      <c r="H147" s="2" t="s">
        <v>13775</v>
      </c>
      <c r="I147" s="2" t="s">
        <v>14190</v>
      </c>
    </row>
    <row r="148" hidden="1">
      <c r="B148" s="2">
        <v>2011.0</v>
      </c>
      <c r="C148" s="2" t="s">
        <v>3396</v>
      </c>
      <c r="D148" s="2" t="s">
        <v>14192</v>
      </c>
      <c r="E148" s="2" t="s">
        <v>14193</v>
      </c>
      <c r="F148" s="7" t="s">
        <v>14194</v>
      </c>
      <c r="G148" s="2" t="s">
        <v>647</v>
      </c>
      <c r="H148" s="2" t="s">
        <v>13775</v>
      </c>
      <c r="I148" s="2" t="s">
        <v>14193</v>
      </c>
    </row>
    <row r="149" hidden="1">
      <c r="B149" s="2">
        <v>2011.0</v>
      </c>
      <c r="C149" s="2" t="s">
        <v>3396</v>
      </c>
      <c r="D149" s="2" t="s">
        <v>14195</v>
      </c>
      <c r="E149" s="2" t="s">
        <v>14196</v>
      </c>
      <c r="F149" s="7" t="s">
        <v>14197</v>
      </c>
      <c r="G149" s="7" t="s">
        <v>14198</v>
      </c>
      <c r="H149" s="2" t="s">
        <v>13763</v>
      </c>
      <c r="I149" s="2" t="s">
        <v>14196</v>
      </c>
    </row>
    <row r="150" hidden="1">
      <c r="B150" s="2">
        <v>2000.0</v>
      </c>
      <c r="C150" s="2" t="s">
        <v>3396</v>
      </c>
      <c r="D150" s="2" t="s">
        <v>14199</v>
      </c>
      <c r="E150" s="2" t="s">
        <v>14200</v>
      </c>
      <c r="F150" s="7" t="s">
        <v>14201</v>
      </c>
      <c r="G150" s="7" t="s">
        <v>14202</v>
      </c>
      <c r="H150" s="2" t="s">
        <v>13775</v>
      </c>
      <c r="I150" s="2" t="s">
        <v>14200</v>
      </c>
    </row>
    <row r="151" hidden="1">
      <c r="A151" s="2" t="s">
        <v>14203</v>
      </c>
      <c r="B151" s="2">
        <v>1995.0</v>
      </c>
      <c r="C151" s="2" t="s">
        <v>3396</v>
      </c>
      <c r="D151" s="2" t="s">
        <v>14204</v>
      </c>
      <c r="E151" s="2" t="s">
        <v>14205</v>
      </c>
      <c r="F151" s="7" t="s">
        <v>14206</v>
      </c>
      <c r="G151" s="2" t="s">
        <v>647</v>
      </c>
      <c r="H151" s="2" t="s">
        <v>13763</v>
      </c>
      <c r="I151" s="2" t="s">
        <v>14205</v>
      </c>
    </row>
    <row r="152" hidden="1">
      <c r="B152" s="2">
        <v>2014.0</v>
      </c>
      <c r="C152" s="2" t="s">
        <v>3396</v>
      </c>
      <c r="D152" s="2" t="s">
        <v>14207</v>
      </c>
      <c r="E152" s="2" t="s">
        <v>14208</v>
      </c>
      <c r="F152" s="7" t="s">
        <v>14209</v>
      </c>
      <c r="G152" s="2" t="s">
        <v>647</v>
      </c>
      <c r="H152" s="2" t="s">
        <v>14210</v>
      </c>
      <c r="I152" s="2" t="s">
        <v>14208</v>
      </c>
    </row>
    <row r="153" hidden="1">
      <c r="A153" s="2" t="s">
        <v>14211</v>
      </c>
      <c r="B153" s="2">
        <v>1999.0</v>
      </c>
      <c r="C153" s="2" t="s">
        <v>3396</v>
      </c>
      <c r="D153" s="2" t="s">
        <v>14212</v>
      </c>
      <c r="E153" s="2" t="s">
        <v>14213</v>
      </c>
      <c r="F153" s="7" t="s">
        <v>14214</v>
      </c>
      <c r="G153" s="2" t="s">
        <v>647</v>
      </c>
      <c r="H153" s="2" t="s">
        <v>13755</v>
      </c>
      <c r="I153" s="2" t="s">
        <v>14213</v>
      </c>
    </row>
    <row r="154">
      <c r="B154" s="2">
        <v>2014.0</v>
      </c>
      <c r="C154" s="2" t="s">
        <v>3396</v>
      </c>
      <c r="D154" s="2" t="s">
        <v>13756</v>
      </c>
      <c r="E154" s="2" t="s">
        <v>14215</v>
      </c>
      <c r="F154" s="7" t="s">
        <v>14216</v>
      </c>
      <c r="G154" s="7" t="s">
        <v>674</v>
      </c>
      <c r="H154" s="2" t="s">
        <v>13763</v>
      </c>
      <c r="I154" s="2" t="s">
        <v>14215</v>
      </c>
    </row>
    <row r="155" hidden="1">
      <c r="B155" s="2">
        <v>1992.0</v>
      </c>
      <c r="C155" s="2" t="s">
        <v>3396</v>
      </c>
      <c r="D155" s="2" t="s">
        <v>14217</v>
      </c>
      <c r="E155" s="2" t="s">
        <v>14218</v>
      </c>
      <c r="F155" s="7" t="s">
        <v>14219</v>
      </c>
      <c r="G155" s="2" t="s">
        <v>647</v>
      </c>
      <c r="H155" s="2" t="s">
        <v>13763</v>
      </c>
      <c r="I155" s="2" t="s">
        <v>14218</v>
      </c>
    </row>
    <row r="156">
      <c r="B156" s="2">
        <v>2014.0</v>
      </c>
      <c r="C156" s="2" t="s">
        <v>3396</v>
      </c>
      <c r="D156" s="2" t="s">
        <v>13756</v>
      </c>
      <c r="E156" s="2" t="s">
        <v>14220</v>
      </c>
      <c r="F156" s="7" t="s">
        <v>14221</v>
      </c>
      <c r="G156" s="7" t="s">
        <v>675</v>
      </c>
      <c r="H156" s="2" t="s">
        <v>13763</v>
      </c>
      <c r="I156" s="2" t="s">
        <v>14220</v>
      </c>
    </row>
    <row r="157" hidden="1">
      <c r="B157" s="2">
        <v>2012.0</v>
      </c>
      <c r="C157" s="2" t="s">
        <v>3396</v>
      </c>
      <c r="D157" s="2" t="s">
        <v>14222</v>
      </c>
      <c r="E157" s="2" t="s">
        <v>14223</v>
      </c>
      <c r="F157" s="7" t="s">
        <v>14224</v>
      </c>
      <c r="G157" s="2" t="s">
        <v>647</v>
      </c>
      <c r="H157" s="2" t="s">
        <v>13763</v>
      </c>
      <c r="I157" s="2" t="s">
        <v>14223</v>
      </c>
    </row>
    <row r="158" hidden="1">
      <c r="A158" s="2" t="s">
        <v>14225</v>
      </c>
      <c r="B158" s="2">
        <v>2011.0</v>
      </c>
      <c r="C158" s="2" t="s">
        <v>3396</v>
      </c>
      <c r="D158" s="2" t="s">
        <v>14226</v>
      </c>
      <c r="E158" s="2" t="s">
        <v>14227</v>
      </c>
      <c r="F158" s="7" t="s">
        <v>14228</v>
      </c>
      <c r="G158" s="2" t="s">
        <v>647</v>
      </c>
      <c r="H158" s="2" t="s">
        <v>13811</v>
      </c>
      <c r="I158" s="2" t="s">
        <v>14227</v>
      </c>
    </row>
    <row r="159" hidden="1">
      <c r="A159" s="2" t="s">
        <v>14229</v>
      </c>
      <c r="B159" s="2">
        <v>2002.0</v>
      </c>
      <c r="C159" s="2" t="s">
        <v>3396</v>
      </c>
      <c r="D159" s="2" t="s">
        <v>14230</v>
      </c>
      <c r="E159" s="2" t="s">
        <v>14231</v>
      </c>
      <c r="F159" s="7" t="s">
        <v>14232</v>
      </c>
      <c r="G159" s="2" t="s">
        <v>647</v>
      </c>
      <c r="H159" s="2" t="s">
        <v>13763</v>
      </c>
      <c r="I159" s="2" t="s">
        <v>14231</v>
      </c>
    </row>
    <row r="160" hidden="1">
      <c r="B160" s="2">
        <v>2011.0</v>
      </c>
      <c r="C160" s="2" t="s">
        <v>3396</v>
      </c>
      <c r="D160" s="2" t="s">
        <v>14233</v>
      </c>
      <c r="E160" s="2" t="s">
        <v>14234</v>
      </c>
      <c r="F160" s="7" t="s">
        <v>14235</v>
      </c>
      <c r="G160" s="2" t="s">
        <v>647</v>
      </c>
      <c r="H160" s="2" t="s">
        <v>13775</v>
      </c>
      <c r="I160" s="2" t="s">
        <v>14234</v>
      </c>
    </row>
    <row r="161" hidden="1">
      <c r="B161" s="2">
        <v>2015.0</v>
      </c>
      <c r="C161" s="2" t="s">
        <v>3396</v>
      </c>
      <c r="D161" s="2" t="s">
        <v>14236</v>
      </c>
      <c r="E161" s="2" t="s">
        <v>14237</v>
      </c>
      <c r="F161" s="7" t="s">
        <v>14238</v>
      </c>
      <c r="G161" s="2" t="s">
        <v>647</v>
      </c>
      <c r="H161" s="2" t="s">
        <v>13763</v>
      </c>
      <c r="I161" s="2" t="s">
        <v>14237</v>
      </c>
    </row>
    <row r="162" hidden="1">
      <c r="A162" s="2" t="s">
        <v>14239</v>
      </c>
      <c r="B162" s="2">
        <v>1986.0</v>
      </c>
      <c r="C162" s="2" t="s">
        <v>3396</v>
      </c>
      <c r="D162" s="2" t="s">
        <v>13794</v>
      </c>
      <c r="E162" s="2" t="s">
        <v>14240</v>
      </c>
      <c r="F162" s="7" t="s">
        <v>14241</v>
      </c>
      <c r="G162" s="2" t="s">
        <v>647</v>
      </c>
      <c r="H162" s="2" t="s">
        <v>13811</v>
      </c>
      <c r="I162" s="2" t="s">
        <v>14240</v>
      </c>
    </row>
    <row r="163" hidden="1">
      <c r="A163" s="2" t="s">
        <v>14242</v>
      </c>
      <c r="B163" s="2">
        <v>1993.0</v>
      </c>
      <c r="C163" s="2" t="s">
        <v>3396</v>
      </c>
      <c r="D163" s="2" t="s">
        <v>14243</v>
      </c>
      <c r="E163" s="2" t="s">
        <v>14244</v>
      </c>
      <c r="F163" s="7" t="s">
        <v>14245</v>
      </c>
      <c r="G163" s="2" t="s">
        <v>647</v>
      </c>
      <c r="H163" s="2" t="s">
        <v>13775</v>
      </c>
      <c r="I163" s="2" t="s">
        <v>14244</v>
      </c>
    </row>
    <row r="164">
      <c r="B164" s="2">
        <v>2016.0</v>
      </c>
      <c r="C164" s="2" t="s">
        <v>3396</v>
      </c>
      <c r="D164" s="2" t="s">
        <v>13756</v>
      </c>
      <c r="E164" s="2" t="s">
        <v>14246</v>
      </c>
      <c r="F164" s="7" t="s">
        <v>14247</v>
      </c>
      <c r="G164" s="7" t="s">
        <v>676</v>
      </c>
      <c r="H164" s="2" t="s">
        <v>13759</v>
      </c>
      <c r="I164" s="2" t="s">
        <v>14246</v>
      </c>
    </row>
    <row r="165" hidden="1">
      <c r="B165" s="2">
        <v>2019.0</v>
      </c>
      <c r="C165" s="2" t="s">
        <v>3396</v>
      </c>
      <c r="D165" s="2" t="s">
        <v>14248</v>
      </c>
      <c r="E165" s="2" t="s">
        <v>14249</v>
      </c>
      <c r="F165" s="7" t="s">
        <v>14250</v>
      </c>
      <c r="G165" s="7" t="s">
        <v>14251</v>
      </c>
      <c r="H165" s="2" t="s">
        <v>14210</v>
      </c>
      <c r="I165" s="2" t="s">
        <v>14249</v>
      </c>
    </row>
    <row r="166">
      <c r="B166" s="2">
        <v>2023.0</v>
      </c>
      <c r="C166" s="2" t="s">
        <v>3396</v>
      </c>
      <c r="D166" s="2" t="s">
        <v>13756</v>
      </c>
      <c r="E166" s="2" t="s">
        <v>14252</v>
      </c>
      <c r="F166" s="7" t="s">
        <v>14253</v>
      </c>
      <c r="G166" s="7" t="s">
        <v>677</v>
      </c>
      <c r="H166" s="2" t="s">
        <v>13763</v>
      </c>
      <c r="I166" s="2" t="s">
        <v>14252</v>
      </c>
    </row>
    <row r="167">
      <c r="B167" s="2">
        <v>2015.0</v>
      </c>
      <c r="C167" s="2" t="s">
        <v>3396</v>
      </c>
      <c r="D167" s="2" t="s">
        <v>13756</v>
      </c>
      <c r="E167" s="2" t="s">
        <v>14254</v>
      </c>
      <c r="F167" s="7" t="s">
        <v>14255</v>
      </c>
      <c r="G167" s="7" t="s">
        <v>678</v>
      </c>
      <c r="H167" s="2" t="s">
        <v>14256</v>
      </c>
      <c r="I167" s="2" t="s">
        <v>14254</v>
      </c>
    </row>
    <row r="168" hidden="1">
      <c r="B168" s="2">
        <v>2008.0</v>
      </c>
      <c r="C168" s="2" t="s">
        <v>3396</v>
      </c>
      <c r="D168" s="2" t="s">
        <v>14257</v>
      </c>
      <c r="E168" s="2" t="s">
        <v>14258</v>
      </c>
      <c r="F168" s="7" t="s">
        <v>14259</v>
      </c>
      <c r="G168" s="7" t="s">
        <v>14260</v>
      </c>
      <c r="H168" s="2" t="s">
        <v>13763</v>
      </c>
      <c r="I168" s="2" t="s">
        <v>14258</v>
      </c>
    </row>
    <row r="169">
      <c r="B169" s="2">
        <v>2020.0</v>
      </c>
      <c r="C169" s="2" t="s">
        <v>3396</v>
      </c>
      <c r="D169" s="2" t="s">
        <v>13756</v>
      </c>
      <c r="E169" s="2" t="s">
        <v>14261</v>
      </c>
      <c r="F169" s="7" t="s">
        <v>14262</v>
      </c>
      <c r="G169" s="7" t="s">
        <v>679</v>
      </c>
      <c r="H169" s="2" t="s">
        <v>14210</v>
      </c>
      <c r="I169" s="2" t="s">
        <v>14261</v>
      </c>
    </row>
    <row r="170" hidden="1">
      <c r="B170" s="2">
        <v>2012.0</v>
      </c>
      <c r="C170" s="2" t="s">
        <v>3396</v>
      </c>
      <c r="D170" s="2" t="s">
        <v>14263</v>
      </c>
      <c r="E170" s="2" t="s">
        <v>14264</v>
      </c>
      <c r="F170" s="7" t="s">
        <v>14265</v>
      </c>
      <c r="G170" s="7" t="s">
        <v>14266</v>
      </c>
      <c r="H170" s="2" t="s">
        <v>13759</v>
      </c>
      <c r="I170" s="2" t="s">
        <v>14264</v>
      </c>
    </row>
    <row r="171" hidden="1">
      <c r="B171" s="2">
        <v>1993.0</v>
      </c>
      <c r="C171" s="2" t="s">
        <v>3396</v>
      </c>
      <c r="D171" s="2" t="s">
        <v>14267</v>
      </c>
      <c r="E171" s="2" t="s">
        <v>14268</v>
      </c>
      <c r="F171" s="7" t="s">
        <v>14269</v>
      </c>
      <c r="G171" s="2" t="s">
        <v>647</v>
      </c>
      <c r="H171" s="2" t="s">
        <v>13775</v>
      </c>
      <c r="I171" s="2" t="s">
        <v>14268</v>
      </c>
    </row>
    <row r="172" hidden="1">
      <c r="A172" s="2" t="s">
        <v>14270</v>
      </c>
      <c r="B172" s="2">
        <v>2000.0</v>
      </c>
      <c r="C172" s="2" t="s">
        <v>3396</v>
      </c>
      <c r="D172" s="2" t="s">
        <v>14271</v>
      </c>
      <c r="E172" s="2" t="s">
        <v>14272</v>
      </c>
      <c r="F172" s="7" t="s">
        <v>14273</v>
      </c>
      <c r="G172" s="2" t="s">
        <v>647</v>
      </c>
      <c r="H172" s="2" t="s">
        <v>14210</v>
      </c>
      <c r="I172" s="2" t="s">
        <v>14272</v>
      </c>
    </row>
    <row r="173" hidden="1">
      <c r="A173" s="2" t="s">
        <v>14274</v>
      </c>
      <c r="B173" s="2">
        <v>2000.0</v>
      </c>
      <c r="C173" s="2" t="s">
        <v>3396</v>
      </c>
      <c r="D173" s="2" t="s">
        <v>14275</v>
      </c>
      <c r="E173" s="2" t="s">
        <v>14276</v>
      </c>
      <c r="F173" s="7" t="s">
        <v>14277</v>
      </c>
      <c r="G173" s="2" t="s">
        <v>647</v>
      </c>
      <c r="H173" s="2" t="s">
        <v>13763</v>
      </c>
      <c r="I173" s="2" t="s">
        <v>14276</v>
      </c>
    </row>
    <row r="174" hidden="1">
      <c r="B174" s="2">
        <v>2015.0</v>
      </c>
      <c r="C174" s="2" t="s">
        <v>3396</v>
      </c>
      <c r="D174" s="2" t="s">
        <v>14278</v>
      </c>
      <c r="E174" s="2" t="s">
        <v>14279</v>
      </c>
      <c r="F174" s="7" t="s">
        <v>14280</v>
      </c>
      <c r="G174" s="7" t="s">
        <v>14281</v>
      </c>
      <c r="H174" s="2" t="s">
        <v>13811</v>
      </c>
      <c r="I174" s="2" t="s">
        <v>14279</v>
      </c>
    </row>
    <row r="175">
      <c r="B175" s="2">
        <v>2014.0</v>
      </c>
      <c r="C175" s="2" t="s">
        <v>3396</v>
      </c>
      <c r="D175" s="2" t="s">
        <v>13756</v>
      </c>
      <c r="E175" s="2" t="s">
        <v>14282</v>
      </c>
      <c r="F175" s="7" t="s">
        <v>14283</v>
      </c>
      <c r="G175" s="7" t="s">
        <v>680</v>
      </c>
      <c r="H175" s="2" t="s">
        <v>13811</v>
      </c>
      <c r="I175" s="2" t="s">
        <v>14282</v>
      </c>
    </row>
    <row r="176" hidden="1">
      <c r="A176" s="2" t="s">
        <v>14284</v>
      </c>
      <c r="B176" s="2">
        <v>1996.0</v>
      </c>
      <c r="C176" s="2" t="s">
        <v>3396</v>
      </c>
      <c r="D176" s="2" t="s">
        <v>14267</v>
      </c>
      <c r="E176" s="2" t="s">
        <v>14285</v>
      </c>
      <c r="F176" s="7" t="s">
        <v>14286</v>
      </c>
      <c r="G176" s="2" t="s">
        <v>647</v>
      </c>
      <c r="H176" s="2" t="s">
        <v>13811</v>
      </c>
      <c r="I176" s="2" t="s">
        <v>14285</v>
      </c>
    </row>
    <row r="177" hidden="1">
      <c r="B177" s="2">
        <v>2000.0</v>
      </c>
      <c r="C177" s="2" t="s">
        <v>3396</v>
      </c>
      <c r="D177" s="2" t="s">
        <v>14287</v>
      </c>
      <c r="E177" s="2" t="s">
        <v>14288</v>
      </c>
      <c r="F177" s="7" t="s">
        <v>14289</v>
      </c>
      <c r="G177" s="2" t="s">
        <v>647</v>
      </c>
      <c r="H177" s="2" t="s">
        <v>13763</v>
      </c>
      <c r="I177" s="2" t="s">
        <v>14288</v>
      </c>
    </row>
    <row r="178">
      <c r="A178" s="2" t="s">
        <v>14290</v>
      </c>
      <c r="B178" s="2">
        <v>2006.0</v>
      </c>
      <c r="C178" s="2" t="s">
        <v>3396</v>
      </c>
      <c r="D178" s="2" t="s">
        <v>13756</v>
      </c>
      <c r="E178" s="2" t="s">
        <v>14291</v>
      </c>
      <c r="F178" s="7" t="s">
        <v>14292</v>
      </c>
      <c r="G178" s="2" t="s">
        <v>647</v>
      </c>
      <c r="H178" s="2" t="s">
        <v>13763</v>
      </c>
      <c r="I178" s="2" t="s">
        <v>14291</v>
      </c>
    </row>
    <row r="179" hidden="1">
      <c r="B179" s="2">
        <v>2012.0</v>
      </c>
      <c r="C179" s="2" t="s">
        <v>3396</v>
      </c>
      <c r="D179" s="2" t="s">
        <v>14293</v>
      </c>
      <c r="E179" s="2" t="s">
        <v>14294</v>
      </c>
      <c r="F179" s="7" t="s">
        <v>14295</v>
      </c>
      <c r="G179" s="2" t="s">
        <v>647</v>
      </c>
      <c r="H179" s="2" t="s">
        <v>13759</v>
      </c>
      <c r="I179" s="2" t="s">
        <v>14294</v>
      </c>
    </row>
    <row r="180">
      <c r="B180" s="2">
        <v>2013.0</v>
      </c>
      <c r="C180" s="2" t="s">
        <v>3396</v>
      </c>
      <c r="D180" s="2" t="s">
        <v>13756</v>
      </c>
      <c r="E180" s="2" t="s">
        <v>14296</v>
      </c>
      <c r="F180" s="7" t="s">
        <v>14297</v>
      </c>
      <c r="G180" s="2" t="s">
        <v>647</v>
      </c>
      <c r="H180" s="2" t="s">
        <v>13759</v>
      </c>
      <c r="I180" s="2" t="s">
        <v>14296</v>
      </c>
    </row>
    <row r="181" hidden="1">
      <c r="B181" s="2">
        <v>2014.0</v>
      </c>
      <c r="C181" s="2" t="s">
        <v>3396</v>
      </c>
      <c r="D181" s="2" t="s">
        <v>14298</v>
      </c>
      <c r="E181" s="2" t="s">
        <v>14299</v>
      </c>
      <c r="F181" s="7" t="s">
        <v>14300</v>
      </c>
      <c r="G181" s="7" t="s">
        <v>14301</v>
      </c>
      <c r="H181" s="2" t="s">
        <v>13763</v>
      </c>
      <c r="I181" s="2" t="s">
        <v>14299</v>
      </c>
    </row>
    <row r="182">
      <c r="B182" s="2">
        <v>2024.0</v>
      </c>
      <c r="C182" s="2" t="s">
        <v>3396</v>
      </c>
      <c r="D182" s="2" t="s">
        <v>13756</v>
      </c>
      <c r="E182" s="2" t="s">
        <v>14302</v>
      </c>
      <c r="F182" s="7" t="s">
        <v>14303</v>
      </c>
      <c r="G182" s="7" t="s">
        <v>681</v>
      </c>
      <c r="H182" s="2" t="s">
        <v>13759</v>
      </c>
      <c r="I182" s="2" t="s">
        <v>14302</v>
      </c>
    </row>
    <row r="183">
      <c r="B183" s="2">
        <v>2021.0</v>
      </c>
      <c r="C183" s="2" t="s">
        <v>3396</v>
      </c>
      <c r="D183" s="2" t="s">
        <v>13756</v>
      </c>
      <c r="E183" s="2" t="s">
        <v>14304</v>
      </c>
      <c r="F183" s="7" t="s">
        <v>14305</v>
      </c>
      <c r="G183" s="7" t="s">
        <v>682</v>
      </c>
      <c r="H183" s="2" t="s">
        <v>13763</v>
      </c>
      <c r="I183" s="2" t="s">
        <v>14304</v>
      </c>
    </row>
    <row r="184" hidden="1">
      <c r="B184" s="2">
        <v>2011.0</v>
      </c>
      <c r="C184" s="2" t="s">
        <v>3396</v>
      </c>
      <c r="D184" s="2" t="s">
        <v>14306</v>
      </c>
      <c r="E184" s="2" t="s">
        <v>14307</v>
      </c>
      <c r="F184" s="7" t="s">
        <v>14308</v>
      </c>
      <c r="G184" s="2" t="s">
        <v>647</v>
      </c>
      <c r="H184" s="2" t="s">
        <v>13763</v>
      </c>
      <c r="I184" s="2" t="s">
        <v>14307</v>
      </c>
    </row>
    <row r="185" hidden="1">
      <c r="A185" s="2" t="s">
        <v>14309</v>
      </c>
      <c r="B185" s="2">
        <v>1993.0</v>
      </c>
      <c r="C185" s="2" t="s">
        <v>3396</v>
      </c>
      <c r="D185" s="2" t="s">
        <v>14310</v>
      </c>
      <c r="E185" s="2" t="s">
        <v>14311</v>
      </c>
      <c r="F185" s="7" t="s">
        <v>14312</v>
      </c>
      <c r="G185" s="2" t="s">
        <v>647</v>
      </c>
      <c r="H185" s="2" t="s">
        <v>13775</v>
      </c>
      <c r="I185" s="2" t="s">
        <v>14311</v>
      </c>
    </row>
    <row r="186" hidden="1">
      <c r="A186" s="2" t="s">
        <v>14313</v>
      </c>
      <c r="B186" s="2">
        <v>1996.0</v>
      </c>
      <c r="C186" s="2" t="s">
        <v>3396</v>
      </c>
      <c r="D186" s="2" t="s">
        <v>14003</v>
      </c>
      <c r="E186" s="2" t="s">
        <v>14314</v>
      </c>
      <c r="F186" s="7" t="s">
        <v>14315</v>
      </c>
      <c r="G186" s="2" t="s">
        <v>647</v>
      </c>
      <c r="H186" s="2" t="s">
        <v>13775</v>
      </c>
      <c r="I186" s="2" t="s">
        <v>14314</v>
      </c>
    </row>
    <row r="187" hidden="1">
      <c r="B187" s="2">
        <v>2008.0</v>
      </c>
      <c r="C187" s="2" t="s">
        <v>3396</v>
      </c>
      <c r="D187" s="2" t="s">
        <v>13988</v>
      </c>
      <c r="E187" s="2" t="s">
        <v>14316</v>
      </c>
      <c r="F187" s="7" t="s">
        <v>14317</v>
      </c>
      <c r="G187" s="7" t="s">
        <v>14318</v>
      </c>
      <c r="H187" s="2" t="s">
        <v>13763</v>
      </c>
      <c r="I187" s="2" t="s">
        <v>14316</v>
      </c>
    </row>
    <row r="188">
      <c r="B188" s="2">
        <v>2015.0</v>
      </c>
      <c r="C188" s="2" t="s">
        <v>3396</v>
      </c>
      <c r="D188" s="2" t="s">
        <v>13756</v>
      </c>
      <c r="E188" s="2" t="s">
        <v>14319</v>
      </c>
      <c r="F188" s="7" t="s">
        <v>14320</v>
      </c>
      <c r="G188" s="7" t="s">
        <v>683</v>
      </c>
      <c r="H188" s="2" t="s">
        <v>13763</v>
      </c>
      <c r="I188" s="2" t="s">
        <v>14319</v>
      </c>
    </row>
    <row r="189" hidden="1">
      <c r="B189" s="2">
        <v>2013.0</v>
      </c>
      <c r="C189" s="2" t="s">
        <v>3396</v>
      </c>
      <c r="D189" s="2" t="s">
        <v>14321</v>
      </c>
      <c r="E189" s="2" t="s">
        <v>14322</v>
      </c>
      <c r="F189" s="7" t="s">
        <v>14323</v>
      </c>
      <c r="G189" s="2" t="s">
        <v>647</v>
      </c>
      <c r="H189" s="2" t="s">
        <v>13775</v>
      </c>
      <c r="I189" s="2" t="s">
        <v>14322</v>
      </c>
    </row>
    <row r="190" hidden="1">
      <c r="A190" s="2" t="s">
        <v>14324</v>
      </c>
      <c r="B190" s="2">
        <v>1987.0</v>
      </c>
      <c r="C190" s="2" t="s">
        <v>3396</v>
      </c>
      <c r="D190" s="2" t="s">
        <v>14325</v>
      </c>
      <c r="E190" s="2" t="s">
        <v>14326</v>
      </c>
      <c r="F190" s="7" t="s">
        <v>14327</v>
      </c>
      <c r="G190" s="2" t="s">
        <v>647</v>
      </c>
      <c r="H190" s="2" t="s">
        <v>13775</v>
      </c>
      <c r="I190" s="2" t="s">
        <v>14326</v>
      </c>
    </row>
    <row r="191" hidden="1">
      <c r="B191" s="2">
        <v>2014.0</v>
      </c>
      <c r="C191" s="2" t="s">
        <v>3396</v>
      </c>
      <c r="D191" s="2" t="s">
        <v>14328</v>
      </c>
      <c r="E191" s="2" t="s">
        <v>14329</v>
      </c>
      <c r="F191" s="7" t="s">
        <v>14330</v>
      </c>
      <c r="G191" s="2" t="s">
        <v>647</v>
      </c>
      <c r="H191" s="2" t="s">
        <v>13775</v>
      </c>
      <c r="I191" s="2" t="s">
        <v>14329</v>
      </c>
    </row>
    <row r="192" hidden="1">
      <c r="B192" s="2">
        <v>2009.0</v>
      </c>
      <c r="C192" s="2" t="s">
        <v>3396</v>
      </c>
      <c r="D192" s="2" t="s">
        <v>14331</v>
      </c>
      <c r="E192" s="2" t="s">
        <v>14332</v>
      </c>
      <c r="F192" s="7" t="s">
        <v>14333</v>
      </c>
      <c r="G192" s="7" t="s">
        <v>14334</v>
      </c>
      <c r="H192" s="2" t="s">
        <v>13775</v>
      </c>
      <c r="I192" s="2" t="s">
        <v>14332</v>
      </c>
    </row>
    <row r="193" hidden="1">
      <c r="A193" s="2" t="s">
        <v>14335</v>
      </c>
      <c r="B193" s="2">
        <v>1997.0</v>
      </c>
      <c r="C193" s="2" t="s">
        <v>3396</v>
      </c>
      <c r="D193" s="2" t="s">
        <v>14336</v>
      </c>
      <c r="E193" s="2" t="s">
        <v>14337</v>
      </c>
      <c r="F193" s="7" t="s">
        <v>14338</v>
      </c>
      <c r="G193" s="2" t="s">
        <v>647</v>
      </c>
      <c r="H193" s="2" t="s">
        <v>13763</v>
      </c>
      <c r="I193" s="2" t="s">
        <v>14337</v>
      </c>
    </row>
    <row r="194" hidden="1">
      <c r="B194" s="2">
        <v>2022.0</v>
      </c>
      <c r="C194" s="2" t="s">
        <v>3396</v>
      </c>
      <c r="D194" s="2" t="s">
        <v>14339</v>
      </c>
      <c r="E194" s="2" t="s">
        <v>14340</v>
      </c>
      <c r="F194" s="7" t="s">
        <v>14341</v>
      </c>
      <c r="G194" s="7" t="s">
        <v>14342</v>
      </c>
      <c r="H194" s="2" t="s">
        <v>13775</v>
      </c>
      <c r="I194" s="2" t="s">
        <v>14340</v>
      </c>
    </row>
    <row r="195" hidden="1">
      <c r="B195" s="2">
        <v>2010.0</v>
      </c>
      <c r="C195" s="2" t="s">
        <v>3396</v>
      </c>
      <c r="D195" s="2" t="s">
        <v>14343</v>
      </c>
      <c r="E195" s="2" t="s">
        <v>14344</v>
      </c>
      <c r="F195" s="7" t="s">
        <v>14345</v>
      </c>
      <c r="G195" s="2" t="s">
        <v>647</v>
      </c>
      <c r="H195" s="2" t="s">
        <v>13763</v>
      </c>
      <c r="I195" s="2" t="s">
        <v>14344</v>
      </c>
    </row>
    <row r="196" hidden="1">
      <c r="B196" s="2">
        <v>2011.0</v>
      </c>
      <c r="C196" s="2" t="s">
        <v>3396</v>
      </c>
      <c r="D196" s="2" t="s">
        <v>14346</v>
      </c>
      <c r="E196" s="2" t="s">
        <v>14347</v>
      </c>
      <c r="F196" s="7" t="s">
        <v>14348</v>
      </c>
      <c r="G196" s="2" t="s">
        <v>647</v>
      </c>
      <c r="H196" s="2" t="s">
        <v>13763</v>
      </c>
      <c r="I196" s="2" t="s">
        <v>14347</v>
      </c>
    </row>
    <row r="197">
      <c r="B197" s="2">
        <v>2019.0</v>
      </c>
      <c r="C197" s="2" t="s">
        <v>3396</v>
      </c>
      <c r="D197" s="2" t="s">
        <v>13756</v>
      </c>
      <c r="E197" s="2" t="s">
        <v>14349</v>
      </c>
      <c r="F197" s="7" t="s">
        <v>14350</v>
      </c>
      <c r="G197" s="7" t="s">
        <v>684</v>
      </c>
      <c r="H197" s="2" t="s">
        <v>13759</v>
      </c>
      <c r="I197" s="2" t="s">
        <v>14349</v>
      </c>
    </row>
    <row r="198">
      <c r="B198" s="2">
        <v>2014.0</v>
      </c>
      <c r="C198" s="2" t="s">
        <v>3396</v>
      </c>
      <c r="D198" s="2" t="s">
        <v>13756</v>
      </c>
      <c r="E198" s="2" t="s">
        <v>14351</v>
      </c>
      <c r="F198" s="7" t="s">
        <v>14352</v>
      </c>
      <c r="G198" s="7" t="s">
        <v>685</v>
      </c>
      <c r="H198" s="2" t="s">
        <v>13763</v>
      </c>
      <c r="I198" s="2" t="s">
        <v>14351</v>
      </c>
    </row>
    <row r="199" hidden="1">
      <c r="B199" s="2">
        <v>2010.0</v>
      </c>
      <c r="C199" s="2" t="s">
        <v>3396</v>
      </c>
      <c r="D199" s="2" t="s">
        <v>14353</v>
      </c>
      <c r="E199" s="2" t="s">
        <v>14354</v>
      </c>
      <c r="F199" s="7" t="s">
        <v>14355</v>
      </c>
      <c r="G199" s="7" t="s">
        <v>14356</v>
      </c>
      <c r="H199" s="2" t="s">
        <v>13763</v>
      </c>
      <c r="I199" s="2" t="s">
        <v>14354</v>
      </c>
    </row>
    <row r="200">
      <c r="B200" s="2">
        <v>2012.0</v>
      </c>
      <c r="C200" s="2" t="s">
        <v>3396</v>
      </c>
      <c r="D200" s="2" t="s">
        <v>13756</v>
      </c>
      <c r="E200" s="2" t="s">
        <v>14357</v>
      </c>
      <c r="F200" s="7" t="s">
        <v>14358</v>
      </c>
      <c r="G200" s="2" t="s">
        <v>647</v>
      </c>
      <c r="H200" s="2" t="s">
        <v>13759</v>
      </c>
      <c r="I200" s="2" t="s">
        <v>14357</v>
      </c>
    </row>
    <row r="201">
      <c r="B201" s="2">
        <v>2017.0</v>
      </c>
      <c r="C201" s="2" t="s">
        <v>3396</v>
      </c>
      <c r="D201" s="2" t="s">
        <v>13756</v>
      </c>
      <c r="E201" s="2" t="s">
        <v>14359</v>
      </c>
      <c r="F201" s="7" t="s">
        <v>14360</v>
      </c>
      <c r="G201" s="7" t="s">
        <v>686</v>
      </c>
      <c r="H201" s="2" t="s">
        <v>13763</v>
      </c>
      <c r="I201" s="2" t="s">
        <v>14359</v>
      </c>
    </row>
    <row r="202">
      <c r="B202" s="2">
        <v>2000.0</v>
      </c>
      <c r="C202" s="2" t="s">
        <v>3396</v>
      </c>
      <c r="D202" s="2" t="s">
        <v>13756</v>
      </c>
      <c r="E202" s="2" t="s">
        <v>14361</v>
      </c>
      <c r="F202" s="7" t="s">
        <v>14362</v>
      </c>
      <c r="G202" s="7" t="s">
        <v>687</v>
      </c>
      <c r="H202" s="2" t="s">
        <v>13763</v>
      </c>
      <c r="I202" s="2" t="s">
        <v>14361</v>
      </c>
    </row>
    <row r="203" hidden="1">
      <c r="B203" s="2">
        <v>2016.0</v>
      </c>
      <c r="C203" s="2" t="s">
        <v>3396</v>
      </c>
      <c r="D203" s="2" t="s">
        <v>14363</v>
      </c>
      <c r="E203" s="2" t="s">
        <v>14364</v>
      </c>
      <c r="F203" s="7" t="s">
        <v>14365</v>
      </c>
      <c r="G203" s="7" t="s">
        <v>14366</v>
      </c>
      <c r="H203" s="2" t="s">
        <v>13763</v>
      </c>
      <c r="I203" s="2" t="s">
        <v>14364</v>
      </c>
    </row>
    <row r="204">
      <c r="B204" s="2">
        <v>2016.0</v>
      </c>
      <c r="C204" s="2" t="s">
        <v>3396</v>
      </c>
      <c r="D204" s="2" t="s">
        <v>13756</v>
      </c>
      <c r="E204" s="2" t="s">
        <v>14367</v>
      </c>
      <c r="F204" s="7" t="s">
        <v>14368</v>
      </c>
      <c r="G204" s="7" t="s">
        <v>688</v>
      </c>
      <c r="H204" s="2" t="s">
        <v>13763</v>
      </c>
      <c r="I204" s="2" t="s">
        <v>14367</v>
      </c>
    </row>
    <row r="205">
      <c r="A205" s="2" t="s">
        <v>14369</v>
      </c>
      <c r="B205" s="2">
        <v>2017.0</v>
      </c>
      <c r="C205" s="2" t="s">
        <v>3396</v>
      </c>
      <c r="D205" s="2" t="s">
        <v>13756</v>
      </c>
      <c r="E205" s="2" t="s">
        <v>14370</v>
      </c>
      <c r="F205" s="7" t="s">
        <v>14371</v>
      </c>
      <c r="G205" s="2" t="s">
        <v>647</v>
      </c>
      <c r="H205" s="2" t="s">
        <v>13775</v>
      </c>
      <c r="I205" s="2" t="s">
        <v>14370</v>
      </c>
    </row>
    <row r="206">
      <c r="B206" s="2">
        <v>2022.0</v>
      </c>
      <c r="C206" s="2" t="s">
        <v>3396</v>
      </c>
      <c r="D206" s="2" t="s">
        <v>13756</v>
      </c>
      <c r="E206" s="2" t="s">
        <v>14372</v>
      </c>
      <c r="F206" s="7" t="s">
        <v>14373</v>
      </c>
      <c r="G206" s="7" t="s">
        <v>689</v>
      </c>
      <c r="H206" s="2" t="s">
        <v>13755</v>
      </c>
      <c r="I206" s="2" t="s">
        <v>14372</v>
      </c>
    </row>
    <row r="207" hidden="1">
      <c r="B207" s="2">
        <v>2007.0</v>
      </c>
      <c r="C207" s="2" t="s">
        <v>3396</v>
      </c>
      <c r="D207" s="2" t="s">
        <v>14374</v>
      </c>
      <c r="E207" s="2" t="s">
        <v>14375</v>
      </c>
      <c r="F207" s="7" t="s">
        <v>14376</v>
      </c>
      <c r="G207" s="2" t="s">
        <v>647</v>
      </c>
      <c r="H207" s="2" t="s">
        <v>13759</v>
      </c>
      <c r="I207" s="2" t="s">
        <v>14375</v>
      </c>
    </row>
    <row r="208" hidden="1">
      <c r="A208" s="2" t="s">
        <v>14377</v>
      </c>
      <c r="B208" s="2">
        <v>1997.0</v>
      </c>
      <c r="C208" s="2" t="s">
        <v>3396</v>
      </c>
      <c r="D208" s="2" t="s">
        <v>14378</v>
      </c>
      <c r="E208" s="2" t="s">
        <v>14379</v>
      </c>
      <c r="F208" s="7" t="s">
        <v>14380</v>
      </c>
      <c r="G208" s="2" t="s">
        <v>647</v>
      </c>
      <c r="H208" s="2" t="s">
        <v>13755</v>
      </c>
      <c r="I208" s="2" t="s">
        <v>14379</v>
      </c>
    </row>
    <row r="209" hidden="1">
      <c r="B209" s="2">
        <v>2014.0</v>
      </c>
      <c r="C209" s="2" t="s">
        <v>3396</v>
      </c>
      <c r="D209" s="2" t="s">
        <v>14381</v>
      </c>
      <c r="E209" s="2" t="s">
        <v>14382</v>
      </c>
      <c r="F209" s="7" t="s">
        <v>14383</v>
      </c>
      <c r="G209" s="2" t="s">
        <v>647</v>
      </c>
      <c r="H209" s="2" t="s">
        <v>13759</v>
      </c>
      <c r="I209" s="2" t="s">
        <v>14382</v>
      </c>
    </row>
    <row r="210" hidden="1">
      <c r="B210" s="2">
        <v>1997.0</v>
      </c>
      <c r="C210" s="2" t="s">
        <v>3396</v>
      </c>
      <c r="D210" s="2" t="s">
        <v>14384</v>
      </c>
      <c r="E210" s="2" t="s">
        <v>14385</v>
      </c>
      <c r="F210" s="7" t="s">
        <v>14386</v>
      </c>
      <c r="G210" s="7" t="s">
        <v>14387</v>
      </c>
      <c r="H210" s="2" t="s">
        <v>14210</v>
      </c>
      <c r="I210" s="2" t="s">
        <v>14385</v>
      </c>
    </row>
    <row r="211" hidden="1">
      <c r="A211" s="2" t="s">
        <v>14388</v>
      </c>
      <c r="B211" s="2">
        <v>2000.0</v>
      </c>
      <c r="C211" s="2" t="s">
        <v>3396</v>
      </c>
      <c r="D211" s="2" t="s">
        <v>14378</v>
      </c>
      <c r="E211" s="2" t="s">
        <v>14389</v>
      </c>
      <c r="F211" s="7" t="s">
        <v>14390</v>
      </c>
      <c r="G211" s="2" t="s">
        <v>647</v>
      </c>
      <c r="H211" s="2" t="s">
        <v>13763</v>
      </c>
      <c r="I211" s="2" t="s">
        <v>14389</v>
      </c>
    </row>
    <row r="212">
      <c r="B212" s="2">
        <v>2013.0</v>
      </c>
      <c r="C212" s="2" t="s">
        <v>3396</v>
      </c>
      <c r="D212" s="2" t="s">
        <v>13756</v>
      </c>
      <c r="E212" s="2" t="s">
        <v>14391</v>
      </c>
      <c r="F212" s="7" t="s">
        <v>14392</v>
      </c>
      <c r="G212" s="7" t="s">
        <v>690</v>
      </c>
      <c r="H212" s="2" t="s">
        <v>13775</v>
      </c>
      <c r="I212" s="2" t="s">
        <v>14391</v>
      </c>
    </row>
    <row r="213">
      <c r="B213" s="2">
        <v>2022.0</v>
      </c>
      <c r="C213" s="2" t="s">
        <v>3396</v>
      </c>
      <c r="D213" s="2" t="s">
        <v>13756</v>
      </c>
      <c r="E213" s="2" t="s">
        <v>14393</v>
      </c>
      <c r="F213" s="7" t="s">
        <v>14394</v>
      </c>
      <c r="G213" s="7" t="s">
        <v>691</v>
      </c>
      <c r="H213" s="2" t="s">
        <v>13759</v>
      </c>
      <c r="I213" s="2" t="s">
        <v>14393</v>
      </c>
    </row>
    <row r="214" hidden="1">
      <c r="B214" s="2">
        <v>2019.0</v>
      </c>
      <c r="C214" s="2" t="s">
        <v>3396</v>
      </c>
      <c r="D214" s="2" t="s">
        <v>14395</v>
      </c>
      <c r="E214" s="2" t="s">
        <v>14396</v>
      </c>
      <c r="F214" s="7" t="s">
        <v>14397</v>
      </c>
      <c r="G214" s="7" t="s">
        <v>14398</v>
      </c>
      <c r="H214" s="2" t="s">
        <v>13763</v>
      </c>
      <c r="I214" s="2" t="s">
        <v>14396</v>
      </c>
    </row>
    <row r="215">
      <c r="B215" s="2">
        <v>2023.0</v>
      </c>
      <c r="C215" s="2" t="s">
        <v>3396</v>
      </c>
      <c r="D215" s="2" t="s">
        <v>13756</v>
      </c>
      <c r="E215" s="2" t="s">
        <v>14399</v>
      </c>
      <c r="F215" s="7" t="s">
        <v>14400</v>
      </c>
      <c r="G215" s="7" t="s">
        <v>692</v>
      </c>
      <c r="H215" s="2" t="s">
        <v>13763</v>
      </c>
      <c r="I215" s="2" t="s">
        <v>14399</v>
      </c>
    </row>
    <row r="216">
      <c r="B216" s="2">
        <v>2013.0</v>
      </c>
      <c r="C216" s="2" t="s">
        <v>3396</v>
      </c>
      <c r="D216" s="2" t="s">
        <v>13756</v>
      </c>
      <c r="E216" s="2" t="s">
        <v>14401</v>
      </c>
      <c r="F216" s="7" t="s">
        <v>14402</v>
      </c>
      <c r="G216" s="7" t="s">
        <v>693</v>
      </c>
      <c r="H216" s="2" t="s">
        <v>13763</v>
      </c>
      <c r="I216" s="2" t="s">
        <v>14401</v>
      </c>
    </row>
    <row r="217">
      <c r="B217" s="2">
        <v>2018.0</v>
      </c>
      <c r="C217" s="2" t="s">
        <v>3396</v>
      </c>
      <c r="D217" s="2" t="s">
        <v>13756</v>
      </c>
      <c r="E217" s="2" t="s">
        <v>14403</v>
      </c>
      <c r="F217" s="7" t="s">
        <v>14404</v>
      </c>
      <c r="G217" s="7" t="s">
        <v>694</v>
      </c>
      <c r="H217" s="2" t="s">
        <v>13763</v>
      </c>
      <c r="I217" s="2" t="s">
        <v>14403</v>
      </c>
    </row>
    <row r="218" hidden="1">
      <c r="B218" s="2">
        <v>1999.0</v>
      </c>
      <c r="C218" s="2" t="s">
        <v>3396</v>
      </c>
      <c r="D218" s="2" t="s">
        <v>14405</v>
      </c>
      <c r="E218" s="2" t="s">
        <v>14406</v>
      </c>
      <c r="F218" s="7" t="s">
        <v>14407</v>
      </c>
      <c r="G218" s="7" t="s">
        <v>14408</v>
      </c>
      <c r="H218" s="2" t="s">
        <v>13763</v>
      </c>
      <c r="I218" s="2" t="s">
        <v>14406</v>
      </c>
    </row>
    <row r="219">
      <c r="B219" s="2">
        <v>2018.0</v>
      </c>
      <c r="C219" s="2" t="s">
        <v>3396</v>
      </c>
      <c r="D219" s="2" t="s">
        <v>13756</v>
      </c>
      <c r="E219" s="2" t="s">
        <v>14409</v>
      </c>
      <c r="F219" s="7" t="s">
        <v>14410</v>
      </c>
      <c r="G219" s="7" t="s">
        <v>695</v>
      </c>
      <c r="H219" s="2" t="s">
        <v>13763</v>
      </c>
      <c r="I219" s="2" t="s">
        <v>14409</v>
      </c>
    </row>
    <row r="220">
      <c r="B220" s="2">
        <v>2018.0</v>
      </c>
      <c r="C220" s="2" t="s">
        <v>3396</v>
      </c>
      <c r="D220" s="2" t="s">
        <v>13756</v>
      </c>
      <c r="E220" s="2" t="s">
        <v>14411</v>
      </c>
      <c r="F220" s="7" t="s">
        <v>14412</v>
      </c>
      <c r="G220" s="7" t="s">
        <v>696</v>
      </c>
      <c r="H220" s="2" t="s">
        <v>13763</v>
      </c>
      <c r="I220" s="2" t="s">
        <v>14411</v>
      </c>
    </row>
    <row r="221">
      <c r="B221" s="2">
        <v>2014.0</v>
      </c>
      <c r="C221" s="2" t="s">
        <v>3396</v>
      </c>
      <c r="D221" s="2" t="s">
        <v>13756</v>
      </c>
      <c r="E221" s="2" t="s">
        <v>14413</v>
      </c>
      <c r="F221" s="7" t="s">
        <v>14414</v>
      </c>
      <c r="G221" s="7" t="s">
        <v>697</v>
      </c>
      <c r="H221" s="2" t="s">
        <v>14210</v>
      </c>
      <c r="I221" s="2" t="s">
        <v>14413</v>
      </c>
    </row>
    <row r="222">
      <c r="B222" s="2">
        <v>2018.0</v>
      </c>
      <c r="C222" s="2" t="s">
        <v>3396</v>
      </c>
      <c r="D222" s="2" t="s">
        <v>13756</v>
      </c>
      <c r="E222" s="2" t="s">
        <v>14415</v>
      </c>
      <c r="F222" s="7" t="s">
        <v>14416</v>
      </c>
      <c r="G222" s="7" t="s">
        <v>698</v>
      </c>
      <c r="H222" s="2" t="s">
        <v>13775</v>
      </c>
      <c r="I222" s="2" t="s">
        <v>14415</v>
      </c>
    </row>
    <row r="223" hidden="1">
      <c r="A223" s="2" t="s">
        <v>14417</v>
      </c>
      <c r="B223" s="2">
        <v>1998.0</v>
      </c>
      <c r="C223" s="2" t="s">
        <v>3396</v>
      </c>
      <c r="D223" s="2" t="s">
        <v>14418</v>
      </c>
      <c r="E223" s="2" t="s">
        <v>14419</v>
      </c>
      <c r="F223" s="7" t="s">
        <v>14420</v>
      </c>
      <c r="G223" s="2" t="s">
        <v>647</v>
      </c>
      <c r="H223" s="2" t="s">
        <v>13775</v>
      </c>
      <c r="I223" s="2" t="s">
        <v>14419</v>
      </c>
    </row>
    <row r="224" hidden="1">
      <c r="B224" s="2">
        <v>2014.0</v>
      </c>
      <c r="C224" s="2" t="s">
        <v>3396</v>
      </c>
      <c r="D224" s="2" t="s">
        <v>14421</v>
      </c>
      <c r="E224" s="2" t="s">
        <v>14422</v>
      </c>
      <c r="F224" s="7" t="s">
        <v>14423</v>
      </c>
      <c r="G224" s="7" t="s">
        <v>14424</v>
      </c>
      <c r="H224" s="2" t="s">
        <v>13759</v>
      </c>
      <c r="I224" s="2" t="s">
        <v>14422</v>
      </c>
    </row>
    <row r="225" hidden="1">
      <c r="B225" s="2">
        <v>2016.0</v>
      </c>
      <c r="C225" s="2" t="s">
        <v>3396</v>
      </c>
      <c r="D225" s="2" t="s">
        <v>14425</v>
      </c>
      <c r="E225" s="2" t="s">
        <v>14426</v>
      </c>
      <c r="F225" s="7" t="s">
        <v>14427</v>
      </c>
      <c r="G225" s="2" t="s">
        <v>647</v>
      </c>
      <c r="H225" s="2" t="s">
        <v>13759</v>
      </c>
      <c r="I225" s="2" t="s">
        <v>14426</v>
      </c>
    </row>
    <row r="226" hidden="1">
      <c r="B226" s="2">
        <v>2014.0</v>
      </c>
      <c r="C226" s="2" t="s">
        <v>3396</v>
      </c>
      <c r="D226" s="2" t="s">
        <v>14428</v>
      </c>
      <c r="E226" s="2" t="s">
        <v>14429</v>
      </c>
      <c r="F226" s="7" t="s">
        <v>14430</v>
      </c>
      <c r="G226" s="2" t="s">
        <v>647</v>
      </c>
      <c r="H226" s="2" t="s">
        <v>13763</v>
      </c>
      <c r="I226" s="2" t="s">
        <v>14429</v>
      </c>
    </row>
    <row r="227" hidden="1">
      <c r="A227" s="2" t="s">
        <v>14431</v>
      </c>
      <c r="B227" s="2">
        <v>2001.0</v>
      </c>
      <c r="C227" s="2" t="s">
        <v>3396</v>
      </c>
      <c r="D227" s="2" t="s">
        <v>14432</v>
      </c>
      <c r="E227" s="2" t="s">
        <v>14433</v>
      </c>
      <c r="F227" s="7" t="s">
        <v>14434</v>
      </c>
      <c r="G227" s="2" t="s">
        <v>647</v>
      </c>
      <c r="H227" s="2" t="s">
        <v>13763</v>
      </c>
      <c r="I227" s="2" t="s">
        <v>14433</v>
      </c>
    </row>
    <row r="228" hidden="1">
      <c r="B228" s="2">
        <v>2007.0</v>
      </c>
      <c r="C228" s="2" t="s">
        <v>3396</v>
      </c>
      <c r="D228" s="2" t="s">
        <v>14435</v>
      </c>
      <c r="E228" s="2" t="s">
        <v>14436</v>
      </c>
      <c r="F228" s="7" t="s">
        <v>14437</v>
      </c>
      <c r="G228" s="2" t="s">
        <v>647</v>
      </c>
      <c r="H228" s="2" t="s">
        <v>13763</v>
      </c>
      <c r="I228" s="2" t="s">
        <v>14436</v>
      </c>
    </row>
    <row r="229" hidden="1">
      <c r="B229" s="2">
        <v>2011.0</v>
      </c>
      <c r="C229" s="2" t="s">
        <v>3396</v>
      </c>
      <c r="D229" s="2" t="s">
        <v>14438</v>
      </c>
      <c r="E229" s="2" t="s">
        <v>14439</v>
      </c>
      <c r="F229" s="7" t="s">
        <v>14440</v>
      </c>
      <c r="G229" s="2" t="s">
        <v>647</v>
      </c>
      <c r="H229" s="2" t="s">
        <v>13759</v>
      </c>
      <c r="I229" s="2" t="s">
        <v>14439</v>
      </c>
    </row>
    <row r="230" hidden="1">
      <c r="B230" s="2">
        <v>2012.0</v>
      </c>
      <c r="C230" s="2" t="s">
        <v>3396</v>
      </c>
      <c r="D230" s="2" t="s">
        <v>14441</v>
      </c>
      <c r="E230" s="2" t="s">
        <v>14442</v>
      </c>
      <c r="F230" s="7" t="s">
        <v>14443</v>
      </c>
      <c r="G230" s="2" t="s">
        <v>647</v>
      </c>
      <c r="H230" s="2" t="s">
        <v>13763</v>
      </c>
      <c r="I230" s="2" t="s">
        <v>14442</v>
      </c>
    </row>
    <row r="231">
      <c r="B231" s="2">
        <v>2012.0</v>
      </c>
      <c r="C231" s="2" t="s">
        <v>3396</v>
      </c>
      <c r="D231" s="2" t="s">
        <v>13756</v>
      </c>
      <c r="E231" s="2" t="s">
        <v>14444</v>
      </c>
      <c r="F231" s="7" t="s">
        <v>14445</v>
      </c>
      <c r="G231" s="7" t="s">
        <v>699</v>
      </c>
      <c r="H231" s="2" t="s">
        <v>13775</v>
      </c>
      <c r="I231" s="2" t="s">
        <v>14444</v>
      </c>
    </row>
    <row r="232" hidden="1">
      <c r="A232" s="2" t="s">
        <v>14446</v>
      </c>
      <c r="B232" s="2">
        <v>1993.0</v>
      </c>
      <c r="C232" s="2" t="s">
        <v>3396</v>
      </c>
      <c r="D232" s="2" t="s">
        <v>14447</v>
      </c>
      <c r="E232" s="2" t="s">
        <v>14448</v>
      </c>
      <c r="F232" s="7" t="s">
        <v>14449</v>
      </c>
      <c r="G232" s="2" t="s">
        <v>647</v>
      </c>
      <c r="H232" s="2" t="s">
        <v>13775</v>
      </c>
      <c r="I232" s="2" t="s">
        <v>14448</v>
      </c>
    </row>
    <row r="233">
      <c r="B233" s="2">
        <v>2019.0</v>
      </c>
      <c r="C233" s="2" t="s">
        <v>3396</v>
      </c>
      <c r="D233" s="2" t="s">
        <v>13756</v>
      </c>
      <c r="E233" s="2" t="s">
        <v>14450</v>
      </c>
      <c r="F233" s="7" t="s">
        <v>14451</v>
      </c>
      <c r="G233" s="7" t="s">
        <v>700</v>
      </c>
      <c r="H233" s="2" t="s">
        <v>13759</v>
      </c>
      <c r="I233" s="2" t="s">
        <v>14450</v>
      </c>
    </row>
    <row r="234" hidden="1">
      <c r="A234" s="2" t="s">
        <v>14452</v>
      </c>
      <c r="B234" s="2">
        <v>1991.0</v>
      </c>
      <c r="C234" s="2" t="s">
        <v>3396</v>
      </c>
      <c r="D234" s="2" t="s">
        <v>14453</v>
      </c>
      <c r="E234" s="2" t="s">
        <v>14454</v>
      </c>
      <c r="F234" s="7" t="s">
        <v>14455</v>
      </c>
      <c r="G234" s="2" t="s">
        <v>647</v>
      </c>
      <c r="H234" s="2" t="s">
        <v>13775</v>
      </c>
      <c r="I234" s="2" t="s">
        <v>14454</v>
      </c>
    </row>
    <row r="235">
      <c r="B235" s="2">
        <v>2014.0</v>
      </c>
      <c r="C235" s="2" t="s">
        <v>3396</v>
      </c>
      <c r="D235" s="2" t="s">
        <v>13756</v>
      </c>
      <c r="E235" s="2" t="s">
        <v>14456</v>
      </c>
      <c r="F235" s="7" t="s">
        <v>14457</v>
      </c>
      <c r="G235" s="7" t="s">
        <v>701</v>
      </c>
      <c r="H235" s="2" t="s">
        <v>13759</v>
      </c>
      <c r="I235" s="2" t="s">
        <v>14456</v>
      </c>
    </row>
    <row r="236">
      <c r="B236" s="2">
        <v>2023.0</v>
      </c>
      <c r="C236" s="2" t="s">
        <v>3396</v>
      </c>
      <c r="D236" s="2" t="s">
        <v>13756</v>
      </c>
      <c r="E236" s="2" t="s">
        <v>14458</v>
      </c>
      <c r="F236" s="7" t="s">
        <v>14459</v>
      </c>
      <c r="G236" s="7" t="s">
        <v>702</v>
      </c>
      <c r="H236" s="2" t="s">
        <v>14460</v>
      </c>
      <c r="I236" s="2" t="s">
        <v>14458</v>
      </c>
    </row>
    <row r="237" hidden="1">
      <c r="B237" s="2">
        <v>1994.0</v>
      </c>
      <c r="C237" s="2" t="s">
        <v>3396</v>
      </c>
      <c r="D237" s="2" t="s">
        <v>14461</v>
      </c>
      <c r="E237" s="2" t="s">
        <v>14462</v>
      </c>
      <c r="F237" s="7" t="s">
        <v>14463</v>
      </c>
      <c r="G237" s="7" t="s">
        <v>14464</v>
      </c>
      <c r="H237" s="2" t="s">
        <v>13763</v>
      </c>
      <c r="I237" s="2" t="s">
        <v>14462</v>
      </c>
    </row>
    <row r="238">
      <c r="B238" s="2">
        <v>2021.0</v>
      </c>
      <c r="C238" s="2" t="s">
        <v>3396</v>
      </c>
      <c r="D238" s="2" t="s">
        <v>13756</v>
      </c>
      <c r="E238" s="2" t="s">
        <v>14465</v>
      </c>
      <c r="F238" s="7" t="s">
        <v>14466</v>
      </c>
      <c r="G238" s="7" t="s">
        <v>703</v>
      </c>
      <c r="H238" s="2" t="s">
        <v>13763</v>
      </c>
      <c r="I238" s="2" t="s">
        <v>14465</v>
      </c>
    </row>
    <row r="239">
      <c r="B239" s="2">
        <v>2016.0</v>
      </c>
      <c r="C239" s="2" t="s">
        <v>3396</v>
      </c>
      <c r="D239" s="2" t="s">
        <v>13756</v>
      </c>
      <c r="E239" s="2" t="s">
        <v>14467</v>
      </c>
      <c r="F239" s="7" t="s">
        <v>14468</v>
      </c>
      <c r="G239" s="7" t="s">
        <v>704</v>
      </c>
      <c r="H239" s="2" t="s">
        <v>13763</v>
      </c>
      <c r="I239" s="2" t="s">
        <v>14467</v>
      </c>
    </row>
    <row r="240">
      <c r="B240" s="2">
        <v>2015.0</v>
      </c>
      <c r="C240" s="2" t="s">
        <v>3396</v>
      </c>
      <c r="D240" s="2" t="s">
        <v>13756</v>
      </c>
      <c r="E240" s="2" t="s">
        <v>14469</v>
      </c>
      <c r="F240" s="7" t="s">
        <v>14470</v>
      </c>
      <c r="G240" s="7" t="s">
        <v>705</v>
      </c>
      <c r="H240" s="2" t="s">
        <v>13759</v>
      </c>
      <c r="I240" s="2" t="s">
        <v>14469</v>
      </c>
    </row>
    <row r="241" hidden="1">
      <c r="B241" s="2">
        <v>2001.0</v>
      </c>
      <c r="C241" s="2" t="s">
        <v>3396</v>
      </c>
      <c r="D241" s="2" t="s">
        <v>14471</v>
      </c>
      <c r="E241" s="2" t="s">
        <v>14472</v>
      </c>
      <c r="F241" s="7" t="s">
        <v>14473</v>
      </c>
      <c r="G241" s="2" t="s">
        <v>647</v>
      </c>
      <c r="H241" s="2" t="s">
        <v>13759</v>
      </c>
      <c r="I241" s="2" t="s">
        <v>14472</v>
      </c>
    </row>
    <row r="242" hidden="1">
      <c r="B242" s="2">
        <v>2003.0</v>
      </c>
      <c r="C242" s="2" t="s">
        <v>3396</v>
      </c>
      <c r="D242" s="2" t="s">
        <v>14474</v>
      </c>
      <c r="E242" s="2" t="s">
        <v>14475</v>
      </c>
      <c r="F242" s="7" t="s">
        <v>14476</v>
      </c>
      <c r="G242" s="7" t="s">
        <v>14477</v>
      </c>
      <c r="H242" s="2" t="s">
        <v>13775</v>
      </c>
      <c r="I242" s="2" t="s">
        <v>14475</v>
      </c>
    </row>
    <row r="243" hidden="1">
      <c r="B243" s="2">
        <v>2015.0</v>
      </c>
      <c r="C243" s="2" t="s">
        <v>3396</v>
      </c>
      <c r="D243" s="2" t="s">
        <v>14478</v>
      </c>
      <c r="E243" s="2" t="s">
        <v>14479</v>
      </c>
      <c r="F243" s="7" t="s">
        <v>14480</v>
      </c>
      <c r="G243" s="7" t="s">
        <v>14481</v>
      </c>
      <c r="H243" s="2" t="s">
        <v>13811</v>
      </c>
      <c r="I243" s="2" t="s">
        <v>14479</v>
      </c>
    </row>
    <row r="244" hidden="1">
      <c r="B244" s="2">
        <v>1998.0</v>
      </c>
      <c r="C244" s="2" t="s">
        <v>3396</v>
      </c>
      <c r="D244" s="2" t="s">
        <v>14482</v>
      </c>
      <c r="E244" s="2" t="s">
        <v>14483</v>
      </c>
      <c r="F244" s="7" t="s">
        <v>14484</v>
      </c>
      <c r="G244" s="7" t="s">
        <v>14485</v>
      </c>
      <c r="H244" s="2" t="s">
        <v>13763</v>
      </c>
      <c r="I244" s="2" t="s">
        <v>14483</v>
      </c>
    </row>
    <row r="245">
      <c r="B245" s="2">
        <v>2021.0</v>
      </c>
      <c r="C245" s="2" t="s">
        <v>3396</v>
      </c>
      <c r="D245" s="2" t="s">
        <v>13756</v>
      </c>
      <c r="E245" s="2" t="s">
        <v>14486</v>
      </c>
      <c r="F245" s="7" t="s">
        <v>14487</v>
      </c>
      <c r="G245" s="7" t="s">
        <v>706</v>
      </c>
      <c r="H245" s="2" t="s">
        <v>13759</v>
      </c>
      <c r="I245" s="2" t="s">
        <v>14486</v>
      </c>
    </row>
    <row r="246">
      <c r="B246" s="2">
        <v>2015.0</v>
      </c>
      <c r="C246" s="2" t="s">
        <v>3396</v>
      </c>
      <c r="D246" s="2" t="s">
        <v>13756</v>
      </c>
      <c r="E246" s="2" t="s">
        <v>14488</v>
      </c>
      <c r="F246" s="7" t="s">
        <v>14489</v>
      </c>
      <c r="G246" s="7" t="s">
        <v>707</v>
      </c>
      <c r="H246" s="2" t="s">
        <v>13759</v>
      </c>
      <c r="I246" s="2" t="s">
        <v>14488</v>
      </c>
    </row>
    <row r="247">
      <c r="B247" s="2">
        <v>2015.0</v>
      </c>
      <c r="C247" s="2" t="s">
        <v>3396</v>
      </c>
      <c r="D247" s="2" t="s">
        <v>13756</v>
      </c>
      <c r="E247" s="2" t="s">
        <v>14490</v>
      </c>
      <c r="F247" s="7" t="s">
        <v>14491</v>
      </c>
      <c r="G247" s="7" t="s">
        <v>708</v>
      </c>
      <c r="H247" s="2" t="s">
        <v>13755</v>
      </c>
      <c r="I247" s="2" t="s">
        <v>14490</v>
      </c>
    </row>
    <row r="248" hidden="1">
      <c r="A248" s="2" t="s">
        <v>14492</v>
      </c>
      <c r="B248" s="2">
        <v>1993.0</v>
      </c>
      <c r="C248" s="2" t="s">
        <v>3396</v>
      </c>
      <c r="D248" s="2" t="s">
        <v>14378</v>
      </c>
      <c r="E248" s="2" t="s">
        <v>14493</v>
      </c>
      <c r="F248" s="7" t="s">
        <v>14494</v>
      </c>
      <c r="G248" s="2" t="s">
        <v>647</v>
      </c>
      <c r="H248" s="2" t="s">
        <v>13755</v>
      </c>
      <c r="I248" s="2" t="s">
        <v>14493</v>
      </c>
    </row>
    <row r="249" hidden="1">
      <c r="B249" s="2">
        <v>2012.0</v>
      </c>
      <c r="C249" s="2" t="s">
        <v>3396</v>
      </c>
      <c r="D249" s="2" t="s">
        <v>14495</v>
      </c>
      <c r="E249" s="2" t="s">
        <v>14496</v>
      </c>
      <c r="F249" s="7" t="s">
        <v>14497</v>
      </c>
      <c r="G249" s="2" t="s">
        <v>647</v>
      </c>
      <c r="H249" s="2" t="s">
        <v>13763</v>
      </c>
      <c r="I249" s="2" t="s">
        <v>14496</v>
      </c>
    </row>
    <row r="250">
      <c r="B250" s="2">
        <v>2021.0</v>
      </c>
      <c r="C250" s="2" t="s">
        <v>3396</v>
      </c>
      <c r="D250" s="2" t="s">
        <v>13756</v>
      </c>
      <c r="E250" s="2" t="s">
        <v>14498</v>
      </c>
      <c r="F250" s="7" t="s">
        <v>14499</v>
      </c>
      <c r="G250" s="7" t="s">
        <v>709</v>
      </c>
      <c r="H250" s="2" t="s">
        <v>13759</v>
      </c>
      <c r="I250" s="2" t="s">
        <v>14498</v>
      </c>
    </row>
    <row r="251" hidden="1">
      <c r="B251" s="2">
        <v>2015.0</v>
      </c>
      <c r="C251" s="2" t="s">
        <v>3396</v>
      </c>
      <c r="D251" s="2" t="s">
        <v>14500</v>
      </c>
      <c r="E251" s="2" t="s">
        <v>14501</v>
      </c>
      <c r="F251" s="7" t="s">
        <v>14502</v>
      </c>
      <c r="G251" s="7" t="s">
        <v>14503</v>
      </c>
      <c r="H251" s="2" t="s">
        <v>13759</v>
      </c>
      <c r="I251" s="2" t="s">
        <v>14501</v>
      </c>
    </row>
    <row r="252">
      <c r="B252" s="2">
        <v>2016.0</v>
      </c>
      <c r="C252" s="2" t="s">
        <v>3396</v>
      </c>
      <c r="D252" s="2" t="s">
        <v>13756</v>
      </c>
      <c r="E252" s="2" t="s">
        <v>14504</v>
      </c>
      <c r="F252" s="7" t="s">
        <v>14505</v>
      </c>
      <c r="G252" s="7" t="s">
        <v>710</v>
      </c>
      <c r="H252" s="2" t="s">
        <v>13763</v>
      </c>
      <c r="I252" s="2" t="s">
        <v>14504</v>
      </c>
    </row>
    <row r="253">
      <c r="B253" s="2">
        <v>2020.0</v>
      </c>
      <c r="C253" s="2" t="s">
        <v>3396</v>
      </c>
      <c r="D253" s="2" t="s">
        <v>13756</v>
      </c>
      <c r="E253" s="2" t="s">
        <v>14506</v>
      </c>
      <c r="F253" s="7" t="s">
        <v>14507</v>
      </c>
      <c r="G253" s="7" t="s">
        <v>711</v>
      </c>
      <c r="H253" s="2" t="s">
        <v>13763</v>
      </c>
      <c r="I253" s="2" t="s">
        <v>14506</v>
      </c>
    </row>
    <row r="254" hidden="1">
      <c r="B254" s="2">
        <v>2007.0</v>
      </c>
      <c r="C254" s="2" t="s">
        <v>3396</v>
      </c>
      <c r="D254" s="2" t="s">
        <v>14508</v>
      </c>
      <c r="E254" s="2" t="s">
        <v>14509</v>
      </c>
      <c r="F254" s="7" t="s">
        <v>14510</v>
      </c>
      <c r="G254" s="7" t="s">
        <v>14511</v>
      </c>
      <c r="H254" s="2" t="s">
        <v>13755</v>
      </c>
      <c r="I254" s="2" t="s">
        <v>14509</v>
      </c>
    </row>
    <row r="255" hidden="1">
      <c r="B255" s="2">
        <v>2008.0</v>
      </c>
      <c r="C255" s="2" t="s">
        <v>3396</v>
      </c>
      <c r="D255" s="2" t="s">
        <v>14512</v>
      </c>
      <c r="E255" s="2" t="s">
        <v>14513</v>
      </c>
      <c r="F255" s="7" t="s">
        <v>14514</v>
      </c>
      <c r="G255" s="7" t="s">
        <v>14515</v>
      </c>
      <c r="H255" s="2" t="s">
        <v>13759</v>
      </c>
      <c r="I255" s="2" t="s">
        <v>14513</v>
      </c>
    </row>
    <row r="256" hidden="1">
      <c r="A256" s="2" t="s">
        <v>14516</v>
      </c>
      <c r="B256" s="2">
        <v>1998.0</v>
      </c>
      <c r="C256" s="2" t="s">
        <v>3396</v>
      </c>
      <c r="D256" s="2" t="s">
        <v>14378</v>
      </c>
      <c r="E256" s="2" t="s">
        <v>14517</v>
      </c>
      <c r="F256" s="7" t="s">
        <v>14518</v>
      </c>
      <c r="G256" s="2" t="s">
        <v>647</v>
      </c>
      <c r="I256" s="2" t="s">
        <v>14517</v>
      </c>
    </row>
    <row r="257">
      <c r="A257" s="2" t="s">
        <v>14519</v>
      </c>
      <c r="B257" s="2">
        <v>2014.0</v>
      </c>
      <c r="C257" s="2" t="s">
        <v>3396</v>
      </c>
      <c r="D257" s="2" t="s">
        <v>13756</v>
      </c>
      <c r="E257" s="2" t="s">
        <v>14520</v>
      </c>
      <c r="F257" s="7" t="s">
        <v>14521</v>
      </c>
    </row>
    <row r="258" hidden="1">
      <c r="B258" s="2">
        <v>2000.0</v>
      </c>
      <c r="C258" s="2" t="s">
        <v>3396</v>
      </c>
      <c r="D258" s="2" t="s">
        <v>14522</v>
      </c>
      <c r="E258" s="2" t="s">
        <v>14523</v>
      </c>
      <c r="F258" s="7" t="s">
        <v>14524</v>
      </c>
    </row>
    <row r="259">
      <c r="B259" s="2">
        <v>2015.0</v>
      </c>
      <c r="C259" s="2" t="s">
        <v>3396</v>
      </c>
      <c r="D259" s="2" t="s">
        <v>13756</v>
      </c>
      <c r="E259" s="2" t="s">
        <v>14525</v>
      </c>
      <c r="F259" s="7" t="s">
        <v>14526</v>
      </c>
    </row>
    <row r="260">
      <c r="B260" s="2">
        <v>2011.0</v>
      </c>
      <c r="C260" s="2" t="s">
        <v>3396</v>
      </c>
      <c r="D260" s="2" t="s">
        <v>13756</v>
      </c>
      <c r="E260" s="2" t="s">
        <v>14527</v>
      </c>
      <c r="F260" s="7" t="s">
        <v>14528</v>
      </c>
    </row>
    <row r="261" hidden="1">
      <c r="A261" s="2" t="s">
        <v>14529</v>
      </c>
      <c r="B261" s="2">
        <v>1994.0</v>
      </c>
      <c r="C261" s="2" t="s">
        <v>3396</v>
      </c>
      <c r="D261" s="2" t="s">
        <v>14530</v>
      </c>
      <c r="E261" s="2" t="s">
        <v>14531</v>
      </c>
      <c r="F261" s="7" t="s">
        <v>14532</v>
      </c>
    </row>
    <row r="262">
      <c r="B262" s="2">
        <v>2023.0</v>
      </c>
      <c r="C262" s="2" t="s">
        <v>3396</v>
      </c>
      <c r="D262" s="2" t="s">
        <v>13756</v>
      </c>
      <c r="E262" s="2" t="s">
        <v>14533</v>
      </c>
      <c r="F262" s="7" t="s">
        <v>14534</v>
      </c>
    </row>
    <row r="263">
      <c r="B263" s="2">
        <v>2015.0</v>
      </c>
      <c r="C263" s="2" t="s">
        <v>3396</v>
      </c>
      <c r="D263" s="2" t="s">
        <v>13756</v>
      </c>
      <c r="E263" s="2" t="s">
        <v>14535</v>
      </c>
      <c r="F263" s="7" t="s">
        <v>14536</v>
      </c>
    </row>
    <row r="264">
      <c r="B264" s="2">
        <v>2007.0</v>
      </c>
      <c r="C264" s="2" t="s">
        <v>3396</v>
      </c>
      <c r="D264" s="2" t="s">
        <v>13756</v>
      </c>
      <c r="E264" s="2" t="s">
        <v>14537</v>
      </c>
      <c r="F264" s="7" t="s">
        <v>14538</v>
      </c>
    </row>
    <row r="265" hidden="1">
      <c r="B265" s="2">
        <v>1995.0</v>
      </c>
      <c r="C265" s="2" t="s">
        <v>3396</v>
      </c>
      <c r="D265" s="2" t="s">
        <v>14267</v>
      </c>
      <c r="E265" s="2" t="s">
        <v>14539</v>
      </c>
      <c r="F265" s="7" t="s">
        <v>14540</v>
      </c>
    </row>
    <row r="266">
      <c r="B266" s="2">
        <v>2015.0</v>
      </c>
      <c r="C266" s="2" t="s">
        <v>3396</v>
      </c>
      <c r="D266" s="2" t="s">
        <v>13756</v>
      </c>
      <c r="E266" s="2" t="s">
        <v>14541</v>
      </c>
      <c r="F266" s="7" t="s">
        <v>14542</v>
      </c>
    </row>
    <row r="267">
      <c r="B267" s="2">
        <v>2011.0</v>
      </c>
      <c r="C267" s="2" t="s">
        <v>3396</v>
      </c>
      <c r="D267" s="2" t="s">
        <v>13756</v>
      </c>
      <c r="E267" s="2" t="s">
        <v>14543</v>
      </c>
      <c r="F267" s="7" t="s">
        <v>14544</v>
      </c>
    </row>
    <row r="268">
      <c r="B268" s="2">
        <v>2017.0</v>
      </c>
      <c r="C268" s="2" t="s">
        <v>3396</v>
      </c>
      <c r="D268" s="2" t="s">
        <v>13756</v>
      </c>
      <c r="E268" s="2" t="s">
        <v>14545</v>
      </c>
      <c r="F268" s="7" t="s">
        <v>14546</v>
      </c>
    </row>
    <row r="269" hidden="1">
      <c r="B269" s="2">
        <v>2003.0</v>
      </c>
      <c r="C269" s="2" t="s">
        <v>3396</v>
      </c>
      <c r="D269" s="2" t="s">
        <v>14547</v>
      </c>
      <c r="E269" s="2" t="s">
        <v>14548</v>
      </c>
      <c r="F269" s="7" t="s">
        <v>14549</v>
      </c>
    </row>
    <row r="270">
      <c r="B270" s="2">
        <v>2012.0</v>
      </c>
      <c r="C270" s="2" t="s">
        <v>3396</v>
      </c>
      <c r="D270" s="2" t="s">
        <v>13756</v>
      </c>
      <c r="E270" s="2" t="s">
        <v>14550</v>
      </c>
      <c r="F270" s="7" t="s">
        <v>14551</v>
      </c>
    </row>
    <row r="271" hidden="1">
      <c r="B271" s="2">
        <v>2002.0</v>
      </c>
      <c r="C271" s="2" t="s">
        <v>3396</v>
      </c>
      <c r="D271" s="2" t="s">
        <v>14552</v>
      </c>
      <c r="E271" s="2" t="s">
        <v>14553</v>
      </c>
      <c r="F271" s="7" t="s">
        <v>14554</v>
      </c>
    </row>
    <row r="272" hidden="1">
      <c r="B272" s="2">
        <v>2006.0</v>
      </c>
      <c r="C272" s="2" t="s">
        <v>3396</v>
      </c>
      <c r="D272" s="2" t="s">
        <v>14555</v>
      </c>
      <c r="E272" s="2" t="s">
        <v>14556</v>
      </c>
      <c r="F272" s="7" t="s">
        <v>14557</v>
      </c>
    </row>
    <row r="273">
      <c r="B273" s="2">
        <v>2015.0</v>
      </c>
      <c r="C273" s="2" t="s">
        <v>3396</v>
      </c>
      <c r="D273" s="2" t="s">
        <v>13756</v>
      </c>
      <c r="E273" s="2" t="s">
        <v>14558</v>
      </c>
      <c r="F273" s="7" t="s">
        <v>14559</v>
      </c>
    </row>
    <row r="274" hidden="1">
      <c r="B274" s="2">
        <v>2013.0</v>
      </c>
      <c r="C274" s="2" t="s">
        <v>3396</v>
      </c>
      <c r="D274" s="2" t="s">
        <v>14560</v>
      </c>
      <c r="E274" s="2" t="s">
        <v>14561</v>
      </c>
      <c r="F274" s="7" t="s">
        <v>14562</v>
      </c>
    </row>
    <row r="275" hidden="1">
      <c r="B275" s="2">
        <v>2015.0</v>
      </c>
      <c r="C275" s="2" t="s">
        <v>3396</v>
      </c>
      <c r="D275" s="2" t="s">
        <v>14563</v>
      </c>
      <c r="E275" s="2" t="s">
        <v>14564</v>
      </c>
      <c r="F275" s="7" t="s">
        <v>14565</v>
      </c>
    </row>
    <row r="276" hidden="1">
      <c r="B276" s="2">
        <v>1998.0</v>
      </c>
      <c r="C276" s="2" t="s">
        <v>3396</v>
      </c>
      <c r="D276" s="2" t="s">
        <v>14566</v>
      </c>
      <c r="E276" s="2" t="s">
        <v>14567</v>
      </c>
      <c r="F276" s="7" t="s">
        <v>14568</v>
      </c>
    </row>
    <row r="277" hidden="1">
      <c r="B277" s="2">
        <v>2016.0</v>
      </c>
      <c r="C277" s="2" t="s">
        <v>3396</v>
      </c>
      <c r="D277" s="2" t="s">
        <v>14569</v>
      </c>
      <c r="E277" s="2" t="s">
        <v>14570</v>
      </c>
      <c r="F277" s="7" t="s">
        <v>14571</v>
      </c>
    </row>
    <row r="278">
      <c r="A278" s="2" t="s">
        <v>14572</v>
      </c>
      <c r="B278" s="2">
        <v>2021.0</v>
      </c>
      <c r="C278" s="2" t="s">
        <v>3396</v>
      </c>
      <c r="D278" s="2" t="s">
        <v>13756</v>
      </c>
      <c r="E278" s="2" t="s">
        <v>14573</v>
      </c>
      <c r="F278" s="7" t="s">
        <v>14574</v>
      </c>
    </row>
    <row r="279" hidden="1">
      <c r="A279" s="2" t="s">
        <v>14575</v>
      </c>
      <c r="B279" s="2">
        <v>1996.0</v>
      </c>
      <c r="C279" s="2" t="s">
        <v>3396</v>
      </c>
      <c r="D279" s="2" t="s">
        <v>14378</v>
      </c>
      <c r="E279" s="2" t="s">
        <v>14576</v>
      </c>
      <c r="F279" s="7" t="s">
        <v>14577</v>
      </c>
    </row>
    <row r="280">
      <c r="B280" s="2">
        <v>2018.0</v>
      </c>
      <c r="C280" s="2" t="s">
        <v>3396</v>
      </c>
      <c r="D280" s="2" t="s">
        <v>13756</v>
      </c>
      <c r="E280" s="2" t="s">
        <v>14578</v>
      </c>
      <c r="F280" s="7" t="s">
        <v>14579</v>
      </c>
    </row>
    <row r="281">
      <c r="B281" s="2">
        <v>2021.0</v>
      </c>
      <c r="C281" s="2" t="s">
        <v>3396</v>
      </c>
      <c r="D281" s="2" t="s">
        <v>13756</v>
      </c>
      <c r="E281" s="2" t="s">
        <v>14580</v>
      </c>
      <c r="F281" s="7" t="s">
        <v>14581</v>
      </c>
    </row>
    <row r="282" hidden="1">
      <c r="B282" s="2">
        <v>2017.0</v>
      </c>
      <c r="C282" s="2" t="s">
        <v>3396</v>
      </c>
      <c r="D282" s="2" t="s">
        <v>14582</v>
      </c>
      <c r="E282" s="2" t="s">
        <v>14583</v>
      </c>
      <c r="F282" s="7" t="s">
        <v>14584</v>
      </c>
    </row>
    <row r="283" hidden="1">
      <c r="A283" s="2" t="s">
        <v>14585</v>
      </c>
      <c r="B283" s="2">
        <v>1995.0</v>
      </c>
      <c r="C283" s="2" t="s">
        <v>3396</v>
      </c>
      <c r="D283" s="2" t="s">
        <v>14586</v>
      </c>
      <c r="E283" s="2" t="s">
        <v>14587</v>
      </c>
      <c r="F283" s="7" t="s">
        <v>14588</v>
      </c>
    </row>
    <row r="284">
      <c r="B284" s="2">
        <v>2015.0</v>
      </c>
      <c r="C284" s="2" t="s">
        <v>3396</v>
      </c>
      <c r="D284" s="2" t="s">
        <v>13756</v>
      </c>
      <c r="E284" s="2" t="s">
        <v>14589</v>
      </c>
      <c r="F284" s="7" t="s">
        <v>14590</v>
      </c>
    </row>
    <row r="285" hidden="1">
      <c r="B285" s="2">
        <v>2015.0</v>
      </c>
      <c r="C285" s="2" t="s">
        <v>3396</v>
      </c>
      <c r="D285" s="2" t="s">
        <v>14591</v>
      </c>
      <c r="E285" s="2" t="s">
        <v>14592</v>
      </c>
      <c r="F285" s="7" t="s">
        <v>14593</v>
      </c>
    </row>
    <row r="286">
      <c r="B286" s="2">
        <v>2015.0</v>
      </c>
      <c r="C286" s="2" t="s">
        <v>3396</v>
      </c>
      <c r="D286" s="2" t="s">
        <v>13756</v>
      </c>
      <c r="E286" s="2" t="s">
        <v>14594</v>
      </c>
      <c r="F286" s="7" t="s">
        <v>14595</v>
      </c>
    </row>
    <row r="287">
      <c r="B287" s="2">
        <v>2011.0</v>
      </c>
      <c r="C287" s="2" t="s">
        <v>3396</v>
      </c>
      <c r="D287" s="2" t="s">
        <v>13756</v>
      </c>
      <c r="E287" s="2" t="s">
        <v>14596</v>
      </c>
      <c r="F287" s="7" t="s">
        <v>14597</v>
      </c>
    </row>
    <row r="288">
      <c r="B288" s="2">
        <v>2016.0</v>
      </c>
      <c r="C288" s="2" t="s">
        <v>3396</v>
      </c>
      <c r="D288" s="2" t="s">
        <v>13756</v>
      </c>
      <c r="E288" s="2" t="s">
        <v>14598</v>
      </c>
      <c r="F288" s="7" t="s">
        <v>14599</v>
      </c>
    </row>
    <row r="289">
      <c r="B289" s="2">
        <v>2001.0</v>
      </c>
      <c r="C289" s="2" t="s">
        <v>3396</v>
      </c>
      <c r="D289" s="2" t="s">
        <v>13756</v>
      </c>
      <c r="E289" s="2" t="s">
        <v>14600</v>
      </c>
      <c r="F289" s="7" t="s">
        <v>14601</v>
      </c>
    </row>
    <row r="290" hidden="1">
      <c r="B290" s="2">
        <v>2022.0</v>
      </c>
      <c r="C290" s="2" t="s">
        <v>3396</v>
      </c>
      <c r="D290" s="2" t="s">
        <v>14602</v>
      </c>
      <c r="E290" s="2" t="s">
        <v>14603</v>
      </c>
      <c r="F290" s="7" t="s">
        <v>14604</v>
      </c>
    </row>
    <row r="291">
      <c r="B291" s="2">
        <v>2015.0</v>
      </c>
      <c r="C291" s="2" t="s">
        <v>3396</v>
      </c>
      <c r="D291" s="2" t="s">
        <v>13756</v>
      </c>
      <c r="E291" s="2" t="s">
        <v>14605</v>
      </c>
      <c r="F291" s="7" t="s">
        <v>14606</v>
      </c>
    </row>
    <row r="292" hidden="1">
      <c r="A292" s="2" t="s">
        <v>14607</v>
      </c>
      <c r="B292" s="2">
        <v>2002.0</v>
      </c>
      <c r="C292" s="2" t="s">
        <v>3396</v>
      </c>
      <c r="D292" s="2" t="s">
        <v>14608</v>
      </c>
      <c r="E292" s="2" t="s">
        <v>14609</v>
      </c>
      <c r="F292" s="7" t="s">
        <v>14610</v>
      </c>
    </row>
    <row r="293" hidden="1">
      <c r="B293" s="2">
        <v>2016.0</v>
      </c>
      <c r="C293" s="2" t="s">
        <v>3396</v>
      </c>
      <c r="D293" s="2" t="s">
        <v>14611</v>
      </c>
      <c r="E293" s="2" t="s">
        <v>14612</v>
      </c>
      <c r="F293" s="7" t="s">
        <v>14613</v>
      </c>
    </row>
    <row r="294" hidden="1">
      <c r="A294" s="2" t="s">
        <v>14614</v>
      </c>
      <c r="B294" s="2">
        <v>1991.0</v>
      </c>
      <c r="C294" s="2" t="s">
        <v>3396</v>
      </c>
      <c r="D294" s="2" t="s">
        <v>14615</v>
      </c>
      <c r="E294" s="2" t="s">
        <v>14616</v>
      </c>
      <c r="F294" s="7" t="s">
        <v>14617</v>
      </c>
    </row>
    <row r="295" hidden="1">
      <c r="B295" s="2">
        <v>2007.0</v>
      </c>
      <c r="C295" s="2" t="s">
        <v>3396</v>
      </c>
      <c r="D295" s="2" t="s">
        <v>14618</v>
      </c>
      <c r="E295" s="2" t="s">
        <v>14619</v>
      </c>
      <c r="F295" s="7" t="s">
        <v>14620</v>
      </c>
    </row>
    <row r="296" hidden="1">
      <c r="B296" s="2">
        <v>2014.0</v>
      </c>
      <c r="C296" s="2" t="s">
        <v>3396</v>
      </c>
      <c r="D296" s="2" t="s">
        <v>14621</v>
      </c>
      <c r="E296" s="2" t="s">
        <v>14622</v>
      </c>
      <c r="F296" s="7" t="s">
        <v>14623</v>
      </c>
    </row>
    <row r="297" hidden="1">
      <c r="B297" s="2">
        <v>1996.0</v>
      </c>
      <c r="C297" s="2" t="s">
        <v>3396</v>
      </c>
      <c r="D297" s="2" t="s">
        <v>14624</v>
      </c>
      <c r="E297" s="2" t="s">
        <v>14625</v>
      </c>
      <c r="F297" s="7" t="s">
        <v>14626</v>
      </c>
    </row>
    <row r="298">
      <c r="B298" s="2">
        <v>2017.0</v>
      </c>
      <c r="C298" s="2" t="s">
        <v>3396</v>
      </c>
      <c r="D298" s="2" t="s">
        <v>13756</v>
      </c>
      <c r="E298" s="2" t="s">
        <v>14627</v>
      </c>
      <c r="F298" s="7" t="s">
        <v>14628</v>
      </c>
    </row>
    <row r="299">
      <c r="B299" s="2">
        <v>2013.0</v>
      </c>
      <c r="C299" s="2" t="s">
        <v>3396</v>
      </c>
      <c r="D299" s="2" t="s">
        <v>13756</v>
      </c>
      <c r="E299" s="2" t="s">
        <v>14629</v>
      </c>
      <c r="F299" s="7" t="s">
        <v>14630</v>
      </c>
    </row>
    <row r="300" hidden="1">
      <c r="B300" s="2">
        <v>2011.0</v>
      </c>
      <c r="C300" s="2" t="s">
        <v>3396</v>
      </c>
      <c r="D300" s="2" t="s">
        <v>14631</v>
      </c>
      <c r="E300" s="2" t="s">
        <v>14632</v>
      </c>
      <c r="F300" s="7" t="s">
        <v>14633</v>
      </c>
    </row>
    <row r="301">
      <c r="B301" s="2">
        <v>2022.0</v>
      </c>
      <c r="C301" s="2" t="s">
        <v>3396</v>
      </c>
      <c r="D301" s="2" t="s">
        <v>13756</v>
      </c>
      <c r="E301" s="2" t="s">
        <v>14634</v>
      </c>
      <c r="F301" s="7" t="s">
        <v>14635</v>
      </c>
    </row>
    <row r="302">
      <c r="B302" s="2">
        <v>2018.0</v>
      </c>
      <c r="C302" s="2" t="s">
        <v>3396</v>
      </c>
      <c r="D302" s="2" t="s">
        <v>13756</v>
      </c>
      <c r="E302" s="2" t="s">
        <v>14636</v>
      </c>
      <c r="F302" s="7" t="s">
        <v>14637</v>
      </c>
    </row>
    <row r="303">
      <c r="B303" s="2">
        <v>2016.0</v>
      </c>
      <c r="C303" s="2" t="s">
        <v>3396</v>
      </c>
      <c r="D303" s="2" t="s">
        <v>13756</v>
      </c>
      <c r="E303" s="2" t="s">
        <v>14638</v>
      </c>
      <c r="F303" s="7" t="s">
        <v>14639</v>
      </c>
    </row>
    <row r="304" hidden="1">
      <c r="B304" s="2">
        <v>2019.0</v>
      </c>
      <c r="C304" s="2" t="s">
        <v>3396</v>
      </c>
      <c r="D304" s="2" t="s">
        <v>14640</v>
      </c>
      <c r="E304" s="2" t="s">
        <v>14641</v>
      </c>
      <c r="F304" s="7" t="s">
        <v>14642</v>
      </c>
    </row>
    <row r="305">
      <c r="B305" s="2">
        <v>2012.0</v>
      </c>
      <c r="C305" s="2" t="s">
        <v>3396</v>
      </c>
      <c r="D305" s="2" t="s">
        <v>13756</v>
      </c>
      <c r="E305" s="2" t="s">
        <v>14643</v>
      </c>
      <c r="F305" s="7" t="s">
        <v>14644</v>
      </c>
    </row>
    <row r="306" hidden="1">
      <c r="B306" s="2">
        <v>2012.0</v>
      </c>
      <c r="C306" s="2" t="s">
        <v>3396</v>
      </c>
      <c r="D306" s="2" t="s">
        <v>14645</v>
      </c>
      <c r="E306" s="2" t="s">
        <v>14646</v>
      </c>
      <c r="F306" s="7" t="s">
        <v>14647</v>
      </c>
    </row>
    <row r="307" hidden="1">
      <c r="A307" s="2" t="s">
        <v>14648</v>
      </c>
      <c r="B307" s="2">
        <v>2000.0</v>
      </c>
      <c r="C307" s="2" t="s">
        <v>3396</v>
      </c>
      <c r="D307" s="2" t="s">
        <v>14649</v>
      </c>
      <c r="E307" s="2" t="s">
        <v>14650</v>
      </c>
      <c r="F307" s="7" t="s">
        <v>14651</v>
      </c>
    </row>
    <row r="308">
      <c r="B308" s="2">
        <v>2022.0</v>
      </c>
      <c r="C308" s="2" t="s">
        <v>3396</v>
      </c>
      <c r="D308" s="2" t="s">
        <v>13756</v>
      </c>
      <c r="E308" s="2" t="s">
        <v>14652</v>
      </c>
      <c r="F308" s="7" t="s">
        <v>14653</v>
      </c>
    </row>
    <row r="309">
      <c r="B309" s="2">
        <v>2012.0</v>
      </c>
      <c r="C309" s="2" t="s">
        <v>3396</v>
      </c>
      <c r="D309" s="2" t="s">
        <v>13756</v>
      </c>
      <c r="E309" s="2" t="s">
        <v>14654</v>
      </c>
      <c r="F309" s="7" t="s">
        <v>14655</v>
      </c>
    </row>
    <row r="310">
      <c r="B310" s="2">
        <v>2016.0</v>
      </c>
      <c r="C310" s="2" t="s">
        <v>3396</v>
      </c>
      <c r="D310" s="2" t="s">
        <v>13756</v>
      </c>
      <c r="E310" s="2" t="s">
        <v>14656</v>
      </c>
      <c r="F310" s="7" t="s">
        <v>14657</v>
      </c>
    </row>
    <row r="311">
      <c r="B311" s="2">
        <v>2006.0</v>
      </c>
      <c r="C311" s="2" t="s">
        <v>3396</v>
      </c>
      <c r="D311" s="2" t="s">
        <v>13756</v>
      </c>
      <c r="E311" s="2" t="s">
        <v>14658</v>
      </c>
      <c r="F311" s="7" t="s">
        <v>14659</v>
      </c>
    </row>
    <row r="312" hidden="1">
      <c r="B312" s="2">
        <v>1983.0</v>
      </c>
      <c r="C312" s="2" t="s">
        <v>3396</v>
      </c>
      <c r="D312" s="2" t="s">
        <v>14660</v>
      </c>
      <c r="E312" s="2" t="s">
        <v>14661</v>
      </c>
      <c r="F312" s="7" t="s">
        <v>14662</v>
      </c>
    </row>
    <row r="313" hidden="1">
      <c r="B313" s="2">
        <v>2008.0</v>
      </c>
      <c r="C313" s="2" t="s">
        <v>3396</v>
      </c>
      <c r="D313" s="2" t="s">
        <v>14663</v>
      </c>
      <c r="E313" s="2" t="s">
        <v>14664</v>
      </c>
      <c r="F313" s="7" t="s">
        <v>14665</v>
      </c>
    </row>
    <row r="314" hidden="1">
      <c r="B314" s="2">
        <v>2007.0</v>
      </c>
      <c r="C314" s="2" t="s">
        <v>3396</v>
      </c>
      <c r="D314" s="2" t="s">
        <v>14666</v>
      </c>
      <c r="E314" s="2" t="s">
        <v>14667</v>
      </c>
      <c r="F314" s="7" t="s">
        <v>14668</v>
      </c>
    </row>
    <row r="315" hidden="1">
      <c r="B315" s="2">
        <v>2011.0</v>
      </c>
      <c r="C315" s="2" t="s">
        <v>3396</v>
      </c>
      <c r="D315" s="2" t="s">
        <v>14669</v>
      </c>
      <c r="E315" s="2" t="s">
        <v>14670</v>
      </c>
      <c r="F315" s="7" t="s">
        <v>14671</v>
      </c>
    </row>
    <row r="316">
      <c r="B316" s="2">
        <v>2018.0</v>
      </c>
      <c r="C316" s="2" t="s">
        <v>3396</v>
      </c>
      <c r="D316" s="2" t="s">
        <v>13756</v>
      </c>
      <c r="E316" s="2" t="s">
        <v>14672</v>
      </c>
      <c r="F316" s="7" t="s">
        <v>14673</v>
      </c>
    </row>
    <row r="317" hidden="1">
      <c r="A317" s="2" t="s">
        <v>14674</v>
      </c>
      <c r="B317" s="2">
        <v>1996.0</v>
      </c>
      <c r="C317" s="2" t="s">
        <v>3396</v>
      </c>
      <c r="D317" s="2" t="s">
        <v>14675</v>
      </c>
      <c r="E317" s="2" t="s">
        <v>14676</v>
      </c>
      <c r="F317" s="7" t="s">
        <v>14677</v>
      </c>
    </row>
    <row r="318" hidden="1">
      <c r="B318" s="2">
        <v>2005.0</v>
      </c>
      <c r="C318" s="2" t="s">
        <v>3396</v>
      </c>
      <c r="D318" s="2" t="s">
        <v>14678</v>
      </c>
      <c r="E318" s="2" t="s">
        <v>14679</v>
      </c>
      <c r="F318" s="7" t="s">
        <v>14680</v>
      </c>
    </row>
    <row r="319" hidden="1">
      <c r="B319" s="2">
        <v>2014.0</v>
      </c>
      <c r="C319" s="2" t="s">
        <v>3396</v>
      </c>
      <c r="D319" s="2" t="s">
        <v>14681</v>
      </c>
      <c r="E319" s="2" t="s">
        <v>14682</v>
      </c>
      <c r="F319" s="7" t="s">
        <v>14683</v>
      </c>
    </row>
    <row r="320" hidden="1">
      <c r="B320" s="2">
        <v>2014.0</v>
      </c>
      <c r="C320" s="2" t="s">
        <v>3396</v>
      </c>
      <c r="D320" s="2" t="s">
        <v>14684</v>
      </c>
      <c r="E320" s="2" t="s">
        <v>14685</v>
      </c>
      <c r="F320" s="7" t="s">
        <v>14686</v>
      </c>
    </row>
    <row r="321">
      <c r="B321" s="2">
        <v>2018.0</v>
      </c>
      <c r="C321" s="2" t="s">
        <v>3396</v>
      </c>
      <c r="D321" s="2" t="s">
        <v>13756</v>
      </c>
      <c r="E321" s="2" t="s">
        <v>14687</v>
      </c>
      <c r="F321" s="7" t="s">
        <v>14688</v>
      </c>
    </row>
    <row r="322" hidden="1">
      <c r="B322" s="2">
        <v>2006.0</v>
      </c>
      <c r="C322" s="2" t="s">
        <v>3396</v>
      </c>
      <c r="D322" s="2" t="s">
        <v>14689</v>
      </c>
      <c r="E322" s="2" t="s">
        <v>14690</v>
      </c>
      <c r="F322" s="7" t="s">
        <v>14691</v>
      </c>
    </row>
    <row r="323">
      <c r="B323" s="2">
        <v>2013.0</v>
      </c>
      <c r="C323" s="2" t="s">
        <v>3396</v>
      </c>
      <c r="D323" s="2" t="s">
        <v>13756</v>
      </c>
      <c r="E323" s="2" t="s">
        <v>14692</v>
      </c>
      <c r="F323" s="7" t="s">
        <v>14693</v>
      </c>
    </row>
    <row r="324" hidden="1">
      <c r="B324" s="2">
        <v>2014.0</v>
      </c>
      <c r="C324" s="2" t="s">
        <v>3396</v>
      </c>
      <c r="D324" s="2" t="s">
        <v>14694</v>
      </c>
      <c r="E324" s="2" t="s">
        <v>14695</v>
      </c>
      <c r="F324" s="7" t="s">
        <v>14696</v>
      </c>
    </row>
    <row r="325" hidden="1">
      <c r="B325" s="2">
        <v>2003.0</v>
      </c>
      <c r="C325" s="2" t="s">
        <v>3396</v>
      </c>
      <c r="D325" s="2" t="s">
        <v>14306</v>
      </c>
      <c r="E325" s="2" t="s">
        <v>14697</v>
      </c>
      <c r="F325" s="7" t="s">
        <v>14698</v>
      </c>
    </row>
    <row r="326">
      <c r="B326" s="2">
        <v>2024.0</v>
      </c>
      <c r="C326" s="2" t="s">
        <v>3396</v>
      </c>
      <c r="D326" s="2" t="s">
        <v>13756</v>
      </c>
      <c r="E326" s="2" t="s">
        <v>14699</v>
      </c>
      <c r="F326" s="7" t="s">
        <v>14700</v>
      </c>
    </row>
    <row r="327" hidden="1">
      <c r="B327" s="2">
        <v>1989.0</v>
      </c>
      <c r="C327" s="2" t="s">
        <v>3396</v>
      </c>
      <c r="D327" s="2" t="s">
        <v>14701</v>
      </c>
      <c r="E327" s="2" t="s">
        <v>14702</v>
      </c>
      <c r="F327" s="7" t="s">
        <v>14703</v>
      </c>
    </row>
    <row r="328">
      <c r="B328" s="2">
        <v>2019.0</v>
      </c>
      <c r="C328" s="2" t="s">
        <v>3396</v>
      </c>
      <c r="D328" s="2" t="s">
        <v>13756</v>
      </c>
      <c r="E328" s="2" t="s">
        <v>14704</v>
      </c>
      <c r="F328" s="7" t="s">
        <v>14705</v>
      </c>
    </row>
    <row r="329" hidden="1">
      <c r="B329" s="2">
        <v>1998.0</v>
      </c>
      <c r="C329" s="2" t="s">
        <v>3396</v>
      </c>
      <c r="D329" s="2" t="s">
        <v>14706</v>
      </c>
      <c r="E329" s="2" t="s">
        <v>14707</v>
      </c>
      <c r="F329" s="7" t="s">
        <v>14708</v>
      </c>
    </row>
    <row r="330">
      <c r="B330" s="2">
        <v>2002.0</v>
      </c>
      <c r="C330" s="2" t="s">
        <v>3396</v>
      </c>
      <c r="D330" s="2" t="s">
        <v>13756</v>
      </c>
      <c r="E330" s="2" t="s">
        <v>14709</v>
      </c>
      <c r="F330" s="7" t="s">
        <v>14710</v>
      </c>
    </row>
    <row r="331" hidden="1">
      <c r="B331" s="2">
        <v>2018.0</v>
      </c>
      <c r="C331" s="2" t="s">
        <v>3396</v>
      </c>
      <c r="D331" s="2" t="s">
        <v>14711</v>
      </c>
      <c r="E331" s="2" t="s">
        <v>14712</v>
      </c>
      <c r="F331" s="7" t="s">
        <v>14713</v>
      </c>
    </row>
    <row r="332">
      <c r="B332" s="2">
        <v>2022.0</v>
      </c>
      <c r="C332" s="2" t="s">
        <v>3396</v>
      </c>
      <c r="D332" s="2" t="s">
        <v>13756</v>
      </c>
      <c r="E332" s="2" t="s">
        <v>14714</v>
      </c>
      <c r="F332" s="7" t="s">
        <v>14715</v>
      </c>
    </row>
    <row r="333">
      <c r="B333" s="2">
        <v>2015.0</v>
      </c>
      <c r="C333" s="2" t="s">
        <v>3396</v>
      </c>
      <c r="D333" s="2" t="s">
        <v>13756</v>
      </c>
      <c r="E333" s="2" t="s">
        <v>14716</v>
      </c>
      <c r="F333" s="7" t="s">
        <v>14717</v>
      </c>
    </row>
    <row r="334">
      <c r="B334" s="2">
        <v>2016.0</v>
      </c>
      <c r="C334" s="2" t="s">
        <v>3396</v>
      </c>
      <c r="D334" s="2" t="s">
        <v>13756</v>
      </c>
      <c r="E334" s="2" t="s">
        <v>14718</v>
      </c>
      <c r="F334" s="7" t="s">
        <v>14719</v>
      </c>
    </row>
    <row r="335" hidden="1">
      <c r="B335" s="2">
        <v>2020.0</v>
      </c>
      <c r="C335" s="2" t="s">
        <v>3396</v>
      </c>
      <c r="D335" s="2" t="s">
        <v>14720</v>
      </c>
      <c r="E335" s="2" t="s">
        <v>14721</v>
      </c>
      <c r="F335" s="7" t="s">
        <v>14722</v>
      </c>
    </row>
    <row r="336">
      <c r="B336" s="2">
        <v>2013.0</v>
      </c>
      <c r="C336" s="2" t="s">
        <v>3396</v>
      </c>
      <c r="D336" s="2" t="s">
        <v>13756</v>
      </c>
      <c r="E336" s="2" t="s">
        <v>14723</v>
      </c>
      <c r="F336" s="7" t="s">
        <v>14724</v>
      </c>
    </row>
    <row r="337">
      <c r="B337" s="2">
        <v>2019.0</v>
      </c>
      <c r="C337" s="2" t="s">
        <v>3396</v>
      </c>
      <c r="D337" s="2" t="s">
        <v>13756</v>
      </c>
      <c r="E337" s="2" t="s">
        <v>14725</v>
      </c>
      <c r="F337" s="7" t="s">
        <v>14726</v>
      </c>
    </row>
    <row r="338" hidden="1">
      <c r="B338" s="2">
        <v>2012.0</v>
      </c>
      <c r="C338" s="2" t="s">
        <v>3396</v>
      </c>
      <c r="D338" s="2" t="s">
        <v>14727</v>
      </c>
      <c r="E338" s="2" t="s">
        <v>14728</v>
      </c>
      <c r="F338" s="7" t="s">
        <v>14729</v>
      </c>
    </row>
    <row r="339">
      <c r="B339" s="2">
        <v>2019.0</v>
      </c>
      <c r="C339" s="2" t="s">
        <v>3396</v>
      </c>
      <c r="D339" s="2" t="s">
        <v>13756</v>
      </c>
      <c r="E339" s="2" t="s">
        <v>14730</v>
      </c>
      <c r="F339" s="7" t="s">
        <v>14731</v>
      </c>
    </row>
    <row r="340" hidden="1">
      <c r="B340" s="2">
        <v>2017.0</v>
      </c>
      <c r="C340" s="2" t="s">
        <v>3396</v>
      </c>
      <c r="D340" s="2" t="s">
        <v>14267</v>
      </c>
      <c r="E340" s="2" t="s">
        <v>14732</v>
      </c>
      <c r="F340" s="7" t="s">
        <v>14733</v>
      </c>
    </row>
    <row r="341">
      <c r="B341" s="2">
        <v>2023.0</v>
      </c>
      <c r="C341" s="2" t="s">
        <v>3396</v>
      </c>
      <c r="D341" s="2" t="s">
        <v>13756</v>
      </c>
      <c r="E341" s="2" t="s">
        <v>14734</v>
      </c>
      <c r="F341" s="7" t="s">
        <v>14735</v>
      </c>
    </row>
    <row r="342">
      <c r="B342" s="2">
        <v>2014.0</v>
      </c>
      <c r="C342" s="2" t="s">
        <v>3396</v>
      </c>
      <c r="D342" s="2" t="s">
        <v>13756</v>
      </c>
      <c r="E342" s="2" t="s">
        <v>14736</v>
      </c>
      <c r="F342" s="7" t="s">
        <v>14737</v>
      </c>
    </row>
    <row r="343">
      <c r="B343" s="2">
        <v>2015.0</v>
      </c>
      <c r="C343" s="2" t="s">
        <v>3396</v>
      </c>
      <c r="D343" s="2" t="s">
        <v>13756</v>
      </c>
      <c r="E343" s="2" t="s">
        <v>14738</v>
      </c>
      <c r="F343" s="7" t="s">
        <v>14739</v>
      </c>
    </row>
    <row r="344" hidden="1">
      <c r="B344" s="2">
        <v>2009.0</v>
      </c>
      <c r="C344" s="2" t="s">
        <v>3396</v>
      </c>
      <c r="D344" s="2" t="s">
        <v>14740</v>
      </c>
      <c r="E344" s="2" t="s">
        <v>14741</v>
      </c>
      <c r="F344" s="7" t="s">
        <v>14742</v>
      </c>
    </row>
    <row r="345" hidden="1">
      <c r="B345" s="2">
        <v>2013.0</v>
      </c>
      <c r="C345" s="2" t="s">
        <v>3396</v>
      </c>
      <c r="D345" s="2" t="s">
        <v>14743</v>
      </c>
      <c r="E345" s="2" t="s">
        <v>14744</v>
      </c>
      <c r="F345" s="7" t="s">
        <v>14745</v>
      </c>
    </row>
    <row r="346">
      <c r="B346" s="2">
        <v>2015.0</v>
      </c>
      <c r="C346" s="2" t="s">
        <v>3396</v>
      </c>
      <c r="D346" s="2" t="s">
        <v>13756</v>
      </c>
      <c r="E346" s="2" t="s">
        <v>14746</v>
      </c>
      <c r="F346" s="7" t="s">
        <v>14747</v>
      </c>
    </row>
    <row r="347" hidden="1">
      <c r="B347" s="2">
        <v>2010.0</v>
      </c>
      <c r="C347" s="2" t="s">
        <v>3396</v>
      </c>
      <c r="D347" s="2" t="s">
        <v>14748</v>
      </c>
      <c r="E347" s="2" t="s">
        <v>14749</v>
      </c>
      <c r="F347" s="7" t="s">
        <v>14750</v>
      </c>
    </row>
    <row r="348" hidden="1">
      <c r="B348" s="2">
        <v>2012.0</v>
      </c>
      <c r="C348" s="2" t="s">
        <v>3396</v>
      </c>
      <c r="D348" s="2" t="s">
        <v>14751</v>
      </c>
      <c r="E348" s="2" t="s">
        <v>14752</v>
      </c>
      <c r="F348" s="7" t="s">
        <v>14753</v>
      </c>
    </row>
    <row r="349" hidden="1">
      <c r="B349" s="2">
        <v>2018.0</v>
      </c>
      <c r="C349" s="2" t="s">
        <v>3396</v>
      </c>
      <c r="D349" s="2" t="s">
        <v>14754</v>
      </c>
      <c r="E349" s="2" t="s">
        <v>14755</v>
      </c>
      <c r="F349" s="7" t="s">
        <v>14756</v>
      </c>
    </row>
    <row r="350" hidden="1">
      <c r="A350" s="2" t="s">
        <v>14757</v>
      </c>
      <c r="B350" s="2">
        <v>1996.0</v>
      </c>
      <c r="C350" s="2" t="s">
        <v>3396</v>
      </c>
      <c r="D350" s="2" t="s">
        <v>14758</v>
      </c>
      <c r="E350" s="2" t="s">
        <v>14759</v>
      </c>
      <c r="F350" s="7" t="s">
        <v>14760</v>
      </c>
    </row>
    <row r="351">
      <c r="B351" s="2">
        <v>2017.0</v>
      </c>
      <c r="C351" s="2" t="s">
        <v>3396</v>
      </c>
      <c r="D351" s="2" t="s">
        <v>13756</v>
      </c>
      <c r="E351" s="2" t="s">
        <v>14761</v>
      </c>
      <c r="F351" s="7" t="s">
        <v>14762</v>
      </c>
    </row>
    <row r="352" hidden="1">
      <c r="B352" s="2">
        <v>1997.0</v>
      </c>
      <c r="C352" s="2" t="s">
        <v>3396</v>
      </c>
      <c r="D352" s="2" t="s">
        <v>14763</v>
      </c>
      <c r="E352" s="2" t="s">
        <v>14764</v>
      </c>
      <c r="F352" s="7" t="s">
        <v>14765</v>
      </c>
    </row>
    <row r="353">
      <c r="B353" s="2">
        <v>2011.0</v>
      </c>
      <c r="C353" s="2" t="s">
        <v>3396</v>
      </c>
      <c r="D353" s="2" t="s">
        <v>13756</v>
      </c>
      <c r="E353" s="2" t="s">
        <v>14766</v>
      </c>
      <c r="F353" s="7" t="s">
        <v>14767</v>
      </c>
    </row>
    <row r="354">
      <c r="B354" s="2">
        <v>2016.0</v>
      </c>
      <c r="C354" s="2" t="s">
        <v>3396</v>
      </c>
      <c r="D354" s="2" t="s">
        <v>13756</v>
      </c>
      <c r="E354" s="2" t="s">
        <v>14768</v>
      </c>
      <c r="F354" s="7" t="s">
        <v>14769</v>
      </c>
    </row>
    <row r="355">
      <c r="B355" s="2">
        <v>2016.0</v>
      </c>
      <c r="C355" s="2" t="s">
        <v>3396</v>
      </c>
      <c r="D355" s="2" t="s">
        <v>13756</v>
      </c>
      <c r="E355" s="2" t="s">
        <v>14770</v>
      </c>
      <c r="F355" s="7" t="s">
        <v>14771</v>
      </c>
    </row>
    <row r="356" hidden="1">
      <c r="B356" s="2">
        <v>2012.0</v>
      </c>
      <c r="C356" s="2" t="s">
        <v>3396</v>
      </c>
      <c r="D356" s="2" t="s">
        <v>14772</v>
      </c>
      <c r="E356" s="2" t="s">
        <v>14773</v>
      </c>
      <c r="F356" s="7" t="s">
        <v>14774</v>
      </c>
    </row>
    <row r="357">
      <c r="B357" s="2">
        <v>2015.0</v>
      </c>
      <c r="C357" s="2" t="s">
        <v>3396</v>
      </c>
      <c r="D357" s="2" t="s">
        <v>13756</v>
      </c>
      <c r="E357" s="2" t="s">
        <v>14775</v>
      </c>
      <c r="F357" s="7" t="s">
        <v>14776</v>
      </c>
    </row>
    <row r="358">
      <c r="B358" s="2">
        <v>2003.0</v>
      </c>
      <c r="C358" s="2" t="s">
        <v>3396</v>
      </c>
      <c r="D358" s="2" t="s">
        <v>13756</v>
      </c>
      <c r="E358" s="2" t="s">
        <v>14777</v>
      </c>
      <c r="F358" s="7" t="s">
        <v>14778</v>
      </c>
    </row>
    <row r="359" hidden="1">
      <c r="B359" s="2">
        <v>2004.0</v>
      </c>
      <c r="C359" s="2" t="s">
        <v>3396</v>
      </c>
      <c r="D359" s="2" t="s">
        <v>14267</v>
      </c>
      <c r="E359" s="2" t="s">
        <v>14779</v>
      </c>
      <c r="F359" s="7" t="s">
        <v>14780</v>
      </c>
    </row>
    <row r="360" hidden="1">
      <c r="B360" s="2">
        <v>2010.0</v>
      </c>
      <c r="C360" s="2" t="s">
        <v>3396</v>
      </c>
      <c r="D360" s="2" t="s">
        <v>14781</v>
      </c>
      <c r="E360" s="2" t="s">
        <v>14782</v>
      </c>
      <c r="F360" s="7" t="s">
        <v>14783</v>
      </c>
    </row>
    <row r="361">
      <c r="B361" s="2">
        <v>2006.0</v>
      </c>
      <c r="C361" s="2" t="s">
        <v>3396</v>
      </c>
      <c r="D361" s="2" t="s">
        <v>13756</v>
      </c>
      <c r="E361" s="2" t="s">
        <v>14784</v>
      </c>
      <c r="F361" s="7" t="s">
        <v>14785</v>
      </c>
    </row>
    <row r="362">
      <c r="B362" s="2">
        <v>2007.0</v>
      </c>
      <c r="C362" s="2" t="s">
        <v>3396</v>
      </c>
      <c r="D362" s="2" t="s">
        <v>13756</v>
      </c>
      <c r="E362" s="2" t="s">
        <v>14786</v>
      </c>
      <c r="F362" s="7" t="s">
        <v>14787</v>
      </c>
    </row>
    <row r="363" hidden="1">
      <c r="B363" s="2">
        <v>2009.0</v>
      </c>
      <c r="C363" s="2" t="s">
        <v>3396</v>
      </c>
      <c r="D363" s="2" t="s">
        <v>14788</v>
      </c>
      <c r="E363" s="2" t="s">
        <v>14789</v>
      </c>
      <c r="F363" s="7" t="s">
        <v>14790</v>
      </c>
    </row>
    <row r="364" hidden="1">
      <c r="B364" s="2">
        <v>1999.0</v>
      </c>
      <c r="C364" s="2" t="s">
        <v>3396</v>
      </c>
      <c r="D364" s="2" t="s">
        <v>14791</v>
      </c>
      <c r="E364" s="2" t="s">
        <v>14792</v>
      </c>
      <c r="F364" s="7" t="s">
        <v>14793</v>
      </c>
    </row>
    <row r="365" hidden="1">
      <c r="A365" s="2" t="s">
        <v>14794</v>
      </c>
      <c r="B365" s="2">
        <v>1986.0</v>
      </c>
      <c r="C365" s="2" t="s">
        <v>3396</v>
      </c>
      <c r="D365" s="2" t="s">
        <v>14795</v>
      </c>
      <c r="E365" s="2" t="s">
        <v>14796</v>
      </c>
      <c r="F365" s="7" t="s">
        <v>14797</v>
      </c>
    </row>
    <row r="366">
      <c r="B366" s="2">
        <v>2017.0</v>
      </c>
      <c r="C366" s="2" t="s">
        <v>3396</v>
      </c>
      <c r="D366" s="2" t="s">
        <v>13756</v>
      </c>
      <c r="E366" s="2" t="s">
        <v>14798</v>
      </c>
      <c r="F366" s="7" t="s">
        <v>14799</v>
      </c>
    </row>
    <row r="367" hidden="1">
      <c r="A367" s="2" t="s">
        <v>14800</v>
      </c>
      <c r="B367" s="2">
        <v>2002.0</v>
      </c>
      <c r="C367" s="2" t="s">
        <v>3396</v>
      </c>
      <c r="D367" s="2" t="s">
        <v>14801</v>
      </c>
      <c r="E367" s="2" t="s">
        <v>14802</v>
      </c>
      <c r="F367" s="7" t="s">
        <v>14803</v>
      </c>
    </row>
    <row r="368" hidden="1">
      <c r="B368" s="2">
        <v>2005.0</v>
      </c>
      <c r="C368" s="2" t="s">
        <v>3396</v>
      </c>
      <c r="D368" s="2" t="s">
        <v>14804</v>
      </c>
      <c r="E368" s="2" t="s">
        <v>14805</v>
      </c>
      <c r="F368" s="7" t="s">
        <v>14806</v>
      </c>
    </row>
    <row r="369" hidden="1">
      <c r="B369" s="2">
        <v>2011.0</v>
      </c>
      <c r="C369" s="2" t="s">
        <v>3396</v>
      </c>
      <c r="D369" s="2" t="s">
        <v>14807</v>
      </c>
      <c r="E369" s="2" t="s">
        <v>14808</v>
      </c>
      <c r="F369" s="7" t="s">
        <v>14809</v>
      </c>
    </row>
    <row r="370" hidden="1">
      <c r="B370" s="2">
        <v>2000.0</v>
      </c>
      <c r="C370" s="2" t="s">
        <v>3396</v>
      </c>
      <c r="D370" s="2" t="s">
        <v>14810</v>
      </c>
      <c r="E370" s="2" t="s">
        <v>14811</v>
      </c>
      <c r="F370" s="7" t="s">
        <v>14812</v>
      </c>
    </row>
    <row r="371" hidden="1">
      <c r="A371" s="2" t="s">
        <v>14813</v>
      </c>
      <c r="B371" s="2">
        <v>1988.0</v>
      </c>
      <c r="C371" s="2" t="s">
        <v>3396</v>
      </c>
      <c r="D371" s="2" t="s">
        <v>14814</v>
      </c>
      <c r="E371" s="2" t="s">
        <v>14815</v>
      </c>
      <c r="F371" s="7" t="s">
        <v>14816</v>
      </c>
    </row>
    <row r="372">
      <c r="B372" s="2">
        <v>2002.0</v>
      </c>
      <c r="C372" s="2" t="s">
        <v>3396</v>
      </c>
      <c r="D372" s="2" t="s">
        <v>13756</v>
      </c>
      <c r="E372" s="2" t="s">
        <v>14817</v>
      </c>
      <c r="F372" s="7" t="s">
        <v>14818</v>
      </c>
    </row>
    <row r="373" hidden="1">
      <c r="B373" s="2">
        <v>2000.0</v>
      </c>
      <c r="C373" s="2" t="s">
        <v>3396</v>
      </c>
      <c r="D373" s="2" t="s">
        <v>14819</v>
      </c>
      <c r="E373" s="2" t="s">
        <v>14820</v>
      </c>
      <c r="F373" s="7" t="s">
        <v>14821</v>
      </c>
    </row>
    <row r="374" hidden="1">
      <c r="B374" s="2">
        <v>2003.0</v>
      </c>
      <c r="C374" s="2" t="s">
        <v>3396</v>
      </c>
      <c r="D374" s="2" t="s">
        <v>14822</v>
      </c>
      <c r="E374" s="2" t="s">
        <v>14823</v>
      </c>
      <c r="F374" s="7" t="s">
        <v>14824</v>
      </c>
    </row>
    <row r="375" hidden="1">
      <c r="B375" s="2">
        <v>2013.0</v>
      </c>
      <c r="C375" s="2" t="s">
        <v>3396</v>
      </c>
      <c r="D375" s="2" t="s">
        <v>14825</v>
      </c>
      <c r="E375" s="2" t="s">
        <v>14826</v>
      </c>
      <c r="F375" s="7" t="s">
        <v>14827</v>
      </c>
    </row>
    <row r="376">
      <c r="B376" s="2">
        <v>2012.0</v>
      </c>
      <c r="C376" s="2" t="s">
        <v>3396</v>
      </c>
      <c r="D376" s="2" t="s">
        <v>13756</v>
      </c>
      <c r="E376" s="2" t="s">
        <v>14828</v>
      </c>
      <c r="F376" s="7" t="s">
        <v>14829</v>
      </c>
    </row>
    <row r="377" hidden="1">
      <c r="B377" s="2">
        <v>2001.0</v>
      </c>
      <c r="C377" s="2" t="s">
        <v>3396</v>
      </c>
      <c r="D377" s="2" t="s">
        <v>14830</v>
      </c>
      <c r="E377" s="2" t="s">
        <v>14831</v>
      </c>
      <c r="F377" s="7" t="s">
        <v>14832</v>
      </c>
    </row>
    <row r="378">
      <c r="B378" s="2">
        <v>2022.0</v>
      </c>
      <c r="C378" s="2" t="s">
        <v>3396</v>
      </c>
      <c r="D378" s="2" t="s">
        <v>13756</v>
      </c>
      <c r="E378" s="2" t="s">
        <v>14833</v>
      </c>
      <c r="F378" s="7" t="s">
        <v>14834</v>
      </c>
    </row>
    <row r="379" hidden="1">
      <c r="B379" s="2">
        <v>2014.0</v>
      </c>
      <c r="C379" s="2" t="s">
        <v>3396</v>
      </c>
      <c r="D379" s="2" t="s">
        <v>14835</v>
      </c>
      <c r="E379" s="2" t="s">
        <v>14836</v>
      </c>
      <c r="F379" s="7" t="s">
        <v>14837</v>
      </c>
    </row>
    <row r="380" hidden="1">
      <c r="B380" s="2">
        <v>2013.0</v>
      </c>
      <c r="C380" s="2" t="s">
        <v>3396</v>
      </c>
      <c r="D380" s="2" t="s">
        <v>14838</v>
      </c>
      <c r="E380" s="2" t="s">
        <v>14839</v>
      </c>
      <c r="F380" s="7" t="s">
        <v>14840</v>
      </c>
    </row>
    <row r="381" hidden="1">
      <c r="B381" s="2">
        <v>2013.0</v>
      </c>
      <c r="C381" s="2" t="s">
        <v>3396</v>
      </c>
      <c r="D381" s="2" t="s">
        <v>14841</v>
      </c>
      <c r="E381" s="2" t="s">
        <v>14842</v>
      </c>
      <c r="F381" s="7" t="s">
        <v>14843</v>
      </c>
    </row>
    <row r="382" hidden="1">
      <c r="B382" s="2">
        <v>2011.0</v>
      </c>
      <c r="C382" s="2" t="s">
        <v>3396</v>
      </c>
      <c r="D382" s="2" t="s">
        <v>14844</v>
      </c>
      <c r="E382" s="2" t="s">
        <v>14845</v>
      </c>
      <c r="F382" s="7" t="s">
        <v>14846</v>
      </c>
    </row>
    <row r="383" hidden="1">
      <c r="B383" s="2">
        <v>2015.0</v>
      </c>
      <c r="C383" s="2" t="s">
        <v>3396</v>
      </c>
      <c r="D383" s="2" t="s">
        <v>14847</v>
      </c>
      <c r="E383" s="2" t="s">
        <v>14848</v>
      </c>
      <c r="F383" s="7" t="s">
        <v>14849</v>
      </c>
    </row>
    <row r="384" hidden="1">
      <c r="B384" s="2">
        <v>2016.0</v>
      </c>
      <c r="C384" s="2" t="s">
        <v>3396</v>
      </c>
      <c r="D384" s="2" t="s">
        <v>14850</v>
      </c>
      <c r="E384" s="2" t="s">
        <v>14851</v>
      </c>
      <c r="F384" s="7" t="s">
        <v>14852</v>
      </c>
    </row>
    <row r="385">
      <c r="B385" s="2">
        <v>2022.0</v>
      </c>
      <c r="C385" s="2" t="s">
        <v>3396</v>
      </c>
      <c r="D385" s="2" t="s">
        <v>13756</v>
      </c>
      <c r="E385" s="2" t="s">
        <v>14853</v>
      </c>
      <c r="F385" s="7" t="s">
        <v>14854</v>
      </c>
    </row>
    <row r="386">
      <c r="B386" s="2">
        <v>2010.0</v>
      </c>
      <c r="C386" s="2" t="s">
        <v>3396</v>
      </c>
      <c r="D386" s="2" t="s">
        <v>13756</v>
      </c>
      <c r="E386" s="2" t="s">
        <v>14855</v>
      </c>
      <c r="F386" s="7" t="s">
        <v>14856</v>
      </c>
    </row>
    <row r="387">
      <c r="B387" s="2">
        <v>2008.0</v>
      </c>
      <c r="C387" s="2" t="s">
        <v>3396</v>
      </c>
      <c r="D387" s="2" t="s">
        <v>13756</v>
      </c>
      <c r="E387" s="2" t="s">
        <v>14857</v>
      </c>
      <c r="F387" s="7" t="s">
        <v>14858</v>
      </c>
    </row>
    <row r="388">
      <c r="B388" s="2">
        <v>2007.0</v>
      </c>
      <c r="C388" s="2" t="s">
        <v>3396</v>
      </c>
      <c r="D388" s="2" t="s">
        <v>13756</v>
      </c>
      <c r="E388" s="2" t="s">
        <v>14859</v>
      </c>
      <c r="F388" s="7" t="s">
        <v>14860</v>
      </c>
    </row>
    <row r="389" hidden="1">
      <c r="B389" s="2">
        <v>2014.0</v>
      </c>
      <c r="C389" s="2" t="s">
        <v>3396</v>
      </c>
      <c r="D389" s="2" t="s">
        <v>14861</v>
      </c>
      <c r="E389" s="2" t="s">
        <v>14862</v>
      </c>
      <c r="F389" s="7" t="s">
        <v>14863</v>
      </c>
    </row>
    <row r="390" hidden="1">
      <c r="B390" s="2">
        <v>2015.0</v>
      </c>
      <c r="C390" s="2" t="s">
        <v>3396</v>
      </c>
      <c r="D390" s="2" t="s">
        <v>14864</v>
      </c>
      <c r="E390" s="2" t="s">
        <v>14865</v>
      </c>
      <c r="F390" s="7" t="s">
        <v>14866</v>
      </c>
    </row>
    <row r="391" hidden="1">
      <c r="B391" s="2">
        <v>2015.0</v>
      </c>
      <c r="C391" s="2" t="s">
        <v>3396</v>
      </c>
      <c r="D391" s="2" t="s">
        <v>14867</v>
      </c>
      <c r="E391" s="2" t="s">
        <v>14868</v>
      </c>
      <c r="F391" s="7" t="s">
        <v>14869</v>
      </c>
    </row>
    <row r="392" hidden="1">
      <c r="B392" s="2">
        <v>2012.0</v>
      </c>
      <c r="C392" s="2" t="s">
        <v>3396</v>
      </c>
      <c r="D392" s="2" t="s">
        <v>14781</v>
      </c>
      <c r="E392" s="2" t="s">
        <v>14870</v>
      </c>
      <c r="F392" s="7" t="s">
        <v>14871</v>
      </c>
    </row>
    <row r="393">
      <c r="B393" s="2">
        <v>2014.0</v>
      </c>
      <c r="C393" s="2" t="s">
        <v>3396</v>
      </c>
      <c r="D393" s="2" t="s">
        <v>13756</v>
      </c>
      <c r="E393" s="2" t="s">
        <v>14872</v>
      </c>
      <c r="F393" s="7" t="s">
        <v>14873</v>
      </c>
    </row>
    <row r="394" hidden="1">
      <c r="B394" s="2">
        <v>2011.0</v>
      </c>
      <c r="C394" s="2" t="s">
        <v>3396</v>
      </c>
      <c r="D394" s="2" t="s">
        <v>14874</v>
      </c>
      <c r="E394" s="2" t="s">
        <v>14875</v>
      </c>
      <c r="F394" s="7" t="s">
        <v>14876</v>
      </c>
    </row>
    <row r="395">
      <c r="B395" s="2">
        <v>2017.0</v>
      </c>
      <c r="C395" s="2" t="s">
        <v>3396</v>
      </c>
      <c r="D395" s="2" t="s">
        <v>13756</v>
      </c>
      <c r="E395" s="2" t="s">
        <v>14877</v>
      </c>
      <c r="F395" s="7" t="s">
        <v>14878</v>
      </c>
    </row>
    <row r="396" hidden="1">
      <c r="B396" s="2">
        <v>2013.0</v>
      </c>
      <c r="C396" s="2" t="s">
        <v>3396</v>
      </c>
      <c r="D396" s="2" t="s">
        <v>14879</v>
      </c>
      <c r="E396" s="2" t="s">
        <v>14880</v>
      </c>
      <c r="F396" s="7" t="s">
        <v>14881</v>
      </c>
    </row>
    <row r="397" hidden="1">
      <c r="A397" s="2" t="s">
        <v>14882</v>
      </c>
      <c r="B397" s="2">
        <v>1991.0</v>
      </c>
      <c r="C397" s="2" t="s">
        <v>3396</v>
      </c>
      <c r="D397" s="2" t="s">
        <v>14883</v>
      </c>
      <c r="E397" s="2" t="s">
        <v>14884</v>
      </c>
      <c r="F397" s="7" t="s">
        <v>14885</v>
      </c>
    </row>
    <row r="398" hidden="1">
      <c r="B398" s="2">
        <v>2008.0</v>
      </c>
      <c r="C398" s="2" t="s">
        <v>3396</v>
      </c>
      <c r="D398" s="2" t="s">
        <v>14886</v>
      </c>
      <c r="E398" s="2" t="s">
        <v>14887</v>
      </c>
      <c r="F398" s="7" t="s">
        <v>14888</v>
      </c>
    </row>
    <row r="399" hidden="1">
      <c r="A399" s="2" t="s">
        <v>14889</v>
      </c>
      <c r="B399" s="2">
        <v>1991.0</v>
      </c>
      <c r="C399" s="2" t="s">
        <v>3396</v>
      </c>
      <c r="D399" s="2" t="s">
        <v>13794</v>
      </c>
      <c r="E399" s="2" t="s">
        <v>14890</v>
      </c>
      <c r="F399" s="7" t="s">
        <v>14891</v>
      </c>
    </row>
    <row r="400">
      <c r="B400" s="2">
        <v>2017.0</v>
      </c>
      <c r="C400" s="2" t="s">
        <v>3396</v>
      </c>
      <c r="D400" s="2" t="s">
        <v>13756</v>
      </c>
      <c r="E400" s="2" t="s">
        <v>14892</v>
      </c>
      <c r="F400" s="7" t="s">
        <v>14893</v>
      </c>
    </row>
    <row r="401">
      <c r="B401" s="2">
        <v>2018.0</v>
      </c>
      <c r="C401" s="2" t="s">
        <v>3396</v>
      </c>
      <c r="D401" s="2" t="s">
        <v>13756</v>
      </c>
      <c r="E401" s="2" t="s">
        <v>14894</v>
      </c>
      <c r="F401" s="7" t="s">
        <v>14895</v>
      </c>
    </row>
    <row r="402" hidden="1">
      <c r="B402" s="2">
        <v>2019.0</v>
      </c>
      <c r="C402" s="2" t="s">
        <v>3396</v>
      </c>
      <c r="D402" s="2" t="s">
        <v>14896</v>
      </c>
      <c r="E402" s="2" t="s">
        <v>14897</v>
      </c>
      <c r="F402" s="7" t="s">
        <v>14898</v>
      </c>
    </row>
    <row r="403" hidden="1">
      <c r="B403" s="2">
        <v>1996.0</v>
      </c>
      <c r="C403" s="2" t="s">
        <v>3396</v>
      </c>
      <c r="D403" s="2" t="s">
        <v>14899</v>
      </c>
      <c r="E403" s="2" t="s">
        <v>14900</v>
      </c>
      <c r="F403" s="7" t="s">
        <v>14901</v>
      </c>
    </row>
    <row r="404">
      <c r="B404" s="2">
        <v>2015.0</v>
      </c>
      <c r="C404" s="2" t="s">
        <v>3396</v>
      </c>
      <c r="D404" s="2" t="s">
        <v>13756</v>
      </c>
      <c r="E404" s="2" t="s">
        <v>14902</v>
      </c>
      <c r="F404" s="7" t="s">
        <v>14903</v>
      </c>
    </row>
    <row r="405" hidden="1">
      <c r="B405" s="2">
        <v>2007.0</v>
      </c>
      <c r="C405" s="2" t="s">
        <v>3396</v>
      </c>
      <c r="D405" s="2" t="s">
        <v>14904</v>
      </c>
      <c r="E405" s="2" t="s">
        <v>14905</v>
      </c>
      <c r="F405" s="7" t="s">
        <v>14906</v>
      </c>
    </row>
    <row r="406" hidden="1">
      <c r="A406" s="2" t="s">
        <v>14907</v>
      </c>
      <c r="B406" s="2">
        <v>1991.0</v>
      </c>
      <c r="C406" s="2" t="s">
        <v>3396</v>
      </c>
      <c r="D406" s="2" t="s">
        <v>14908</v>
      </c>
      <c r="E406" s="2" t="s">
        <v>14909</v>
      </c>
      <c r="F406" s="7" t="s">
        <v>14910</v>
      </c>
    </row>
    <row r="407">
      <c r="B407" s="2">
        <v>2024.0</v>
      </c>
      <c r="C407" s="2" t="s">
        <v>3396</v>
      </c>
      <c r="D407" s="2" t="s">
        <v>13756</v>
      </c>
      <c r="E407" s="2" t="s">
        <v>14911</v>
      </c>
      <c r="F407" s="7" t="s">
        <v>14912</v>
      </c>
    </row>
    <row r="408">
      <c r="B408" s="2">
        <v>1999.0</v>
      </c>
      <c r="C408" s="2" t="s">
        <v>3396</v>
      </c>
      <c r="D408" s="2" t="s">
        <v>13756</v>
      </c>
      <c r="E408" s="2" t="s">
        <v>14913</v>
      </c>
      <c r="F408" s="7" t="s">
        <v>14914</v>
      </c>
    </row>
    <row r="409">
      <c r="B409" s="2">
        <v>2024.0</v>
      </c>
      <c r="C409" s="2" t="s">
        <v>3396</v>
      </c>
      <c r="D409" s="2" t="s">
        <v>13756</v>
      </c>
      <c r="E409" s="2" t="s">
        <v>14915</v>
      </c>
      <c r="F409" s="7" t="s">
        <v>14916</v>
      </c>
    </row>
    <row r="410" hidden="1">
      <c r="B410" s="2">
        <v>1998.0</v>
      </c>
      <c r="C410" s="2" t="s">
        <v>3396</v>
      </c>
      <c r="D410" s="2" t="s">
        <v>14917</v>
      </c>
      <c r="E410" s="2" t="s">
        <v>14918</v>
      </c>
      <c r="F410" s="7" t="s">
        <v>14919</v>
      </c>
    </row>
    <row r="411" hidden="1">
      <c r="B411" s="2">
        <v>2005.0</v>
      </c>
      <c r="C411" s="2" t="s">
        <v>3396</v>
      </c>
      <c r="D411" s="2" t="s">
        <v>14920</v>
      </c>
      <c r="E411" s="2" t="s">
        <v>14921</v>
      </c>
      <c r="F411" s="7" t="s">
        <v>14922</v>
      </c>
    </row>
    <row r="412">
      <c r="B412" s="2">
        <v>2023.0</v>
      </c>
      <c r="C412" s="2" t="s">
        <v>3396</v>
      </c>
      <c r="D412" s="2" t="s">
        <v>13756</v>
      </c>
      <c r="E412" s="2" t="s">
        <v>14923</v>
      </c>
      <c r="F412" s="7" t="s">
        <v>14924</v>
      </c>
    </row>
    <row r="413" hidden="1">
      <c r="B413" s="2">
        <v>2015.0</v>
      </c>
      <c r="C413" s="2" t="s">
        <v>3396</v>
      </c>
      <c r="D413" s="2" t="s">
        <v>14925</v>
      </c>
      <c r="E413" s="2" t="s">
        <v>14926</v>
      </c>
      <c r="F413" s="7" t="s">
        <v>14927</v>
      </c>
    </row>
    <row r="414" hidden="1">
      <c r="A414" s="2" t="s">
        <v>14928</v>
      </c>
      <c r="B414" s="2">
        <v>2001.0</v>
      </c>
      <c r="C414" s="2" t="s">
        <v>3396</v>
      </c>
      <c r="D414" s="2" t="s">
        <v>14217</v>
      </c>
      <c r="E414" s="2" t="s">
        <v>14929</v>
      </c>
      <c r="F414" s="7" t="s">
        <v>14930</v>
      </c>
    </row>
    <row r="415" hidden="1">
      <c r="B415" s="2">
        <v>2009.0</v>
      </c>
      <c r="C415" s="2" t="s">
        <v>3396</v>
      </c>
      <c r="D415" s="2" t="s">
        <v>14931</v>
      </c>
      <c r="E415" s="2" t="s">
        <v>14932</v>
      </c>
      <c r="F415" s="7" t="s">
        <v>14933</v>
      </c>
    </row>
    <row r="416">
      <c r="B416" s="2">
        <v>2011.0</v>
      </c>
      <c r="C416" s="2" t="s">
        <v>3396</v>
      </c>
      <c r="D416" s="2" t="s">
        <v>13756</v>
      </c>
      <c r="E416" s="2" t="s">
        <v>14934</v>
      </c>
      <c r="F416" s="7" t="s">
        <v>14935</v>
      </c>
    </row>
    <row r="417">
      <c r="B417" s="2">
        <v>2004.0</v>
      </c>
      <c r="C417" s="2" t="s">
        <v>3396</v>
      </c>
      <c r="D417" s="2" t="s">
        <v>13756</v>
      </c>
      <c r="E417" s="2" t="s">
        <v>14936</v>
      </c>
      <c r="F417" s="7" t="s">
        <v>14937</v>
      </c>
    </row>
    <row r="418" hidden="1">
      <c r="B418" s="2">
        <v>2016.0</v>
      </c>
      <c r="C418" s="2" t="s">
        <v>3396</v>
      </c>
      <c r="D418" s="2" t="s">
        <v>14938</v>
      </c>
      <c r="E418" s="2" t="s">
        <v>14939</v>
      </c>
      <c r="F418" s="7" t="s">
        <v>14940</v>
      </c>
    </row>
    <row r="419">
      <c r="B419" s="2">
        <v>2007.0</v>
      </c>
      <c r="C419" s="2" t="s">
        <v>3396</v>
      </c>
      <c r="D419" s="2" t="s">
        <v>13756</v>
      </c>
      <c r="E419" s="2" t="s">
        <v>14941</v>
      </c>
      <c r="F419" s="7" t="s">
        <v>14942</v>
      </c>
    </row>
    <row r="420" hidden="1">
      <c r="B420" s="2">
        <v>2017.0</v>
      </c>
      <c r="C420" s="2" t="s">
        <v>3396</v>
      </c>
      <c r="D420" s="2" t="s">
        <v>14943</v>
      </c>
      <c r="E420" s="2" t="s">
        <v>14944</v>
      </c>
      <c r="F420" s="7" t="s">
        <v>14945</v>
      </c>
    </row>
    <row r="421" hidden="1">
      <c r="B421" s="2">
        <v>2014.0</v>
      </c>
      <c r="C421" s="2" t="s">
        <v>3396</v>
      </c>
      <c r="D421" s="2" t="s">
        <v>14946</v>
      </c>
      <c r="E421" s="2" t="s">
        <v>14947</v>
      </c>
      <c r="F421" s="7" t="s">
        <v>14948</v>
      </c>
    </row>
    <row r="422">
      <c r="B422" s="2">
        <v>2015.0</v>
      </c>
      <c r="C422" s="2" t="s">
        <v>3396</v>
      </c>
      <c r="D422" s="2" t="s">
        <v>13756</v>
      </c>
      <c r="E422" s="2" t="s">
        <v>14949</v>
      </c>
      <c r="F422" s="7" t="s">
        <v>14950</v>
      </c>
    </row>
    <row r="423">
      <c r="B423" s="2">
        <v>2013.0</v>
      </c>
      <c r="C423" s="2" t="s">
        <v>3396</v>
      </c>
      <c r="D423" s="2" t="s">
        <v>13756</v>
      </c>
      <c r="E423" s="2" t="s">
        <v>14951</v>
      </c>
      <c r="F423" s="7" t="s">
        <v>14952</v>
      </c>
    </row>
    <row r="424">
      <c r="B424" s="2">
        <v>2018.0</v>
      </c>
      <c r="C424" s="2" t="s">
        <v>3396</v>
      </c>
      <c r="D424" s="2" t="s">
        <v>13756</v>
      </c>
      <c r="E424" s="2" t="s">
        <v>14953</v>
      </c>
      <c r="F424" s="7" t="s">
        <v>14954</v>
      </c>
    </row>
    <row r="425">
      <c r="B425" s="2">
        <v>2018.0</v>
      </c>
      <c r="C425" s="2" t="s">
        <v>3396</v>
      </c>
      <c r="D425" s="2" t="s">
        <v>13756</v>
      </c>
      <c r="E425" s="2" t="s">
        <v>14955</v>
      </c>
      <c r="F425" s="7" t="s">
        <v>14956</v>
      </c>
    </row>
    <row r="426" hidden="1">
      <c r="B426" s="2">
        <v>2011.0</v>
      </c>
      <c r="C426" s="2" t="s">
        <v>3396</v>
      </c>
      <c r="D426" s="2" t="s">
        <v>14957</v>
      </c>
      <c r="E426" s="2" t="s">
        <v>14958</v>
      </c>
      <c r="F426" s="7" t="s">
        <v>14959</v>
      </c>
    </row>
    <row r="427" hidden="1">
      <c r="A427" s="2" t="s">
        <v>14960</v>
      </c>
      <c r="B427" s="2">
        <v>2007.0</v>
      </c>
      <c r="C427" s="2" t="s">
        <v>3396</v>
      </c>
      <c r="D427" s="2" t="s">
        <v>14961</v>
      </c>
      <c r="E427" s="2" t="s">
        <v>14962</v>
      </c>
      <c r="F427" s="7" t="s">
        <v>14963</v>
      </c>
    </row>
    <row r="428" hidden="1">
      <c r="B428" s="2">
        <v>2014.0</v>
      </c>
      <c r="C428" s="2" t="s">
        <v>3396</v>
      </c>
      <c r="D428" s="2" t="s">
        <v>14964</v>
      </c>
      <c r="E428" s="2" t="s">
        <v>14965</v>
      </c>
      <c r="F428" s="7" t="s">
        <v>14966</v>
      </c>
    </row>
    <row r="429" hidden="1">
      <c r="B429" s="2">
        <v>2000.0</v>
      </c>
      <c r="C429" s="2" t="s">
        <v>3396</v>
      </c>
      <c r="D429" s="2" t="s">
        <v>14967</v>
      </c>
      <c r="E429" s="2" t="s">
        <v>14968</v>
      </c>
      <c r="F429" s="7" t="s">
        <v>14969</v>
      </c>
    </row>
    <row r="430" hidden="1">
      <c r="A430" s="2" t="s">
        <v>14970</v>
      </c>
      <c r="B430" s="2">
        <v>2006.0</v>
      </c>
      <c r="C430" s="2" t="s">
        <v>3396</v>
      </c>
      <c r="D430" s="2" t="s">
        <v>14971</v>
      </c>
      <c r="E430" s="2" t="s">
        <v>14972</v>
      </c>
      <c r="F430" s="7" t="s">
        <v>14973</v>
      </c>
    </row>
    <row r="431" hidden="1">
      <c r="A431" s="2" t="s">
        <v>14974</v>
      </c>
      <c r="B431" s="2">
        <v>1999.0</v>
      </c>
      <c r="C431" s="2" t="s">
        <v>3396</v>
      </c>
      <c r="D431" s="2" t="s">
        <v>14975</v>
      </c>
      <c r="E431" s="2" t="s">
        <v>14976</v>
      </c>
      <c r="F431" s="7" t="s">
        <v>14977</v>
      </c>
    </row>
    <row r="432">
      <c r="A432" s="2" t="s">
        <v>14978</v>
      </c>
      <c r="B432" s="2">
        <v>2008.0</v>
      </c>
      <c r="C432" s="2" t="s">
        <v>3396</v>
      </c>
      <c r="D432" s="2" t="s">
        <v>13756</v>
      </c>
      <c r="E432" s="2" t="s">
        <v>14979</v>
      </c>
      <c r="F432" s="7" t="s">
        <v>14980</v>
      </c>
    </row>
    <row r="433">
      <c r="B433" s="2">
        <v>2021.0</v>
      </c>
      <c r="C433" s="2" t="s">
        <v>3396</v>
      </c>
      <c r="D433" s="2" t="s">
        <v>13756</v>
      </c>
      <c r="E433" s="2" t="s">
        <v>14981</v>
      </c>
      <c r="F433" s="7" t="s">
        <v>14982</v>
      </c>
    </row>
    <row r="434" hidden="1">
      <c r="A434" s="2" t="s">
        <v>14983</v>
      </c>
      <c r="B434" s="2">
        <v>1999.0</v>
      </c>
      <c r="C434" s="2" t="s">
        <v>3396</v>
      </c>
      <c r="D434" s="2" t="s">
        <v>14378</v>
      </c>
      <c r="E434" s="2" t="s">
        <v>14984</v>
      </c>
      <c r="F434" s="7" t="s">
        <v>14985</v>
      </c>
    </row>
    <row r="435" hidden="1">
      <c r="B435" s="2">
        <v>1995.0</v>
      </c>
      <c r="C435" s="2" t="s">
        <v>3396</v>
      </c>
      <c r="D435" s="2" t="s">
        <v>14986</v>
      </c>
      <c r="E435" s="2" t="s">
        <v>14987</v>
      </c>
      <c r="F435" s="7" t="s">
        <v>14988</v>
      </c>
    </row>
    <row r="436" hidden="1">
      <c r="B436" s="2">
        <v>2012.0</v>
      </c>
      <c r="C436" s="2" t="s">
        <v>3396</v>
      </c>
      <c r="D436" s="2" t="s">
        <v>14989</v>
      </c>
      <c r="E436" s="2" t="s">
        <v>14990</v>
      </c>
      <c r="F436" s="7" t="s">
        <v>14991</v>
      </c>
    </row>
    <row r="437" hidden="1">
      <c r="B437" s="2">
        <v>2008.0</v>
      </c>
      <c r="C437" s="2" t="s">
        <v>3396</v>
      </c>
      <c r="D437" s="2" t="s">
        <v>14992</v>
      </c>
      <c r="E437" s="2" t="s">
        <v>14993</v>
      </c>
      <c r="F437" s="7" t="s">
        <v>14994</v>
      </c>
    </row>
    <row r="438" hidden="1">
      <c r="A438" s="2" t="s">
        <v>14995</v>
      </c>
      <c r="B438" s="2">
        <v>1998.0</v>
      </c>
      <c r="C438" s="2" t="s">
        <v>3396</v>
      </c>
      <c r="D438" s="2" t="s">
        <v>14996</v>
      </c>
      <c r="E438" s="2" t="s">
        <v>14997</v>
      </c>
      <c r="F438" s="7" t="s">
        <v>14998</v>
      </c>
    </row>
    <row r="439" hidden="1">
      <c r="B439" s="2">
        <v>2004.0</v>
      </c>
      <c r="C439" s="2" t="s">
        <v>3396</v>
      </c>
      <c r="D439" s="2" t="s">
        <v>14999</v>
      </c>
      <c r="E439" s="2" t="s">
        <v>15000</v>
      </c>
      <c r="F439" s="7" t="s">
        <v>15001</v>
      </c>
    </row>
    <row r="440" hidden="1">
      <c r="B440" s="2">
        <v>2011.0</v>
      </c>
      <c r="C440" s="2" t="s">
        <v>3396</v>
      </c>
      <c r="D440" s="2" t="s">
        <v>15002</v>
      </c>
      <c r="E440" s="2" t="s">
        <v>15003</v>
      </c>
      <c r="F440" s="7" t="s">
        <v>15004</v>
      </c>
    </row>
    <row r="441" hidden="1">
      <c r="A441" s="2" t="s">
        <v>15005</v>
      </c>
      <c r="B441" s="2">
        <v>2012.0</v>
      </c>
      <c r="C441" s="2" t="s">
        <v>3396</v>
      </c>
      <c r="D441" s="2" t="s">
        <v>15006</v>
      </c>
      <c r="E441" s="2" t="s">
        <v>15007</v>
      </c>
      <c r="F441" s="7" t="s">
        <v>15008</v>
      </c>
    </row>
    <row r="442" hidden="1">
      <c r="A442" s="2" t="s">
        <v>15009</v>
      </c>
      <c r="B442" s="2">
        <v>1988.0</v>
      </c>
      <c r="C442" s="2" t="s">
        <v>3396</v>
      </c>
      <c r="D442" s="2" t="s">
        <v>15010</v>
      </c>
      <c r="E442" s="2" t="s">
        <v>15011</v>
      </c>
      <c r="F442" s="7" t="s">
        <v>15012</v>
      </c>
    </row>
    <row r="443" hidden="1">
      <c r="B443" s="2">
        <v>2018.0</v>
      </c>
      <c r="C443" s="2" t="s">
        <v>3396</v>
      </c>
      <c r="D443" s="2" t="s">
        <v>15013</v>
      </c>
      <c r="E443" s="2" t="s">
        <v>15014</v>
      </c>
      <c r="F443" s="7" t="s">
        <v>15015</v>
      </c>
    </row>
    <row r="444" hidden="1">
      <c r="B444" s="2">
        <v>1998.0</v>
      </c>
      <c r="C444" s="2" t="s">
        <v>3396</v>
      </c>
      <c r="D444" s="2" t="s">
        <v>15016</v>
      </c>
      <c r="E444" s="2" t="s">
        <v>15017</v>
      </c>
      <c r="F444" s="7" t="s">
        <v>15018</v>
      </c>
    </row>
    <row r="445" hidden="1">
      <c r="B445" s="2">
        <v>2010.0</v>
      </c>
      <c r="C445" s="2" t="s">
        <v>3396</v>
      </c>
      <c r="D445" s="2" t="s">
        <v>15019</v>
      </c>
      <c r="E445" s="2" t="s">
        <v>15020</v>
      </c>
      <c r="F445" s="7" t="s">
        <v>15021</v>
      </c>
    </row>
    <row r="446">
      <c r="B446" s="2">
        <v>2012.0</v>
      </c>
      <c r="C446" s="2" t="s">
        <v>3396</v>
      </c>
      <c r="D446" s="2" t="s">
        <v>13756</v>
      </c>
      <c r="E446" s="2" t="s">
        <v>15022</v>
      </c>
      <c r="F446" s="7" t="s">
        <v>15023</v>
      </c>
    </row>
    <row r="447">
      <c r="B447" s="2">
        <v>2014.0</v>
      </c>
      <c r="C447" s="2" t="s">
        <v>3396</v>
      </c>
      <c r="D447" s="2" t="s">
        <v>13756</v>
      </c>
      <c r="E447" s="2" t="s">
        <v>15024</v>
      </c>
      <c r="F447" s="7" t="s">
        <v>15025</v>
      </c>
    </row>
    <row r="448">
      <c r="B448" s="2">
        <v>2021.0</v>
      </c>
      <c r="C448" s="2" t="s">
        <v>3396</v>
      </c>
      <c r="D448" s="2" t="s">
        <v>13756</v>
      </c>
      <c r="E448" s="2" t="s">
        <v>15026</v>
      </c>
      <c r="F448" s="7" t="s">
        <v>15027</v>
      </c>
    </row>
    <row r="449" hidden="1">
      <c r="B449" s="2">
        <v>2012.0</v>
      </c>
      <c r="C449" s="2" t="s">
        <v>3396</v>
      </c>
      <c r="D449" s="2" t="s">
        <v>15028</v>
      </c>
      <c r="E449" s="2" t="s">
        <v>15029</v>
      </c>
      <c r="F449" s="7" t="s">
        <v>15030</v>
      </c>
    </row>
    <row r="450">
      <c r="B450" s="2">
        <v>2019.0</v>
      </c>
      <c r="C450" s="2" t="s">
        <v>3396</v>
      </c>
      <c r="D450" s="2" t="s">
        <v>13756</v>
      </c>
      <c r="E450" s="2" t="s">
        <v>15031</v>
      </c>
      <c r="F450" s="7" t="s">
        <v>15032</v>
      </c>
    </row>
    <row r="451">
      <c r="B451" s="2">
        <v>2006.0</v>
      </c>
      <c r="C451" s="2" t="s">
        <v>3396</v>
      </c>
      <c r="D451" s="2" t="s">
        <v>13756</v>
      </c>
      <c r="E451" s="2" t="s">
        <v>15033</v>
      </c>
      <c r="F451" s="7" t="s">
        <v>15034</v>
      </c>
    </row>
    <row r="452" hidden="1">
      <c r="B452" s="2">
        <v>2012.0</v>
      </c>
      <c r="C452" s="2" t="s">
        <v>3396</v>
      </c>
      <c r="D452" s="2" t="s">
        <v>14003</v>
      </c>
      <c r="E452" s="2" t="s">
        <v>15035</v>
      </c>
      <c r="F452" s="7" t="s">
        <v>15036</v>
      </c>
    </row>
    <row r="453">
      <c r="B453" s="2">
        <v>2016.0</v>
      </c>
      <c r="C453" s="2" t="s">
        <v>3396</v>
      </c>
      <c r="D453" s="2" t="s">
        <v>13756</v>
      </c>
      <c r="E453" s="2" t="s">
        <v>15037</v>
      </c>
      <c r="F453" s="7" t="s">
        <v>15038</v>
      </c>
    </row>
    <row r="454" hidden="1">
      <c r="B454" s="2">
        <v>2015.0</v>
      </c>
      <c r="C454" s="2" t="s">
        <v>3396</v>
      </c>
      <c r="D454" s="2" t="s">
        <v>15039</v>
      </c>
      <c r="E454" s="2" t="s">
        <v>15040</v>
      </c>
      <c r="F454" s="7" t="s">
        <v>15041</v>
      </c>
    </row>
    <row r="455">
      <c r="B455" s="2">
        <v>2020.0</v>
      </c>
      <c r="C455" s="2" t="s">
        <v>3396</v>
      </c>
      <c r="D455" s="2" t="s">
        <v>13756</v>
      </c>
      <c r="E455" s="2" t="s">
        <v>15042</v>
      </c>
      <c r="F455" s="7" t="s">
        <v>15043</v>
      </c>
    </row>
    <row r="456">
      <c r="B456" s="2">
        <v>2018.0</v>
      </c>
      <c r="C456" s="2" t="s">
        <v>3396</v>
      </c>
      <c r="D456" s="2" t="s">
        <v>13756</v>
      </c>
      <c r="E456" s="2" t="s">
        <v>15044</v>
      </c>
      <c r="F456" s="7" t="s">
        <v>15045</v>
      </c>
    </row>
    <row r="457">
      <c r="B457" s="2">
        <v>2020.0</v>
      </c>
      <c r="C457" s="2" t="s">
        <v>3396</v>
      </c>
      <c r="D457" s="2" t="s">
        <v>13756</v>
      </c>
      <c r="E457" s="2" t="s">
        <v>15046</v>
      </c>
      <c r="F457" s="7" t="s">
        <v>15047</v>
      </c>
    </row>
    <row r="458">
      <c r="B458" s="2">
        <v>2024.0</v>
      </c>
      <c r="C458" s="2" t="s">
        <v>3396</v>
      </c>
      <c r="D458" s="2" t="s">
        <v>13756</v>
      </c>
      <c r="E458" s="2" t="s">
        <v>15048</v>
      </c>
      <c r="F458" s="7" t="s">
        <v>15049</v>
      </c>
    </row>
    <row r="459">
      <c r="B459" s="2">
        <v>2023.0</v>
      </c>
      <c r="C459" s="2" t="s">
        <v>3396</v>
      </c>
      <c r="D459" s="2" t="s">
        <v>13756</v>
      </c>
      <c r="E459" s="2" t="s">
        <v>15050</v>
      </c>
      <c r="F459" s="7" t="s">
        <v>15051</v>
      </c>
    </row>
    <row r="460" hidden="1">
      <c r="B460" s="2">
        <v>2010.0</v>
      </c>
      <c r="C460" s="2" t="s">
        <v>3396</v>
      </c>
      <c r="D460" s="2" t="s">
        <v>15052</v>
      </c>
      <c r="E460" s="2" t="s">
        <v>15053</v>
      </c>
      <c r="F460" s="7" t="s">
        <v>15054</v>
      </c>
    </row>
    <row r="461" hidden="1">
      <c r="A461" s="2" t="s">
        <v>15055</v>
      </c>
      <c r="B461" s="2">
        <v>2006.0</v>
      </c>
      <c r="C461" s="2" t="s">
        <v>3396</v>
      </c>
      <c r="D461" s="2" t="s">
        <v>15056</v>
      </c>
      <c r="E461" s="2" t="s">
        <v>15057</v>
      </c>
      <c r="F461" s="7" t="s">
        <v>15058</v>
      </c>
    </row>
    <row r="462" hidden="1">
      <c r="B462" s="2">
        <v>2015.0</v>
      </c>
      <c r="C462" s="2" t="s">
        <v>3396</v>
      </c>
      <c r="D462" s="2" t="s">
        <v>15059</v>
      </c>
      <c r="E462" s="2" t="s">
        <v>15060</v>
      </c>
      <c r="F462" s="7" t="s">
        <v>15061</v>
      </c>
    </row>
    <row r="463">
      <c r="B463" s="2">
        <v>2017.0</v>
      </c>
      <c r="C463" s="2" t="s">
        <v>3396</v>
      </c>
      <c r="D463" s="2" t="s">
        <v>13756</v>
      </c>
      <c r="E463" s="2" t="s">
        <v>15062</v>
      </c>
      <c r="F463" s="7" t="s">
        <v>15063</v>
      </c>
    </row>
    <row r="464">
      <c r="B464" s="2">
        <v>2016.0</v>
      </c>
      <c r="C464" s="2" t="s">
        <v>3396</v>
      </c>
      <c r="D464" s="2" t="s">
        <v>13756</v>
      </c>
      <c r="E464" s="2" t="s">
        <v>15064</v>
      </c>
      <c r="F464" s="7" t="s">
        <v>15065</v>
      </c>
    </row>
    <row r="465" hidden="1">
      <c r="B465" s="2">
        <v>2006.0</v>
      </c>
      <c r="C465" s="2" t="s">
        <v>3396</v>
      </c>
      <c r="D465" s="2" t="s">
        <v>15066</v>
      </c>
      <c r="E465" s="2" t="s">
        <v>15067</v>
      </c>
      <c r="F465" s="7" t="s">
        <v>15068</v>
      </c>
    </row>
    <row r="466">
      <c r="B466" s="2">
        <v>2021.0</v>
      </c>
      <c r="C466" s="2" t="s">
        <v>3396</v>
      </c>
      <c r="D466" s="2" t="s">
        <v>13756</v>
      </c>
      <c r="E466" s="2" t="s">
        <v>15069</v>
      </c>
      <c r="F466" s="7" t="s">
        <v>15070</v>
      </c>
    </row>
    <row r="467" hidden="1">
      <c r="B467" s="2">
        <v>2009.0</v>
      </c>
      <c r="C467" s="2" t="s">
        <v>3396</v>
      </c>
      <c r="D467" s="2" t="s">
        <v>15071</v>
      </c>
      <c r="E467" s="2" t="s">
        <v>15072</v>
      </c>
      <c r="F467" s="7" t="s">
        <v>15073</v>
      </c>
    </row>
    <row r="468">
      <c r="B468" s="2">
        <v>2024.0</v>
      </c>
      <c r="C468" s="2" t="s">
        <v>3396</v>
      </c>
      <c r="D468" s="2" t="s">
        <v>13756</v>
      </c>
      <c r="E468" s="2" t="s">
        <v>15074</v>
      </c>
      <c r="F468" s="7" t="s">
        <v>15075</v>
      </c>
    </row>
    <row r="469" hidden="1">
      <c r="A469" s="2" t="s">
        <v>15076</v>
      </c>
      <c r="B469" s="2">
        <v>1998.0</v>
      </c>
      <c r="C469" s="2" t="s">
        <v>3396</v>
      </c>
      <c r="D469" s="2" t="s">
        <v>15077</v>
      </c>
      <c r="E469" s="2" t="s">
        <v>15078</v>
      </c>
      <c r="F469" s="7" t="s">
        <v>15079</v>
      </c>
    </row>
    <row r="470">
      <c r="B470" s="2">
        <v>2023.0</v>
      </c>
      <c r="C470" s="2" t="s">
        <v>3396</v>
      </c>
      <c r="D470" s="2" t="s">
        <v>13756</v>
      </c>
      <c r="E470" s="2" t="s">
        <v>15080</v>
      </c>
      <c r="F470" s="7" t="s">
        <v>15081</v>
      </c>
    </row>
    <row r="471" hidden="1">
      <c r="B471" s="2">
        <v>1998.0</v>
      </c>
      <c r="C471" s="2" t="s">
        <v>3396</v>
      </c>
      <c r="D471" s="2" t="s">
        <v>15082</v>
      </c>
      <c r="E471" s="2" t="s">
        <v>15083</v>
      </c>
      <c r="F471" s="7" t="s">
        <v>15084</v>
      </c>
    </row>
    <row r="472">
      <c r="B472" s="2">
        <v>2012.0</v>
      </c>
      <c r="C472" s="2" t="s">
        <v>3396</v>
      </c>
      <c r="D472" s="2" t="s">
        <v>13756</v>
      </c>
      <c r="E472" s="2" t="s">
        <v>15085</v>
      </c>
      <c r="F472" s="7" t="s">
        <v>15086</v>
      </c>
    </row>
    <row r="473" hidden="1">
      <c r="B473" s="2">
        <v>1997.0</v>
      </c>
      <c r="C473" s="2" t="s">
        <v>3396</v>
      </c>
      <c r="D473" s="2" t="s">
        <v>15087</v>
      </c>
      <c r="E473" s="2" t="s">
        <v>15088</v>
      </c>
      <c r="F473" s="7" t="s">
        <v>15089</v>
      </c>
    </row>
    <row r="474" hidden="1">
      <c r="B474" s="2">
        <v>2016.0</v>
      </c>
      <c r="C474" s="2" t="s">
        <v>3396</v>
      </c>
      <c r="D474" s="2" t="s">
        <v>15090</v>
      </c>
      <c r="E474" s="2" t="s">
        <v>15091</v>
      </c>
      <c r="F474" s="7" t="s">
        <v>15092</v>
      </c>
    </row>
    <row r="475">
      <c r="B475" s="2">
        <v>2011.0</v>
      </c>
      <c r="C475" s="2" t="s">
        <v>3396</v>
      </c>
      <c r="D475" s="2" t="s">
        <v>13756</v>
      </c>
      <c r="E475" s="2" t="s">
        <v>15093</v>
      </c>
      <c r="F475" s="7" t="s">
        <v>15094</v>
      </c>
    </row>
    <row r="476">
      <c r="B476" s="2">
        <v>2016.0</v>
      </c>
      <c r="C476" s="2" t="s">
        <v>3396</v>
      </c>
      <c r="D476" s="2" t="s">
        <v>13756</v>
      </c>
      <c r="E476" s="2" t="s">
        <v>15095</v>
      </c>
      <c r="F476" s="7" t="s">
        <v>15096</v>
      </c>
    </row>
    <row r="477" hidden="1">
      <c r="B477" s="2">
        <v>1985.0</v>
      </c>
      <c r="C477" s="2" t="s">
        <v>3396</v>
      </c>
      <c r="D477" s="2" t="s">
        <v>15097</v>
      </c>
      <c r="E477" s="2" t="s">
        <v>15098</v>
      </c>
      <c r="F477" s="7" t="s">
        <v>15099</v>
      </c>
    </row>
    <row r="478">
      <c r="B478" s="2">
        <v>2020.0</v>
      </c>
      <c r="C478" s="2" t="s">
        <v>3396</v>
      </c>
      <c r="D478" s="2" t="s">
        <v>13756</v>
      </c>
      <c r="E478" s="2" t="s">
        <v>15100</v>
      </c>
      <c r="F478" s="7" t="s">
        <v>15101</v>
      </c>
    </row>
    <row r="479">
      <c r="B479" s="2">
        <v>2019.0</v>
      </c>
      <c r="C479" s="2" t="s">
        <v>3396</v>
      </c>
      <c r="D479" s="2" t="s">
        <v>13756</v>
      </c>
      <c r="E479" s="2" t="s">
        <v>15102</v>
      </c>
      <c r="F479" s="7" t="s">
        <v>15103</v>
      </c>
    </row>
    <row r="480" hidden="1">
      <c r="B480" s="2">
        <v>1999.0</v>
      </c>
      <c r="C480" s="2" t="s">
        <v>3396</v>
      </c>
      <c r="D480" s="2" t="s">
        <v>15104</v>
      </c>
      <c r="E480" s="2" t="s">
        <v>15105</v>
      </c>
      <c r="F480" s="7" t="s">
        <v>15106</v>
      </c>
    </row>
    <row r="481" hidden="1">
      <c r="B481" s="2">
        <v>1997.0</v>
      </c>
      <c r="C481" s="2" t="s">
        <v>3396</v>
      </c>
      <c r="D481" s="2" t="s">
        <v>15107</v>
      </c>
      <c r="E481" s="2" t="s">
        <v>15108</v>
      </c>
      <c r="F481" s="7" t="s">
        <v>15109</v>
      </c>
    </row>
    <row r="482" hidden="1">
      <c r="B482" s="2">
        <v>2008.0</v>
      </c>
      <c r="C482" s="2" t="s">
        <v>3396</v>
      </c>
      <c r="D482" s="2" t="s">
        <v>15110</v>
      </c>
      <c r="E482" s="2" t="s">
        <v>15111</v>
      </c>
      <c r="F482" s="7" t="s">
        <v>15112</v>
      </c>
    </row>
    <row r="483">
      <c r="A483" s="2" t="s">
        <v>15113</v>
      </c>
      <c r="B483" s="2">
        <v>2016.0</v>
      </c>
      <c r="C483" s="2" t="s">
        <v>3396</v>
      </c>
      <c r="D483" s="2" t="s">
        <v>13756</v>
      </c>
      <c r="E483" s="2" t="s">
        <v>15114</v>
      </c>
      <c r="F483" s="7" t="s">
        <v>15115</v>
      </c>
    </row>
    <row r="484">
      <c r="B484" s="2">
        <v>2019.0</v>
      </c>
      <c r="C484" s="2" t="s">
        <v>3396</v>
      </c>
      <c r="D484" s="2" t="s">
        <v>13756</v>
      </c>
      <c r="E484" s="2" t="s">
        <v>15116</v>
      </c>
      <c r="F484" s="7" t="s">
        <v>15117</v>
      </c>
    </row>
    <row r="485">
      <c r="B485" s="2">
        <v>2017.0</v>
      </c>
      <c r="C485" s="2" t="s">
        <v>3396</v>
      </c>
      <c r="D485" s="2" t="s">
        <v>13756</v>
      </c>
      <c r="E485" s="2" t="s">
        <v>15118</v>
      </c>
      <c r="F485" s="7" t="s">
        <v>15119</v>
      </c>
    </row>
    <row r="486" hidden="1">
      <c r="B486" s="2">
        <v>2004.0</v>
      </c>
      <c r="C486" s="2" t="s">
        <v>3396</v>
      </c>
      <c r="D486" s="2" t="s">
        <v>15120</v>
      </c>
      <c r="E486" s="2" t="s">
        <v>15121</v>
      </c>
      <c r="F486" s="7" t="s">
        <v>15122</v>
      </c>
    </row>
    <row r="487">
      <c r="B487" s="2">
        <v>2021.0</v>
      </c>
      <c r="C487" s="2" t="s">
        <v>3396</v>
      </c>
      <c r="D487" s="2" t="s">
        <v>13756</v>
      </c>
      <c r="E487" s="2" t="s">
        <v>15123</v>
      </c>
      <c r="F487" s="7" t="s">
        <v>15124</v>
      </c>
    </row>
    <row r="488">
      <c r="B488" s="2">
        <v>2017.0</v>
      </c>
      <c r="C488" s="2" t="s">
        <v>3396</v>
      </c>
      <c r="D488" s="2" t="s">
        <v>13756</v>
      </c>
      <c r="E488" s="2" t="s">
        <v>15125</v>
      </c>
      <c r="F488" s="7" t="s">
        <v>15126</v>
      </c>
    </row>
    <row r="489" hidden="1">
      <c r="B489" s="2">
        <v>2007.0</v>
      </c>
      <c r="C489" s="2" t="s">
        <v>3396</v>
      </c>
      <c r="D489" s="2" t="s">
        <v>15127</v>
      </c>
      <c r="E489" s="2" t="s">
        <v>15128</v>
      </c>
      <c r="F489" s="7" t="s">
        <v>15129</v>
      </c>
    </row>
    <row r="490">
      <c r="B490" s="2">
        <v>2010.0</v>
      </c>
      <c r="C490" s="2" t="s">
        <v>3396</v>
      </c>
      <c r="D490" s="2" t="s">
        <v>13756</v>
      </c>
      <c r="E490" s="2" t="s">
        <v>15130</v>
      </c>
      <c r="F490" s="7" t="s">
        <v>15131</v>
      </c>
    </row>
    <row r="491">
      <c r="B491" s="2">
        <v>2022.0</v>
      </c>
      <c r="C491" s="2" t="s">
        <v>3396</v>
      </c>
      <c r="D491" s="2" t="s">
        <v>13756</v>
      </c>
      <c r="E491" s="2" t="s">
        <v>15132</v>
      </c>
      <c r="F491" s="7" t="s">
        <v>15133</v>
      </c>
    </row>
    <row r="492" hidden="1">
      <c r="B492" s="2">
        <v>2013.0</v>
      </c>
      <c r="C492" s="2" t="s">
        <v>3396</v>
      </c>
      <c r="D492" s="2" t="s">
        <v>13978</v>
      </c>
      <c r="E492" s="2" t="s">
        <v>15134</v>
      </c>
      <c r="F492" s="7" t="s">
        <v>15135</v>
      </c>
    </row>
    <row r="493" hidden="1">
      <c r="B493" s="2">
        <v>2007.0</v>
      </c>
      <c r="C493" s="2" t="s">
        <v>3396</v>
      </c>
      <c r="D493" s="2" t="s">
        <v>15136</v>
      </c>
      <c r="E493" s="2" t="s">
        <v>15137</v>
      </c>
      <c r="F493" s="7" t="s">
        <v>15138</v>
      </c>
    </row>
    <row r="494" hidden="1">
      <c r="B494" s="2">
        <v>2011.0</v>
      </c>
      <c r="C494" s="2" t="s">
        <v>3396</v>
      </c>
      <c r="D494" s="2" t="s">
        <v>15139</v>
      </c>
      <c r="E494" s="2" t="s">
        <v>15140</v>
      </c>
      <c r="F494" s="7" t="s">
        <v>15141</v>
      </c>
    </row>
    <row r="495" hidden="1">
      <c r="B495" s="2">
        <v>2017.0</v>
      </c>
      <c r="C495" s="2" t="s">
        <v>3396</v>
      </c>
      <c r="D495" s="2" t="s">
        <v>15142</v>
      </c>
      <c r="E495" s="2" t="s">
        <v>15143</v>
      </c>
      <c r="F495" s="7" t="s">
        <v>15144</v>
      </c>
    </row>
    <row r="496" hidden="1">
      <c r="B496" s="2">
        <v>2012.0</v>
      </c>
      <c r="C496" s="2" t="s">
        <v>3396</v>
      </c>
      <c r="D496" s="2" t="s">
        <v>14669</v>
      </c>
      <c r="E496" s="2" t="s">
        <v>15145</v>
      </c>
      <c r="F496" s="7" t="s">
        <v>15146</v>
      </c>
    </row>
    <row r="497" hidden="1">
      <c r="B497" s="2">
        <v>1997.0</v>
      </c>
      <c r="C497" s="2" t="s">
        <v>3396</v>
      </c>
      <c r="D497" s="2" t="s">
        <v>15147</v>
      </c>
      <c r="E497" s="2" t="s">
        <v>15148</v>
      </c>
      <c r="F497" s="7" t="s">
        <v>15149</v>
      </c>
    </row>
    <row r="498" hidden="1">
      <c r="B498" s="2">
        <v>2010.0</v>
      </c>
      <c r="C498" s="2" t="s">
        <v>3396</v>
      </c>
      <c r="D498" s="2" t="s">
        <v>15150</v>
      </c>
      <c r="E498" s="2" t="s">
        <v>15151</v>
      </c>
      <c r="F498" s="7" t="s">
        <v>15152</v>
      </c>
    </row>
    <row r="499">
      <c r="B499" s="2">
        <v>2021.0</v>
      </c>
      <c r="C499" s="2" t="s">
        <v>3396</v>
      </c>
      <c r="D499" s="2" t="s">
        <v>13756</v>
      </c>
      <c r="E499" s="2" t="s">
        <v>15153</v>
      </c>
      <c r="F499" s="7" t="s">
        <v>15154</v>
      </c>
    </row>
    <row r="500" hidden="1">
      <c r="B500" s="2">
        <v>2003.0</v>
      </c>
      <c r="C500" s="2" t="s">
        <v>3396</v>
      </c>
      <c r="D500" s="2" t="s">
        <v>15155</v>
      </c>
      <c r="E500" s="2" t="s">
        <v>15156</v>
      </c>
      <c r="F500" s="7" t="s">
        <v>15157</v>
      </c>
      <c r="G500" s="7" t="s">
        <v>15158</v>
      </c>
      <c r="H500" s="2" t="s">
        <v>13763</v>
      </c>
      <c r="I500" s="2" t="s">
        <v>15156</v>
      </c>
    </row>
    <row r="501" hidden="1">
      <c r="A501" s="2" t="s">
        <v>15159</v>
      </c>
      <c r="B501" s="2">
        <v>1991.0</v>
      </c>
      <c r="C501" s="2" t="s">
        <v>3396</v>
      </c>
      <c r="D501" s="2" t="s">
        <v>15160</v>
      </c>
      <c r="E501" s="2" t="s">
        <v>15161</v>
      </c>
      <c r="F501" s="7" t="s">
        <v>15162</v>
      </c>
      <c r="G501" s="2" t="s">
        <v>647</v>
      </c>
      <c r="H501" s="2" t="s">
        <v>13763</v>
      </c>
      <c r="I501" s="2" t="s">
        <v>15161</v>
      </c>
    </row>
    <row r="502">
      <c r="B502" s="2">
        <v>2000.0</v>
      </c>
      <c r="C502" s="2" t="s">
        <v>3396</v>
      </c>
      <c r="D502" s="2" t="s">
        <v>13756</v>
      </c>
      <c r="E502" s="2" t="s">
        <v>15163</v>
      </c>
      <c r="F502" s="7" t="s">
        <v>15164</v>
      </c>
      <c r="G502" s="7" t="s">
        <v>15165</v>
      </c>
      <c r="H502" s="2" t="s">
        <v>13775</v>
      </c>
      <c r="I502" s="2" t="s">
        <v>15163</v>
      </c>
    </row>
    <row r="503">
      <c r="B503" s="2">
        <v>2021.0</v>
      </c>
      <c r="C503" s="2" t="s">
        <v>3396</v>
      </c>
      <c r="D503" s="2" t="s">
        <v>13756</v>
      </c>
      <c r="E503" s="2" t="s">
        <v>15166</v>
      </c>
      <c r="F503" s="7" t="s">
        <v>15167</v>
      </c>
      <c r="G503" s="7" t="s">
        <v>15168</v>
      </c>
      <c r="H503" s="2" t="s">
        <v>13811</v>
      </c>
      <c r="I503" s="2" t="s">
        <v>15166</v>
      </c>
    </row>
    <row r="504" hidden="1">
      <c r="B504" s="2">
        <v>1999.0</v>
      </c>
      <c r="C504" s="2" t="s">
        <v>3396</v>
      </c>
      <c r="D504" s="2" t="s">
        <v>15169</v>
      </c>
      <c r="E504" s="2" t="s">
        <v>15170</v>
      </c>
      <c r="F504" s="7" t="s">
        <v>15171</v>
      </c>
      <c r="G504" s="2" t="s">
        <v>647</v>
      </c>
      <c r="H504" s="2" t="s">
        <v>13775</v>
      </c>
      <c r="I504" s="2" t="s">
        <v>15170</v>
      </c>
    </row>
    <row r="505">
      <c r="B505" s="2">
        <v>2008.0</v>
      </c>
      <c r="C505" s="2" t="s">
        <v>3396</v>
      </c>
      <c r="D505" s="2" t="s">
        <v>13756</v>
      </c>
      <c r="E505" s="2" t="s">
        <v>15172</v>
      </c>
      <c r="F505" s="7" t="s">
        <v>15173</v>
      </c>
      <c r="G505" s="7" t="s">
        <v>15174</v>
      </c>
      <c r="H505" s="2" t="s">
        <v>13763</v>
      </c>
      <c r="I505" s="2" t="s">
        <v>15172</v>
      </c>
    </row>
    <row r="506">
      <c r="B506" s="2">
        <v>2021.0</v>
      </c>
      <c r="C506" s="2" t="s">
        <v>3396</v>
      </c>
      <c r="D506" s="2" t="s">
        <v>13756</v>
      </c>
      <c r="E506" s="2" t="s">
        <v>15175</v>
      </c>
      <c r="F506" s="7" t="s">
        <v>15176</v>
      </c>
      <c r="G506" s="7" t="s">
        <v>15177</v>
      </c>
      <c r="H506" s="2" t="s">
        <v>13775</v>
      </c>
      <c r="I506" s="2" t="s">
        <v>15175</v>
      </c>
    </row>
    <row r="507" hidden="1">
      <c r="B507" s="2">
        <v>2004.0</v>
      </c>
      <c r="C507" s="2" t="s">
        <v>3396</v>
      </c>
      <c r="D507" s="2" t="s">
        <v>15178</v>
      </c>
      <c r="E507" s="2" t="s">
        <v>15179</v>
      </c>
      <c r="F507" s="7" t="s">
        <v>15180</v>
      </c>
      <c r="G507" s="2" t="s">
        <v>647</v>
      </c>
      <c r="H507" s="2" t="s">
        <v>13763</v>
      </c>
      <c r="I507" s="2" t="s">
        <v>15179</v>
      </c>
    </row>
    <row r="508" hidden="1">
      <c r="B508" s="2">
        <v>2012.0</v>
      </c>
      <c r="C508" s="2" t="s">
        <v>3396</v>
      </c>
      <c r="D508" s="2" t="s">
        <v>15181</v>
      </c>
      <c r="E508" s="2" t="s">
        <v>15182</v>
      </c>
      <c r="F508" s="7" t="s">
        <v>15183</v>
      </c>
      <c r="G508" s="2" t="s">
        <v>647</v>
      </c>
      <c r="H508" s="2" t="s">
        <v>13763</v>
      </c>
      <c r="I508" s="2" t="s">
        <v>15182</v>
      </c>
    </row>
    <row r="509" hidden="1">
      <c r="B509" s="2">
        <v>2011.0</v>
      </c>
      <c r="C509" s="2" t="s">
        <v>3396</v>
      </c>
      <c r="D509" s="2" t="s">
        <v>14267</v>
      </c>
      <c r="E509" s="2" t="s">
        <v>15184</v>
      </c>
      <c r="F509" s="7" t="s">
        <v>15185</v>
      </c>
      <c r="G509" s="7" t="s">
        <v>15186</v>
      </c>
      <c r="H509" s="2" t="s">
        <v>13763</v>
      </c>
      <c r="I509" s="2" t="s">
        <v>15184</v>
      </c>
    </row>
    <row r="510">
      <c r="A510" s="2" t="s">
        <v>15187</v>
      </c>
      <c r="B510" s="2">
        <v>2019.0</v>
      </c>
      <c r="C510" s="2" t="s">
        <v>3396</v>
      </c>
      <c r="D510" s="2" t="s">
        <v>13756</v>
      </c>
      <c r="E510" s="2" t="s">
        <v>15188</v>
      </c>
      <c r="F510" s="7" t="s">
        <v>15189</v>
      </c>
      <c r="G510" s="2" t="s">
        <v>647</v>
      </c>
      <c r="H510" s="2" t="s">
        <v>13775</v>
      </c>
      <c r="I510" s="2" t="s">
        <v>15188</v>
      </c>
    </row>
    <row r="511">
      <c r="B511" s="2">
        <v>2021.0</v>
      </c>
      <c r="C511" s="2" t="s">
        <v>3396</v>
      </c>
      <c r="D511" s="2" t="s">
        <v>13756</v>
      </c>
      <c r="E511" s="2" t="s">
        <v>15190</v>
      </c>
      <c r="F511" s="7" t="s">
        <v>15191</v>
      </c>
      <c r="G511" s="7" t="s">
        <v>15192</v>
      </c>
      <c r="H511" s="2" t="s">
        <v>13775</v>
      </c>
      <c r="I511" s="2" t="s">
        <v>15190</v>
      </c>
    </row>
    <row r="512" hidden="1">
      <c r="B512" s="2">
        <v>2012.0</v>
      </c>
      <c r="C512" s="2" t="s">
        <v>3396</v>
      </c>
      <c r="D512" s="2" t="s">
        <v>15193</v>
      </c>
      <c r="E512" s="2" t="s">
        <v>15194</v>
      </c>
      <c r="F512" s="7" t="s">
        <v>15195</v>
      </c>
      <c r="G512" s="2" t="s">
        <v>647</v>
      </c>
      <c r="H512" s="2" t="s">
        <v>13763</v>
      </c>
      <c r="I512" s="2" t="s">
        <v>15194</v>
      </c>
    </row>
    <row r="513" hidden="1">
      <c r="B513" s="2">
        <v>2015.0</v>
      </c>
      <c r="C513" s="2" t="s">
        <v>3396</v>
      </c>
      <c r="D513" s="2" t="s">
        <v>15196</v>
      </c>
      <c r="E513" s="2" t="s">
        <v>15197</v>
      </c>
      <c r="F513" s="7" t="s">
        <v>15198</v>
      </c>
      <c r="G513" s="7" t="s">
        <v>15199</v>
      </c>
      <c r="H513" s="2" t="s">
        <v>13763</v>
      </c>
      <c r="I513" s="2" t="s">
        <v>15197</v>
      </c>
    </row>
    <row r="514">
      <c r="B514" s="2">
        <v>2018.0</v>
      </c>
      <c r="C514" s="2" t="s">
        <v>3396</v>
      </c>
      <c r="D514" s="2" t="s">
        <v>13756</v>
      </c>
      <c r="E514" s="2" t="s">
        <v>15200</v>
      </c>
      <c r="F514" s="7" t="s">
        <v>15201</v>
      </c>
      <c r="G514" s="7" t="s">
        <v>15202</v>
      </c>
      <c r="H514" s="2" t="s">
        <v>13811</v>
      </c>
      <c r="I514" s="2" t="s">
        <v>15200</v>
      </c>
    </row>
    <row r="515" hidden="1">
      <c r="B515" s="2">
        <v>2005.0</v>
      </c>
      <c r="C515" s="2" t="s">
        <v>3396</v>
      </c>
      <c r="D515" s="2" t="s">
        <v>15203</v>
      </c>
      <c r="E515" s="2" t="s">
        <v>15204</v>
      </c>
      <c r="F515" s="7" t="s">
        <v>15205</v>
      </c>
      <c r="G515" s="7" t="s">
        <v>15206</v>
      </c>
      <c r="H515" s="2" t="s">
        <v>13763</v>
      </c>
      <c r="I515" s="2" t="s">
        <v>15204</v>
      </c>
    </row>
    <row r="516">
      <c r="B516" s="2">
        <v>2022.0</v>
      </c>
      <c r="C516" s="2" t="s">
        <v>3396</v>
      </c>
      <c r="D516" s="2" t="s">
        <v>13756</v>
      </c>
      <c r="E516" s="2" t="s">
        <v>15207</v>
      </c>
      <c r="F516" s="7" t="s">
        <v>15208</v>
      </c>
      <c r="G516" s="7" t="s">
        <v>15209</v>
      </c>
      <c r="H516" s="2" t="s">
        <v>13759</v>
      </c>
      <c r="I516" s="2" t="s">
        <v>15207</v>
      </c>
    </row>
    <row r="517" hidden="1">
      <c r="A517" s="2" t="s">
        <v>15210</v>
      </c>
      <c r="B517" s="2">
        <v>1999.0</v>
      </c>
      <c r="C517" s="2" t="s">
        <v>3396</v>
      </c>
      <c r="D517" s="2" t="s">
        <v>15211</v>
      </c>
      <c r="E517" s="2" t="s">
        <v>15212</v>
      </c>
      <c r="F517" s="7" t="s">
        <v>15213</v>
      </c>
      <c r="G517" s="2" t="s">
        <v>647</v>
      </c>
      <c r="H517" s="2" t="s">
        <v>13763</v>
      </c>
      <c r="I517" s="2" t="s">
        <v>15212</v>
      </c>
    </row>
    <row r="518" hidden="1">
      <c r="B518" s="2">
        <v>2014.0</v>
      </c>
      <c r="C518" s="2" t="s">
        <v>3396</v>
      </c>
      <c r="D518" s="2" t="s">
        <v>15214</v>
      </c>
      <c r="E518" s="2" t="s">
        <v>15215</v>
      </c>
      <c r="F518" s="7" t="s">
        <v>15216</v>
      </c>
      <c r="G518" s="2" t="s">
        <v>647</v>
      </c>
      <c r="H518" s="2" t="s">
        <v>13775</v>
      </c>
      <c r="I518" s="2" t="s">
        <v>15215</v>
      </c>
    </row>
    <row r="519" hidden="1">
      <c r="A519" s="2" t="s">
        <v>15217</v>
      </c>
      <c r="B519" s="2">
        <v>1991.0</v>
      </c>
      <c r="C519" s="2" t="s">
        <v>3396</v>
      </c>
      <c r="D519" s="2" t="s">
        <v>15218</v>
      </c>
      <c r="E519" s="2" t="s">
        <v>15219</v>
      </c>
      <c r="F519" s="7" t="s">
        <v>15220</v>
      </c>
      <c r="G519" s="2" t="s">
        <v>647</v>
      </c>
      <c r="H519" s="2" t="s">
        <v>13811</v>
      </c>
      <c r="I519" s="2" t="s">
        <v>15219</v>
      </c>
    </row>
    <row r="520" hidden="1">
      <c r="A520" s="2" t="s">
        <v>15221</v>
      </c>
      <c r="B520" s="2">
        <v>2005.0</v>
      </c>
      <c r="C520" s="2" t="s">
        <v>3396</v>
      </c>
      <c r="D520" s="2" t="s">
        <v>15222</v>
      </c>
      <c r="E520" s="2" t="s">
        <v>15223</v>
      </c>
      <c r="F520" s="7" t="s">
        <v>15224</v>
      </c>
      <c r="G520" s="2" t="s">
        <v>647</v>
      </c>
      <c r="H520" s="2" t="s">
        <v>13775</v>
      </c>
      <c r="I520" s="2" t="s">
        <v>15223</v>
      </c>
    </row>
    <row r="521">
      <c r="B521" s="2">
        <v>2015.0</v>
      </c>
      <c r="C521" s="2" t="s">
        <v>3396</v>
      </c>
      <c r="D521" s="2" t="s">
        <v>13756</v>
      </c>
      <c r="E521" s="2" t="s">
        <v>15225</v>
      </c>
      <c r="F521" s="7" t="s">
        <v>15226</v>
      </c>
      <c r="G521" s="7" t="s">
        <v>15227</v>
      </c>
      <c r="H521" s="2" t="s">
        <v>13763</v>
      </c>
      <c r="I521" s="2" t="s">
        <v>15225</v>
      </c>
    </row>
    <row r="522" hidden="1">
      <c r="B522" s="2">
        <v>2013.0</v>
      </c>
      <c r="C522" s="2" t="s">
        <v>3396</v>
      </c>
      <c r="D522" s="2" t="s">
        <v>15228</v>
      </c>
      <c r="E522" s="2" t="s">
        <v>15229</v>
      </c>
      <c r="F522" s="7" t="s">
        <v>15230</v>
      </c>
      <c r="G522" s="7" t="s">
        <v>15231</v>
      </c>
      <c r="H522" s="2" t="s">
        <v>13763</v>
      </c>
      <c r="I522" s="2" t="s">
        <v>15229</v>
      </c>
    </row>
    <row r="523" hidden="1">
      <c r="A523" s="2" t="s">
        <v>15232</v>
      </c>
      <c r="B523" s="2">
        <v>1999.0</v>
      </c>
      <c r="C523" s="2" t="s">
        <v>3396</v>
      </c>
      <c r="D523" s="2" t="s">
        <v>15233</v>
      </c>
      <c r="E523" s="2" t="s">
        <v>15234</v>
      </c>
      <c r="F523" s="7" t="s">
        <v>15235</v>
      </c>
      <c r="G523" s="2" t="s">
        <v>647</v>
      </c>
      <c r="H523" s="2" t="s">
        <v>13763</v>
      </c>
      <c r="I523" s="2" t="s">
        <v>15234</v>
      </c>
    </row>
    <row r="524" hidden="1">
      <c r="B524" s="2">
        <v>1994.0</v>
      </c>
      <c r="C524" s="2" t="s">
        <v>3396</v>
      </c>
      <c r="D524" s="2" t="s">
        <v>15236</v>
      </c>
      <c r="E524" s="2" t="s">
        <v>15237</v>
      </c>
      <c r="F524" s="7" t="s">
        <v>15238</v>
      </c>
      <c r="G524" s="7" t="s">
        <v>15239</v>
      </c>
      <c r="H524" s="2" t="s">
        <v>13763</v>
      </c>
      <c r="I524" s="2" t="s">
        <v>15237</v>
      </c>
    </row>
    <row r="525" hidden="1">
      <c r="B525" s="2">
        <v>2004.0</v>
      </c>
      <c r="C525" s="2" t="s">
        <v>3396</v>
      </c>
      <c r="D525" s="2" t="s">
        <v>15240</v>
      </c>
      <c r="E525" s="2" t="s">
        <v>15241</v>
      </c>
      <c r="F525" s="7" t="s">
        <v>15242</v>
      </c>
      <c r="G525" s="7" t="s">
        <v>15243</v>
      </c>
      <c r="H525" s="2" t="s">
        <v>13763</v>
      </c>
      <c r="I525" s="2" t="s">
        <v>15241</v>
      </c>
    </row>
    <row r="526">
      <c r="B526" s="2">
        <v>2011.0</v>
      </c>
      <c r="C526" s="2" t="s">
        <v>3396</v>
      </c>
      <c r="D526" s="2" t="s">
        <v>13756</v>
      </c>
      <c r="E526" s="2" t="s">
        <v>15244</v>
      </c>
      <c r="F526" s="7" t="s">
        <v>15245</v>
      </c>
      <c r="G526" s="7" t="s">
        <v>15246</v>
      </c>
      <c r="H526" s="2" t="s">
        <v>13759</v>
      </c>
      <c r="I526" s="2" t="s">
        <v>15244</v>
      </c>
    </row>
    <row r="527">
      <c r="B527" s="2">
        <v>2023.0</v>
      </c>
      <c r="C527" s="2" t="s">
        <v>3396</v>
      </c>
      <c r="D527" s="2" t="s">
        <v>13756</v>
      </c>
      <c r="E527" s="2" t="s">
        <v>15247</v>
      </c>
      <c r="F527" s="7" t="s">
        <v>15248</v>
      </c>
      <c r="G527" s="7" t="s">
        <v>15249</v>
      </c>
      <c r="H527" s="2" t="s">
        <v>14153</v>
      </c>
      <c r="I527" s="2" t="s">
        <v>15247</v>
      </c>
    </row>
    <row r="528">
      <c r="B528" s="2">
        <v>2016.0</v>
      </c>
      <c r="C528" s="2" t="s">
        <v>3396</v>
      </c>
      <c r="D528" s="2" t="s">
        <v>13756</v>
      </c>
      <c r="E528" s="2" t="s">
        <v>15250</v>
      </c>
      <c r="F528" s="7" t="s">
        <v>15251</v>
      </c>
      <c r="G528" s="7" t="s">
        <v>15252</v>
      </c>
      <c r="H528" s="2" t="s">
        <v>13759</v>
      </c>
      <c r="I528" s="2" t="s">
        <v>15250</v>
      </c>
    </row>
    <row r="529">
      <c r="B529" s="2">
        <v>1999.0</v>
      </c>
      <c r="C529" s="2" t="s">
        <v>3396</v>
      </c>
      <c r="D529" s="2" t="s">
        <v>13756</v>
      </c>
      <c r="E529" s="2" t="s">
        <v>15253</v>
      </c>
      <c r="F529" s="7" t="s">
        <v>15254</v>
      </c>
      <c r="G529" s="7" t="s">
        <v>15255</v>
      </c>
      <c r="H529" s="2" t="s">
        <v>13763</v>
      </c>
      <c r="I529" s="2" t="s">
        <v>15253</v>
      </c>
    </row>
    <row r="530" hidden="1">
      <c r="B530" s="2">
        <v>2004.0</v>
      </c>
      <c r="C530" s="2" t="s">
        <v>3396</v>
      </c>
      <c r="D530" s="2" t="s">
        <v>15256</v>
      </c>
      <c r="E530" s="2" t="s">
        <v>15257</v>
      </c>
      <c r="F530" s="7" t="s">
        <v>15258</v>
      </c>
      <c r="G530" s="7" t="s">
        <v>15259</v>
      </c>
      <c r="H530" s="2" t="s">
        <v>13763</v>
      </c>
      <c r="I530" s="2" t="s">
        <v>15257</v>
      </c>
    </row>
    <row r="531" hidden="1">
      <c r="B531" s="2">
        <v>2015.0</v>
      </c>
      <c r="C531" s="2" t="s">
        <v>3396</v>
      </c>
      <c r="D531" s="2" t="s">
        <v>15260</v>
      </c>
      <c r="E531" s="2" t="s">
        <v>15261</v>
      </c>
      <c r="F531" s="7" t="s">
        <v>15262</v>
      </c>
      <c r="G531" s="7" t="s">
        <v>15263</v>
      </c>
      <c r="H531" s="2" t="s">
        <v>13775</v>
      </c>
      <c r="I531" s="2" t="s">
        <v>15261</v>
      </c>
    </row>
    <row r="532">
      <c r="A532" s="2" t="s">
        <v>15264</v>
      </c>
      <c r="B532" s="2">
        <v>2003.0</v>
      </c>
      <c r="C532" s="2" t="s">
        <v>3396</v>
      </c>
      <c r="D532" s="2" t="s">
        <v>13756</v>
      </c>
      <c r="E532" s="2" t="s">
        <v>15265</v>
      </c>
      <c r="F532" s="7" t="s">
        <v>15266</v>
      </c>
      <c r="G532" s="2" t="s">
        <v>647</v>
      </c>
      <c r="H532" s="2" t="s">
        <v>13763</v>
      </c>
      <c r="I532" s="2" t="s">
        <v>15265</v>
      </c>
    </row>
    <row r="533" hidden="1">
      <c r="A533" s="2" t="s">
        <v>15267</v>
      </c>
      <c r="B533" s="2">
        <v>2007.0</v>
      </c>
      <c r="C533" s="2" t="s">
        <v>3396</v>
      </c>
      <c r="D533" s="2" t="s">
        <v>15268</v>
      </c>
      <c r="E533" s="2" t="s">
        <v>15269</v>
      </c>
      <c r="F533" s="7" t="s">
        <v>15270</v>
      </c>
      <c r="G533" s="2" t="s">
        <v>647</v>
      </c>
      <c r="H533" s="2" t="s">
        <v>13763</v>
      </c>
      <c r="I533" s="2" t="s">
        <v>15269</v>
      </c>
    </row>
    <row r="534" hidden="1">
      <c r="B534" s="2">
        <v>2010.0</v>
      </c>
      <c r="C534" s="2" t="s">
        <v>3396</v>
      </c>
      <c r="D534" s="2" t="s">
        <v>15271</v>
      </c>
      <c r="E534" s="2" t="s">
        <v>15272</v>
      </c>
      <c r="F534" s="7" t="s">
        <v>15273</v>
      </c>
      <c r="G534" s="7" t="s">
        <v>15274</v>
      </c>
      <c r="H534" s="2" t="s">
        <v>13775</v>
      </c>
      <c r="I534" s="2" t="s">
        <v>15272</v>
      </c>
    </row>
    <row r="535">
      <c r="B535" s="2">
        <v>1999.0</v>
      </c>
      <c r="C535" s="2" t="s">
        <v>3396</v>
      </c>
      <c r="D535" s="2" t="s">
        <v>13756</v>
      </c>
      <c r="E535" s="2" t="s">
        <v>15275</v>
      </c>
      <c r="F535" s="7" t="s">
        <v>15276</v>
      </c>
      <c r="G535" s="7" t="s">
        <v>15277</v>
      </c>
      <c r="H535" s="2" t="s">
        <v>13763</v>
      </c>
      <c r="I535" s="2" t="s">
        <v>15275</v>
      </c>
    </row>
    <row r="536" hidden="1">
      <c r="B536" s="2">
        <v>2006.0</v>
      </c>
      <c r="C536" s="2" t="s">
        <v>3396</v>
      </c>
      <c r="D536" s="2" t="s">
        <v>15278</v>
      </c>
      <c r="E536" s="2" t="s">
        <v>15279</v>
      </c>
      <c r="F536" s="7" t="s">
        <v>15280</v>
      </c>
      <c r="G536" s="2" t="s">
        <v>647</v>
      </c>
      <c r="H536" s="2" t="s">
        <v>13755</v>
      </c>
      <c r="I536" s="2" t="s">
        <v>15279</v>
      </c>
    </row>
    <row r="537" hidden="1">
      <c r="B537" s="2">
        <v>2015.0</v>
      </c>
      <c r="C537" s="2" t="s">
        <v>3396</v>
      </c>
      <c r="D537" s="2" t="s">
        <v>15281</v>
      </c>
      <c r="E537" s="2" t="s">
        <v>15282</v>
      </c>
      <c r="F537" s="7" t="s">
        <v>15283</v>
      </c>
      <c r="G537" s="7" t="s">
        <v>15284</v>
      </c>
      <c r="H537" s="2" t="s">
        <v>13759</v>
      </c>
      <c r="I537" s="2" t="s">
        <v>15282</v>
      </c>
    </row>
    <row r="538">
      <c r="B538" s="2">
        <v>2020.0</v>
      </c>
      <c r="C538" s="2" t="s">
        <v>3396</v>
      </c>
      <c r="D538" s="2" t="s">
        <v>13756</v>
      </c>
      <c r="E538" s="2" t="s">
        <v>15285</v>
      </c>
      <c r="F538" s="7" t="s">
        <v>15286</v>
      </c>
      <c r="G538" s="7" t="s">
        <v>15287</v>
      </c>
      <c r="H538" s="2" t="s">
        <v>13759</v>
      </c>
      <c r="I538" s="2" t="s">
        <v>15285</v>
      </c>
    </row>
    <row r="539" hidden="1">
      <c r="B539" s="2">
        <v>2018.0</v>
      </c>
      <c r="C539" s="2" t="s">
        <v>3396</v>
      </c>
      <c r="D539" s="2" t="s">
        <v>15288</v>
      </c>
      <c r="E539" s="2" t="s">
        <v>15289</v>
      </c>
      <c r="F539" s="7" t="s">
        <v>15290</v>
      </c>
      <c r="G539" s="7" t="s">
        <v>15291</v>
      </c>
      <c r="H539" s="2" t="s">
        <v>13759</v>
      </c>
      <c r="I539" s="2" t="s">
        <v>15289</v>
      </c>
    </row>
    <row r="540">
      <c r="B540" s="2">
        <v>2020.0</v>
      </c>
      <c r="C540" s="2" t="s">
        <v>3396</v>
      </c>
      <c r="D540" s="2" t="s">
        <v>13756</v>
      </c>
      <c r="E540" s="2" t="s">
        <v>15292</v>
      </c>
      <c r="F540" s="7" t="s">
        <v>15293</v>
      </c>
      <c r="G540" s="7" t="s">
        <v>15294</v>
      </c>
      <c r="H540" s="2" t="s">
        <v>13759</v>
      </c>
      <c r="I540" s="2" t="s">
        <v>15292</v>
      </c>
    </row>
    <row r="541">
      <c r="A541" s="2" t="s">
        <v>15295</v>
      </c>
      <c r="B541" s="2">
        <v>2015.0</v>
      </c>
      <c r="C541" s="2" t="s">
        <v>3396</v>
      </c>
      <c r="D541" s="2" t="s">
        <v>13756</v>
      </c>
      <c r="E541" s="2" t="s">
        <v>15296</v>
      </c>
      <c r="F541" s="7" t="s">
        <v>15297</v>
      </c>
      <c r="G541" s="2" t="s">
        <v>647</v>
      </c>
      <c r="H541" s="2" t="s">
        <v>13775</v>
      </c>
      <c r="I541" s="2" t="s">
        <v>15296</v>
      </c>
    </row>
    <row r="542">
      <c r="B542" s="2">
        <v>2012.0</v>
      </c>
      <c r="C542" s="2" t="s">
        <v>3396</v>
      </c>
      <c r="D542" s="2" t="s">
        <v>13756</v>
      </c>
      <c r="E542" s="2" t="s">
        <v>15298</v>
      </c>
      <c r="F542" s="7" t="s">
        <v>15299</v>
      </c>
      <c r="G542" s="7" t="s">
        <v>15300</v>
      </c>
      <c r="H542" s="2" t="s">
        <v>13759</v>
      </c>
      <c r="I542" s="2" t="s">
        <v>15298</v>
      </c>
    </row>
    <row r="543">
      <c r="B543" s="2">
        <v>2015.0</v>
      </c>
      <c r="C543" s="2" t="s">
        <v>3396</v>
      </c>
      <c r="D543" s="2" t="s">
        <v>13756</v>
      </c>
      <c r="E543" s="2" t="s">
        <v>15301</v>
      </c>
      <c r="F543" s="7" t="s">
        <v>15302</v>
      </c>
      <c r="G543" s="7" t="s">
        <v>15303</v>
      </c>
      <c r="H543" s="2" t="s">
        <v>13763</v>
      </c>
      <c r="I543" s="2" t="s">
        <v>15301</v>
      </c>
    </row>
    <row r="544" hidden="1">
      <c r="B544" s="2">
        <v>2019.0</v>
      </c>
      <c r="C544" s="2" t="s">
        <v>3396</v>
      </c>
      <c r="D544" s="2" t="s">
        <v>15304</v>
      </c>
      <c r="E544" s="2" t="s">
        <v>15305</v>
      </c>
      <c r="F544" s="7" t="s">
        <v>15306</v>
      </c>
      <c r="G544" s="7" t="s">
        <v>15307</v>
      </c>
      <c r="H544" s="2" t="s">
        <v>13775</v>
      </c>
      <c r="I544" s="2" t="s">
        <v>15305</v>
      </c>
    </row>
    <row r="545">
      <c r="B545" s="2">
        <v>2016.0</v>
      </c>
      <c r="C545" s="2" t="s">
        <v>3396</v>
      </c>
      <c r="D545" s="2" t="s">
        <v>13756</v>
      </c>
      <c r="E545" s="2" t="s">
        <v>15308</v>
      </c>
      <c r="F545" s="7" t="s">
        <v>15309</v>
      </c>
      <c r="G545" s="7" t="s">
        <v>15310</v>
      </c>
      <c r="H545" s="2" t="s">
        <v>13763</v>
      </c>
      <c r="I545" s="2" t="s">
        <v>15308</v>
      </c>
    </row>
    <row r="546">
      <c r="B546" s="2">
        <v>2015.0</v>
      </c>
      <c r="C546" s="2" t="s">
        <v>3396</v>
      </c>
      <c r="D546" s="2" t="s">
        <v>13756</v>
      </c>
      <c r="E546" s="2" t="s">
        <v>15311</v>
      </c>
      <c r="F546" s="7" t="s">
        <v>15312</v>
      </c>
      <c r="G546" s="7" t="s">
        <v>15313</v>
      </c>
      <c r="H546" s="2" t="s">
        <v>13763</v>
      </c>
      <c r="I546" s="2" t="s">
        <v>15311</v>
      </c>
    </row>
    <row r="547">
      <c r="B547" s="2">
        <v>2023.0</v>
      </c>
      <c r="C547" s="2" t="s">
        <v>3396</v>
      </c>
      <c r="D547" s="2" t="s">
        <v>13756</v>
      </c>
      <c r="F547" s="7" t="s">
        <v>15314</v>
      </c>
      <c r="G547" s="7" t="s">
        <v>15315</v>
      </c>
      <c r="H547" s="2" t="s">
        <v>13763</v>
      </c>
      <c r="I547" s="2" t="s">
        <v>15316</v>
      </c>
    </row>
    <row r="548" hidden="1">
      <c r="B548" s="2">
        <v>2013.0</v>
      </c>
      <c r="C548" s="2" t="s">
        <v>3396</v>
      </c>
      <c r="D548" s="2" t="s">
        <v>15317</v>
      </c>
      <c r="E548" s="2" t="s">
        <v>15318</v>
      </c>
      <c r="F548" s="7" t="s">
        <v>15319</v>
      </c>
      <c r="G548" s="7" t="s">
        <v>15320</v>
      </c>
      <c r="H548" s="2" t="s">
        <v>13775</v>
      </c>
      <c r="I548" s="2" t="s">
        <v>15318</v>
      </c>
    </row>
    <row r="549">
      <c r="B549" s="2">
        <v>2014.0</v>
      </c>
      <c r="C549" s="2" t="s">
        <v>3396</v>
      </c>
      <c r="D549" s="2" t="s">
        <v>13756</v>
      </c>
      <c r="E549" s="2" t="s">
        <v>15321</v>
      </c>
      <c r="F549" s="7" t="s">
        <v>15322</v>
      </c>
      <c r="G549" s="7" t="s">
        <v>15323</v>
      </c>
      <c r="H549" s="2" t="s">
        <v>13763</v>
      </c>
      <c r="I549" s="2" t="s">
        <v>15321</v>
      </c>
    </row>
    <row r="550" hidden="1">
      <c r="B550" s="2">
        <v>2014.0</v>
      </c>
      <c r="C550" s="2" t="s">
        <v>3396</v>
      </c>
      <c r="D550" s="2" t="s">
        <v>15324</v>
      </c>
      <c r="E550" s="2" t="s">
        <v>15325</v>
      </c>
      <c r="F550" s="7" t="s">
        <v>15326</v>
      </c>
      <c r="G550" s="2" t="s">
        <v>647</v>
      </c>
      <c r="H550" s="2" t="s">
        <v>13763</v>
      </c>
      <c r="I550" s="2" t="s">
        <v>15325</v>
      </c>
    </row>
    <row r="551" hidden="1">
      <c r="B551" s="2">
        <v>2014.0</v>
      </c>
      <c r="C551" s="2" t="s">
        <v>3396</v>
      </c>
      <c r="D551" s="2" t="s">
        <v>15327</v>
      </c>
      <c r="E551" s="2" t="s">
        <v>15328</v>
      </c>
      <c r="F551" s="7" t="s">
        <v>15329</v>
      </c>
      <c r="G551" s="7" t="s">
        <v>15330</v>
      </c>
      <c r="H551" s="2" t="s">
        <v>13775</v>
      </c>
      <c r="I551" s="2" t="s">
        <v>15328</v>
      </c>
    </row>
    <row r="552" hidden="1">
      <c r="A552" s="2" t="s">
        <v>15331</v>
      </c>
      <c r="B552" s="2">
        <v>1998.0</v>
      </c>
      <c r="C552" s="2" t="s">
        <v>3396</v>
      </c>
      <c r="D552" s="2" t="s">
        <v>15332</v>
      </c>
      <c r="E552" s="2" t="s">
        <v>15333</v>
      </c>
      <c r="F552" s="7" t="s">
        <v>15334</v>
      </c>
      <c r="G552" s="2" t="s">
        <v>647</v>
      </c>
      <c r="H552" s="2" t="s">
        <v>13763</v>
      </c>
      <c r="I552" s="2" t="s">
        <v>15333</v>
      </c>
    </row>
    <row r="553">
      <c r="B553" s="2">
        <v>2016.0</v>
      </c>
      <c r="C553" s="2" t="s">
        <v>3396</v>
      </c>
      <c r="D553" s="2" t="s">
        <v>13756</v>
      </c>
      <c r="E553" s="2" t="s">
        <v>15335</v>
      </c>
      <c r="F553" s="7" t="s">
        <v>15336</v>
      </c>
      <c r="G553" s="7" t="s">
        <v>15337</v>
      </c>
      <c r="H553" s="2" t="s">
        <v>13763</v>
      </c>
      <c r="I553" s="2" t="s">
        <v>15335</v>
      </c>
    </row>
    <row r="554" hidden="1">
      <c r="A554" s="2" t="s">
        <v>15338</v>
      </c>
      <c r="B554" s="2">
        <v>1996.0</v>
      </c>
      <c r="C554" s="2" t="s">
        <v>3396</v>
      </c>
      <c r="D554" s="2" t="s">
        <v>13847</v>
      </c>
      <c r="E554" s="2" t="s">
        <v>15339</v>
      </c>
      <c r="F554" s="7" t="s">
        <v>15340</v>
      </c>
      <c r="G554" s="2" t="s">
        <v>647</v>
      </c>
      <c r="H554" s="2" t="s">
        <v>13775</v>
      </c>
      <c r="I554" s="2" t="s">
        <v>15339</v>
      </c>
    </row>
    <row r="555" hidden="1">
      <c r="B555" s="2">
        <v>2015.0</v>
      </c>
      <c r="C555" s="2" t="s">
        <v>3396</v>
      </c>
      <c r="D555" s="2" t="s">
        <v>15341</v>
      </c>
      <c r="E555" s="2" t="s">
        <v>15342</v>
      </c>
      <c r="F555" s="7" t="s">
        <v>15343</v>
      </c>
      <c r="G555" s="7" t="s">
        <v>15344</v>
      </c>
      <c r="H555" s="2" t="s">
        <v>13763</v>
      </c>
      <c r="I555" s="2" t="s">
        <v>15342</v>
      </c>
    </row>
    <row r="556" hidden="1">
      <c r="B556" s="2">
        <v>2008.0</v>
      </c>
      <c r="C556" s="2" t="s">
        <v>3396</v>
      </c>
      <c r="D556" s="2" t="s">
        <v>15345</v>
      </c>
      <c r="E556" s="2" t="s">
        <v>15346</v>
      </c>
      <c r="F556" s="7" t="s">
        <v>15347</v>
      </c>
      <c r="G556" s="7" t="s">
        <v>15348</v>
      </c>
      <c r="H556" s="2" t="s">
        <v>13775</v>
      </c>
      <c r="I556" s="2" t="s">
        <v>15346</v>
      </c>
    </row>
    <row r="557" hidden="1">
      <c r="A557" s="2" t="s">
        <v>15349</v>
      </c>
      <c r="B557" s="2">
        <v>1996.0</v>
      </c>
      <c r="C557" s="2" t="s">
        <v>3396</v>
      </c>
      <c r="D557" s="2" t="s">
        <v>15350</v>
      </c>
      <c r="E557" s="2" t="s">
        <v>15351</v>
      </c>
      <c r="F557" s="7" t="s">
        <v>15352</v>
      </c>
      <c r="G557" s="2" t="s">
        <v>647</v>
      </c>
      <c r="H557" s="2" t="s">
        <v>13763</v>
      </c>
      <c r="I557" s="2" t="s">
        <v>15351</v>
      </c>
    </row>
    <row r="558">
      <c r="B558" s="2">
        <v>2021.0</v>
      </c>
      <c r="C558" s="2" t="s">
        <v>3396</v>
      </c>
      <c r="D558" s="2" t="s">
        <v>13756</v>
      </c>
      <c r="E558" s="2" t="s">
        <v>15353</v>
      </c>
      <c r="F558" s="7" t="s">
        <v>15354</v>
      </c>
      <c r="G558" s="7" t="s">
        <v>15355</v>
      </c>
      <c r="H558" s="2" t="s">
        <v>13811</v>
      </c>
      <c r="I558" s="2" t="s">
        <v>15353</v>
      </c>
    </row>
    <row r="559" hidden="1">
      <c r="B559" s="2">
        <v>2008.0</v>
      </c>
      <c r="C559" s="2" t="s">
        <v>3396</v>
      </c>
      <c r="D559" s="2" t="s">
        <v>15356</v>
      </c>
      <c r="E559" s="2" t="s">
        <v>15357</v>
      </c>
      <c r="F559" s="7" t="s">
        <v>15358</v>
      </c>
      <c r="G559" s="7" t="s">
        <v>15359</v>
      </c>
      <c r="H559" s="2" t="s">
        <v>13775</v>
      </c>
      <c r="I559" s="2" t="s">
        <v>15357</v>
      </c>
    </row>
    <row r="560">
      <c r="B560" s="2">
        <v>2017.0</v>
      </c>
      <c r="C560" s="2" t="s">
        <v>3396</v>
      </c>
      <c r="D560" s="2" t="s">
        <v>13756</v>
      </c>
      <c r="E560" s="2" t="s">
        <v>15360</v>
      </c>
      <c r="F560" s="7" t="s">
        <v>15361</v>
      </c>
      <c r="G560" s="7" t="s">
        <v>15362</v>
      </c>
      <c r="H560" s="2" t="s">
        <v>13763</v>
      </c>
      <c r="I560" s="2" t="s">
        <v>15360</v>
      </c>
    </row>
    <row r="561">
      <c r="B561" s="2">
        <v>2020.0</v>
      </c>
      <c r="C561" s="2" t="s">
        <v>3396</v>
      </c>
      <c r="D561" s="2" t="s">
        <v>13756</v>
      </c>
      <c r="E561" s="2" t="s">
        <v>15363</v>
      </c>
      <c r="F561" s="7" t="s">
        <v>15364</v>
      </c>
      <c r="G561" s="7" t="s">
        <v>15365</v>
      </c>
      <c r="H561" s="2" t="s">
        <v>13775</v>
      </c>
      <c r="I561" s="2" t="s">
        <v>15363</v>
      </c>
    </row>
    <row r="562" hidden="1">
      <c r="B562" s="2">
        <v>2013.0</v>
      </c>
      <c r="C562" s="2" t="s">
        <v>3396</v>
      </c>
      <c r="D562" s="2" t="s">
        <v>15366</v>
      </c>
      <c r="E562" s="2" t="s">
        <v>15367</v>
      </c>
      <c r="F562" s="7" t="s">
        <v>15368</v>
      </c>
      <c r="G562" s="2" t="s">
        <v>647</v>
      </c>
      <c r="H562" s="2" t="s">
        <v>13763</v>
      </c>
      <c r="I562" s="2" t="s">
        <v>15367</v>
      </c>
    </row>
    <row r="563" hidden="1">
      <c r="B563" s="2">
        <v>2014.0</v>
      </c>
      <c r="C563" s="2" t="s">
        <v>3396</v>
      </c>
      <c r="D563" s="2" t="s">
        <v>15369</v>
      </c>
      <c r="E563" s="2" t="s">
        <v>15370</v>
      </c>
      <c r="F563" s="7" t="s">
        <v>15371</v>
      </c>
      <c r="G563" s="7" t="s">
        <v>15372</v>
      </c>
      <c r="H563" s="2" t="s">
        <v>13763</v>
      </c>
      <c r="I563" s="2" t="s">
        <v>15370</v>
      </c>
    </row>
    <row r="564">
      <c r="B564" s="2">
        <v>2024.0</v>
      </c>
      <c r="C564" s="2" t="s">
        <v>3396</v>
      </c>
      <c r="D564" s="2" t="s">
        <v>13756</v>
      </c>
      <c r="E564" s="2" t="s">
        <v>15373</v>
      </c>
      <c r="F564" s="7" t="s">
        <v>15374</v>
      </c>
      <c r="G564" s="7" t="s">
        <v>15375</v>
      </c>
      <c r="H564" s="2" t="s">
        <v>13763</v>
      </c>
      <c r="I564" s="2" t="s">
        <v>15373</v>
      </c>
    </row>
    <row r="565" hidden="1">
      <c r="B565" s="2">
        <v>2020.0</v>
      </c>
      <c r="C565" s="2" t="s">
        <v>3396</v>
      </c>
      <c r="D565" s="2" t="s">
        <v>14222</v>
      </c>
      <c r="E565" s="2" t="s">
        <v>15376</v>
      </c>
      <c r="F565" s="7" t="s">
        <v>15377</v>
      </c>
      <c r="G565" s="2" t="s">
        <v>647</v>
      </c>
      <c r="H565" s="2" t="s">
        <v>13763</v>
      </c>
      <c r="I565" s="2" t="s">
        <v>15376</v>
      </c>
    </row>
    <row r="566">
      <c r="A566" s="2" t="s">
        <v>15378</v>
      </c>
      <c r="B566" s="2">
        <v>2014.0</v>
      </c>
      <c r="C566" s="2" t="s">
        <v>3396</v>
      </c>
      <c r="D566" s="2" t="s">
        <v>13756</v>
      </c>
      <c r="E566" s="2" t="s">
        <v>15379</v>
      </c>
      <c r="F566" s="7" t="s">
        <v>15380</v>
      </c>
      <c r="G566" s="2" t="s">
        <v>647</v>
      </c>
      <c r="H566" s="2" t="s">
        <v>13755</v>
      </c>
      <c r="I566" s="2" t="s">
        <v>15379</v>
      </c>
    </row>
    <row r="567" hidden="1">
      <c r="B567" s="2">
        <v>2007.0</v>
      </c>
      <c r="C567" s="2" t="s">
        <v>3396</v>
      </c>
      <c r="D567" s="2" t="s">
        <v>15381</v>
      </c>
      <c r="E567" s="2" t="s">
        <v>15382</v>
      </c>
      <c r="F567" s="7" t="s">
        <v>15383</v>
      </c>
      <c r="G567" s="7" t="s">
        <v>15384</v>
      </c>
      <c r="H567" s="2" t="s">
        <v>13775</v>
      </c>
      <c r="I567" s="2" t="s">
        <v>15382</v>
      </c>
    </row>
    <row r="568" hidden="1">
      <c r="A568" s="2" t="s">
        <v>15385</v>
      </c>
      <c r="B568" s="2">
        <v>2000.0</v>
      </c>
      <c r="C568" s="2" t="s">
        <v>3396</v>
      </c>
      <c r="D568" s="2" t="s">
        <v>15386</v>
      </c>
      <c r="E568" s="2" t="s">
        <v>15387</v>
      </c>
      <c r="F568" s="7" t="s">
        <v>15388</v>
      </c>
      <c r="G568" s="2" t="s">
        <v>647</v>
      </c>
      <c r="H568" s="2" t="s">
        <v>13763</v>
      </c>
      <c r="I568" s="2" t="s">
        <v>15387</v>
      </c>
    </row>
    <row r="569" hidden="1">
      <c r="B569" s="2">
        <v>2017.0</v>
      </c>
      <c r="C569" s="2" t="s">
        <v>3396</v>
      </c>
      <c r="D569" s="2" t="s">
        <v>15389</v>
      </c>
      <c r="E569" s="2" t="s">
        <v>15390</v>
      </c>
      <c r="F569" s="7" t="s">
        <v>15391</v>
      </c>
      <c r="G569" s="2" t="s">
        <v>647</v>
      </c>
      <c r="H569" s="2" t="s">
        <v>13763</v>
      </c>
      <c r="I569" s="2" t="s">
        <v>15390</v>
      </c>
    </row>
    <row r="570">
      <c r="A570" s="2" t="s">
        <v>15392</v>
      </c>
      <c r="B570" s="2">
        <v>2010.0</v>
      </c>
      <c r="C570" s="2" t="s">
        <v>3396</v>
      </c>
      <c r="D570" s="2" t="s">
        <v>13756</v>
      </c>
      <c r="E570" s="2" t="s">
        <v>15393</v>
      </c>
      <c r="F570" s="7" t="s">
        <v>15394</v>
      </c>
      <c r="G570" s="2" t="s">
        <v>647</v>
      </c>
      <c r="H570" s="2" t="s">
        <v>14210</v>
      </c>
      <c r="I570" s="2" t="s">
        <v>15393</v>
      </c>
    </row>
    <row r="571" hidden="1">
      <c r="B571" s="2">
        <v>2014.0</v>
      </c>
      <c r="C571" s="2" t="s">
        <v>3396</v>
      </c>
      <c r="D571" s="2" t="s">
        <v>15395</v>
      </c>
      <c r="E571" s="2" t="s">
        <v>15396</v>
      </c>
      <c r="F571" s="7" t="s">
        <v>15397</v>
      </c>
      <c r="G571" s="7" t="s">
        <v>15398</v>
      </c>
      <c r="H571" s="2" t="s">
        <v>13763</v>
      </c>
      <c r="I571" s="2" t="s">
        <v>15396</v>
      </c>
    </row>
    <row r="572" hidden="1">
      <c r="B572" s="2">
        <v>2003.0</v>
      </c>
      <c r="C572" s="2" t="s">
        <v>3396</v>
      </c>
      <c r="D572" s="2" t="s">
        <v>15399</v>
      </c>
      <c r="E572" s="2" t="s">
        <v>15400</v>
      </c>
      <c r="F572" s="7" t="s">
        <v>15401</v>
      </c>
      <c r="G572" s="7" t="s">
        <v>15402</v>
      </c>
      <c r="H572" s="2" t="s">
        <v>13763</v>
      </c>
      <c r="I572" s="2" t="s">
        <v>15400</v>
      </c>
    </row>
    <row r="573" hidden="1">
      <c r="B573" s="2">
        <v>1993.0</v>
      </c>
      <c r="C573" s="2" t="s">
        <v>3396</v>
      </c>
      <c r="D573" s="2" t="s">
        <v>15403</v>
      </c>
      <c r="E573" s="2" t="s">
        <v>15404</v>
      </c>
      <c r="F573" s="7" t="s">
        <v>15405</v>
      </c>
      <c r="G573" s="2" t="s">
        <v>647</v>
      </c>
      <c r="H573" s="2" t="s">
        <v>13763</v>
      </c>
      <c r="I573" s="2" t="s">
        <v>15404</v>
      </c>
    </row>
    <row r="574">
      <c r="B574" s="2">
        <v>2008.0</v>
      </c>
      <c r="C574" s="2" t="s">
        <v>3396</v>
      </c>
      <c r="D574" s="2" t="s">
        <v>13756</v>
      </c>
      <c r="E574" s="2" t="s">
        <v>15406</v>
      </c>
      <c r="F574" s="7" t="s">
        <v>15407</v>
      </c>
      <c r="G574" s="7" t="s">
        <v>15408</v>
      </c>
      <c r="H574" s="2" t="s">
        <v>13763</v>
      </c>
      <c r="I574" s="2" t="s">
        <v>15406</v>
      </c>
    </row>
    <row r="575" hidden="1">
      <c r="B575" s="2">
        <v>2004.0</v>
      </c>
      <c r="C575" s="2" t="s">
        <v>3396</v>
      </c>
      <c r="D575" s="2" t="s">
        <v>15409</v>
      </c>
      <c r="E575" s="2" t="s">
        <v>15410</v>
      </c>
      <c r="F575" s="7" t="s">
        <v>15411</v>
      </c>
      <c r="G575" s="2" t="s">
        <v>647</v>
      </c>
      <c r="H575" s="2" t="s">
        <v>13775</v>
      </c>
      <c r="I575" s="2" t="s">
        <v>15410</v>
      </c>
    </row>
    <row r="576">
      <c r="B576" s="2">
        <v>2013.0</v>
      </c>
      <c r="C576" s="2" t="s">
        <v>3396</v>
      </c>
      <c r="D576" s="2" t="s">
        <v>13756</v>
      </c>
      <c r="E576" s="2" t="s">
        <v>15412</v>
      </c>
      <c r="F576" s="7" t="s">
        <v>15413</v>
      </c>
      <c r="G576" s="7" t="s">
        <v>15414</v>
      </c>
      <c r="H576" s="2" t="s">
        <v>13763</v>
      </c>
      <c r="I576" s="2" t="s">
        <v>15412</v>
      </c>
    </row>
    <row r="577" hidden="1">
      <c r="B577" s="2">
        <v>1989.0</v>
      </c>
      <c r="C577" s="2" t="s">
        <v>3396</v>
      </c>
      <c r="D577" s="2" t="s">
        <v>15415</v>
      </c>
      <c r="E577" s="2" t="s">
        <v>15416</v>
      </c>
      <c r="F577" s="7" t="s">
        <v>15417</v>
      </c>
      <c r="G577" s="2" t="s">
        <v>647</v>
      </c>
      <c r="H577" s="2" t="s">
        <v>13775</v>
      </c>
      <c r="I577" s="2" t="s">
        <v>15416</v>
      </c>
    </row>
    <row r="578" hidden="1">
      <c r="B578" s="2">
        <v>2006.0</v>
      </c>
      <c r="C578" s="2" t="s">
        <v>3396</v>
      </c>
      <c r="D578" s="2" t="s">
        <v>14967</v>
      </c>
      <c r="E578" s="2" t="s">
        <v>15418</v>
      </c>
      <c r="F578" s="7" t="s">
        <v>15419</v>
      </c>
      <c r="G578" s="7" t="s">
        <v>15420</v>
      </c>
      <c r="H578" s="2" t="s">
        <v>13763</v>
      </c>
      <c r="I578" s="2" t="s">
        <v>15418</v>
      </c>
    </row>
    <row r="579" hidden="1">
      <c r="B579" s="2">
        <v>2008.0</v>
      </c>
      <c r="C579" s="2" t="s">
        <v>3396</v>
      </c>
      <c r="D579" s="2" t="s">
        <v>15421</v>
      </c>
      <c r="E579" s="2" t="s">
        <v>15422</v>
      </c>
      <c r="F579" s="7" t="s">
        <v>15423</v>
      </c>
      <c r="G579" s="7" t="s">
        <v>15424</v>
      </c>
      <c r="H579" s="2" t="s">
        <v>13775</v>
      </c>
      <c r="I579" s="2" t="s">
        <v>15422</v>
      </c>
    </row>
    <row r="580" hidden="1">
      <c r="B580" s="2">
        <v>2016.0</v>
      </c>
      <c r="C580" s="2" t="s">
        <v>3396</v>
      </c>
      <c r="D580" s="2" t="s">
        <v>15425</v>
      </c>
      <c r="E580" s="2" t="s">
        <v>15426</v>
      </c>
      <c r="F580" s="7" t="s">
        <v>15427</v>
      </c>
      <c r="G580" s="2" t="s">
        <v>647</v>
      </c>
      <c r="H580" s="2" t="s">
        <v>13775</v>
      </c>
      <c r="I580" s="2" t="s">
        <v>15426</v>
      </c>
    </row>
    <row r="581" hidden="1">
      <c r="B581" s="2">
        <v>2012.0</v>
      </c>
      <c r="C581" s="2" t="s">
        <v>3396</v>
      </c>
      <c r="D581" s="2" t="s">
        <v>15428</v>
      </c>
      <c r="E581" s="2" t="s">
        <v>15429</v>
      </c>
      <c r="F581" s="7" t="s">
        <v>15430</v>
      </c>
    </row>
    <row r="582">
      <c r="B582" s="2">
        <v>2020.0</v>
      </c>
      <c r="C582" s="2" t="s">
        <v>3396</v>
      </c>
      <c r="D582" s="2" t="s">
        <v>13756</v>
      </c>
      <c r="E582" s="2" t="s">
        <v>15431</v>
      </c>
      <c r="F582" s="7" t="s">
        <v>15432</v>
      </c>
    </row>
    <row r="583" hidden="1">
      <c r="A583" s="2" t="s">
        <v>15433</v>
      </c>
      <c r="B583" s="2">
        <v>1995.0</v>
      </c>
      <c r="C583" s="2" t="s">
        <v>3396</v>
      </c>
      <c r="D583" s="2" t="s">
        <v>15434</v>
      </c>
      <c r="E583" s="2" t="s">
        <v>15435</v>
      </c>
      <c r="F583" s="7" t="s">
        <v>15436</v>
      </c>
    </row>
    <row r="584" hidden="1">
      <c r="B584" s="2">
        <v>2001.0</v>
      </c>
      <c r="C584" s="2" t="s">
        <v>3396</v>
      </c>
      <c r="D584" s="2" t="s">
        <v>15437</v>
      </c>
      <c r="E584" s="2" t="s">
        <v>15438</v>
      </c>
      <c r="F584" s="7" t="s">
        <v>15439</v>
      </c>
    </row>
    <row r="585">
      <c r="B585" s="2">
        <v>2014.0</v>
      </c>
      <c r="C585" s="2" t="s">
        <v>3396</v>
      </c>
      <c r="D585" s="2" t="s">
        <v>13756</v>
      </c>
      <c r="E585" s="2" t="s">
        <v>15440</v>
      </c>
      <c r="F585" s="7" t="s">
        <v>15441</v>
      </c>
    </row>
    <row r="586" hidden="1">
      <c r="B586" s="2">
        <v>2001.0</v>
      </c>
      <c r="C586" s="2" t="s">
        <v>3396</v>
      </c>
      <c r="D586" s="2" t="s">
        <v>15442</v>
      </c>
      <c r="E586" s="2" t="s">
        <v>15443</v>
      </c>
      <c r="F586" s="7" t="s">
        <v>15444</v>
      </c>
    </row>
    <row r="587" hidden="1">
      <c r="B587" s="2">
        <v>2016.0</v>
      </c>
      <c r="C587" s="2" t="s">
        <v>3396</v>
      </c>
      <c r="D587" s="2" t="s">
        <v>15445</v>
      </c>
      <c r="E587" s="2" t="s">
        <v>15446</v>
      </c>
      <c r="F587" s="7" t="s">
        <v>15447</v>
      </c>
    </row>
    <row r="588" hidden="1">
      <c r="B588" s="2">
        <v>2006.0</v>
      </c>
      <c r="C588" s="2" t="s">
        <v>3396</v>
      </c>
      <c r="D588" s="2" t="s">
        <v>15448</v>
      </c>
      <c r="E588" s="2" t="s">
        <v>15449</v>
      </c>
      <c r="F588" s="7" t="s">
        <v>15450</v>
      </c>
    </row>
    <row r="589">
      <c r="B589" s="2">
        <v>2021.0</v>
      </c>
      <c r="C589" s="2" t="s">
        <v>3396</v>
      </c>
      <c r="D589" s="2" t="s">
        <v>13756</v>
      </c>
      <c r="E589" s="2" t="s">
        <v>15451</v>
      </c>
      <c r="F589" s="7" t="s">
        <v>15452</v>
      </c>
    </row>
    <row r="590" hidden="1">
      <c r="B590" s="2">
        <v>2014.0</v>
      </c>
      <c r="C590" s="2" t="s">
        <v>3396</v>
      </c>
      <c r="D590" s="2" t="s">
        <v>15453</v>
      </c>
      <c r="E590" s="2" t="s">
        <v>15454</v>
      </c>
      <c r="F590" s="7" t="s">
        <v>15455</v>
      </c>
    </row>
    <row r="591" hidden="1">
      <c r="B591" s="2">
        <v>2008.0</v>
      </c>
      <c r="C591" s="2" t="s">
        <v>3396</v>
      </c>
      <c r="D591" s="2" t="s">
        <v>15456</v>
      </c>
      <c r="E591" s="2" t="s">
        <v>15457</v>
      </c>
      <c r="F591" s="7" t="s">
        <v>15458</v>
      </c>
    </row>
    <row r="592" hidden="1">
      <c r="B592" s="2">
        <v>2007.0</v>
      </c>
      <c r="C592" s="2" t="s">
        <v>3396</v>
      </c>
      <c r="D592" s="2" t="s">
        <v>14908</v>
      </c>
      <c r="E592" s="2" t="s">
        <v>15459</v>
      </c>
      <c r="F592" s="7" t="s">
        <v>15460</v>
      </c>
    </row>
    <row r="593">
      <c r="B593" s="2">
        <v>2015.0</v>
      </c>
      <c r="C593" s="2" t="s">
        <v>3396</v>
      </c>
      <c r="D593" s="2" t="s">
        <v>13756</v>
      </c>
      <c r="E593" s="2" t="s">
        <v>15461</v>
      </c>
      <c r="F593" s="7" t="s">
        <v>15462</v>
      </c>
    </row>
    <row r="594">
      <c r="B594" s="2">
        <v>2021.0</v>
      </c>
      <c r="C594" s="2" t="s">
        <v>3396</v>
      </c>
      <c r="D594" s="2" t="s">
        <v>13756</v>
      </c>
      <c r="E594" s="2" t="s">
        <v>15463</v>
      </c>
      <c r="F594" s="7" t="s">
        <v>15464</v>
      </c>
    </row>
    <row r="595" hidden="1">
      <c r="B595" s="2">
        <v>1999.0</v>
      </c>
      <c r="C595" s="2" t="s">
        <v>3396</v>
      </c>
      <c r="D595" s="2" t="s">
        <v>14961</v>
      </c>
      <c r="E595" s="2" t="s">
        <v>15465</v>
      </c>
      <c r="F595" s="7" t="s">
        <v>15466</v>
      </c>
    </row>
    <row r="596">
      <c r="B596" s="2">
        <v>2021.0</v>
      </c>
      <c r="C596" s="2" t="s">
        <v>3396</v>
      </c>
      <c r="D596" s="2" t="s">
        <v>13756</v>
      </c>
      <c r="E596" s="2" t="s">
        <v>15467</v>
      </c>
      <c r="F596" s="7" t="s">
        <v>15468</v>
      </c>
    </row>
    <row r="597" hidden="1">
      <c r="B597" s="2">
        <v>1999.0</v>
      </c>
      <c r="C597" s="2" t="s">
        <v>3396</v>
      </c>
      <c r="D597" s="2" t="s">
        <v>15469</v>
      </c>
      <c r="E597" s="2" t="s">
        <v>15470</v>
      </c>
      <c r="F597" s="7" t="s">
        <v>15471</v>
      </c>
    </row>
    <row r="598" hidden="1">
      <c r="B598" s="2">
        <v>1996.0</v>
      </c>
      <c r="C598" s="2" t="s">
        <v>3396</v>
      </c>
      <c r="D598" s="2" t="s">
        <v>15472</v>
      </c>
      <c r="E598" s="2" t="s">
        <v>15473</v>
      </c>
      <c r="F598" s="7" t="s">
        <v>15474</v>
      </c>
    </row>
    <row r="599" hidden="1">
      <c r="B599" s="2">
        <v>2013.0</v>
      </c>
      <c r="C599" s="2" t="s">
        <v>3396</v>
      </c>
      <c r="D599" s="2" t="s">
        <v>15475</v>
      </c>
      <c r="E599" s="2" t="s">
        <v>15476</v>
      </c>
      <c r="F599" s="7" t="s">
        <v>15477</v>
      </c>
    </row>
    <row r="600">
      <c r="B600" s="2">
        <v>2014.0</v>
      </c>
      <c r="C600" s="2" t="s">
        <v>3396</v>
      </c>
      <c r="D600" s="2" t="s">
        <v>13756</v>
      </c>
      <c r="E600" s="2" t="s">
        <v>15478</v>
      </c>
      <c r="F600" s="7" t="s">
        <v>15479</v>
      </c>
    </row>
    <row r="601" hidden="1">
      <c r="B601" s="2">
        <v>2015.0</v>
      </c>
      <c r="C601" s="2" t="s">
        <v>3396</v>
      </c>
      <c r="D601" s="2" t="s">
        <v>15480</v>
      </c>
      <c r="E601" s="2" t="s">
        <v>15481</v>
      </c>
      <c r="F601" s="7" t="s">
        <v>15482</v>
      </c>
    </row>
    <row r="602">
      <c r="B602" s="2">
        <v>2014.0</v>
      </c>
      <c r="C602" s="2" t="s">
        <v>3396</v>
      </c>
      <c r="D602" s="2" t="s">
        <v>13756</v>
      </c>
      <c r="E602" s="2" t="s">
        <v>15483</v>
      </c>
      <c r="F602" s="7" t="s">
        <v>15484</v>
      </c>
    </row>
    <row r="603">
      <c r="B603" s="2">
        <v>2021.0</v>
      </c>
      <c r="C603" s="2" t="s">
        <v>3396</v>
      </c>
      <c r="D603" s="2" t="s">
        <v>13756</v>
      </c>
      <c r="E603" s="2" t="s">
        <v>15485</v>
      </c>
      <c r="F603" s="7" t="s">
        <v>15486</v>
      </c>
    </row>
    <row r="604" hidden="1">
      <c r="A604" s="2" t="s">
        <v>15487</v>
      </c>
      <c r="B604" s="2">
        <v>1998.0</v>
      </c>
      <c r="C604" s="2" t="s">
        <v>3396</v>
      </c>
      <c r="D604" s="2" t="s">
        <v>15488</v>
      </c>
      <c r="E604" s="2" t="s">
        <v>15489</v>
      </c>
      <c r="F604" s="7" t="s">
        <v>15490</v>
      </c>
    </row>
    <row r="605">
      <c r="B605" s="2">
        <v>2017.0</v>
      </c>
      <c r="C605" s="2" t="s">
        <v>3396</v>
      </c>
      <c r="D605" s="2" t="s">
        <v>13756</v>
      </c>
      <c r="E605" s="2" t="s">
        <v>15491</v>
      </c>
      <c r="F605" s="7" t="s">
        <v>15492</v>
      </c>
    </row>
    <row r="606">
      <c r="B606" s="2">
        <v>2020.0</v>
      </c>
      <c r="C606" s="2" t="s">
        <v>3396</v>
      </c>
      <c r="D606" s="2" t="s">
        <v>13756</v>
      </c>
      <c r="E606" s="2" t="s">
        <v>15493</v>
      </c>
      <c r="F606" s="7" t="s">
        <v>15494</v>
      </c>
    </row>
    <row r="607" hidden="1">
      <c r="B607" s="2">
        <v>2009.0</v>
      </c>
      <c r="C607" s="2" t="s">
        <v>3396</v>
      </c>
      <c r="D607" s="2" t="s">
        <v>15495</v>
      </c>
      <c r="E607" s="2" t="s">
        <v>15496</v>
      </c>
      <c r="F607" s="7" t="s">
        <v>15497</v>
      </c>
    </row>
    <row r="608">
      <c r="B608" s="2">
        <v>2021.0</v>
      </c>
      <c r="C608" s="2" t="s">
        <v>3396</v>
      </c>
      <c r="D608" s="2" t="s">
        <v>13756</v>
      </c>
      <c r="E608" s="2" t="s">
        <v>15498</v>
      </c>
      <c r="F608" s="7" t="s">
        <v>15499</v>
      </c>
    </row>
    <row r="609">
      <c r="B609" s="2">
        <v>2024.0</v>
      </c>
      <c r="C609" s="2" t="s">
        <v>3396</v>
      </c>
      <c r="D609" s="2" t="s">
        <v>13756</v>
      </c>
      <c r="E609" s="2" t="s">
        <v>15500</v>
      </c>
      <c r="F609" s="7" t="s">
        <v>15501</v>
      </c>
    </row>
    <row r="610" hidden="1">
      <c r="B610" s="2">
        <v>2005.0</v>
      </c>
      <c r="C610" s="2" t="s">
        <v>3396</v>
      </c>
      <c r="D610" s="2" t="s">
        <v>15056</v>
      </c>
      <c r="E610" s="2" t="s">
        <v>15502</v>
      </c>
      <c r="F610" s="7" t="s">
        <v>15503</v>
      </c>
    </row>
    <row r="611" hidden="1">
      <c r="B611" s="2">
        <v>2004.0</v>
      </c>
      <c r="C611" s="2" t="s">
        <v>3396</v>
      </c>
      <c r="D611" s="2" t="s">
        <v>15504</v>
      </c>
      <c r="E611" s="2" t="s">
        <v>15505</v>
      </c>
      <c r="F611" s="7" t="s">
        <v>15506</v>
      </c>
    </row>
    <row r="612">
      <c r="B612" s="2">
        <v>2018.0</v>
      </c>
      <c r="C612" s="2" t="s">
        <v>3396</v>
      </c>
      <c r="D612" s="2" t="s">
        <v>13756</v>
      </c>
      <c r="E612" s="2" t="s">
        <v>15507</v>
      </c>
      <c r="F612" s="7" t="s">
        <v>15508</v>
      </c>
    </row>
    <row r="613" hidden="1">
      <c r="B613" s="2">
        <v>2004.0</v>
      </c>
      <c r="C613" s="2" t="s">
        <v>3396</v>
      </c>
      <c r="D613" s="2" t="s">
        <v>15509</v>
      </c>
      <c r="E613" s="2" t="s">
        <v>15510</v>
      </c>
      <c r="F613" s="7" t="s">
        <v>15511</v>
      </c>
    </row>
    <row r="614" hidden="1">
      <c r="A614" s="2" t="s">
        <v>15512</v>
      </c>
      <c r="B614" s="2">
        <v>1999.0</v>
      </c>
      <c r="C614" s="2" t="s">
        <v>3396</v>
      </c>
      <c r="D614" s="2" t="s">
        <v>15513</v>
      </c>
      <c r="E614" s="2" t="s">
        <v>15514</v>
      </c>
      <c r="F614" s="7" t="s">
        <v>15515</v>
      </c>
    </row>
    <row r="615">
      <c r="B615" s="2">
        <v>2015.0</v>
      </c>
      <c r="C615" s="2" t="s">
        <v>3396</v>
      </c>
      <c r="D615" s="2" t="s">
        <v>13756</v>
      </c>
      <c r="E615" s="2" t="s">
        <v>15516</v>
      </c>
      <c r="F615" s="7" t="s">
        <v>15517</v>
      </c>
    </row>
    <row r="616">
      <c r="B616" s="2">
        <v>2017.0</v>
      </c>
      <c r="C616" s="2" t="s">
        <v>3396</v>
      </c>
      <c r="D616" s="2" t="s">
        <v>13756</v>
      </c>
      <c r="E616" s="2" t="s">
        <v>15518</v>
      </c>
      <c r="F616" s="7" t="s">
        <v>15519</v>
      </c>
    </row>
    <row r="617" hidden="1">
      <c r="B617" s="2">
        <v>2014.0</v>
      </c>
      <c r="C617" s="2" t="s">
        <v>3396</v>
      </c>
      <c r="D617" s="2" t="s">
        <v>15520</v>
      </c>
      <c r="E617" s="2" t="s">
        <v>15521</v>
      </c>
      <c r="F617" s="7" t="s">
        <v>15522</v>
      </c>
    </row>
    <row r="618" hidden="1">
      <c r="B618" s="2">
        <v>1999.0</v>
      </c>
      <c r="C618" s="2" t="s">
        <v>3396</v>
      </c>
      <c r="D618" s="2" t="s">
        <v>15523</v>
      </c>
      <c r="E618" s="2" t="s">
        <v>15524</v>
      </c>
      <c r="F618" s="7" t="s">
        <v>15525</v>
      </c>
    </row>
    <row r="619" hidden="1">
      <c r="B619" s="2">
        <v>2014.0</v>
      </c>
      <c r="C619" s="2" t="s">
        <v>3396</v>
      </c>
      <c r="D619" s="2" t="s">
        <v>15526</v>
      </c>
      <c r="E619" s="2" t="s">
        <v>15527</v>
      </c>
      <c r="F619" s="7" t="s">
        <v>15528</v>
      </c>
    </row>
    <row r="620">
      <c r="B620" s="2">
        <v>2012.0</v>
      </c>
      <c r="C620" s="2" t="s">
        <v>3396</v>
      </c>
      <c r="D620" s="2" t="s">
        <v>13756</v>
      </c>
      <c r="E620" s="2" t="s">
        <v>15529</v>
      </c>
      <c r="F620" s="7" t="s">
        <v>15530</v>
      </c>
    </row>
    <row r="621">
      <c r="B621" s="2">
        <v>2018.0</v>
      </c>
      <c r="C621" s="2" t="s">
        <v>3396</v>
      </c>
      <c r="D621" s="2" t="s">
        <v>13756</v>
      </c>
      <c r="E621" s="2" t="s">
        <v>15531</v>
      </c>
      <c r="F621" s="7" t="s">
        <v>15532</v>
      </c>
    </row>
    <row r="622" hidden="1">
      <c r="A622" s="2" t="s">
        <v>3997</v>
      </c>
      <c r="B622" s="2" t="s">
        <v>647</v>
      </c>
      <c r="C622" s="2" t="s">
        <v>647</v>
      </c>
      <c r="D622" s="2" t="s">
        <v>647</v>
      </c>
      <c r="E622" s="2" t="s">
        <v>647</v>
      </c>
      <c r="F622" s="2" t="s">
        <v>647</v>
      </c>
    </row>
  </sheetData>
  <autoFilter ref="$A$1:$I$622">
    <filterColumn colId="3">
      <filters>
        <filter val="Acquired&#10;Acquired by Walmart"/>
        <filter val="Private"/>
        <filter val="Acquired&#10;Acquired by VMWare"/>
      </filters>
    </filterColumn>
  </autoFilter>
  <hyperlinks>
    <hyperlink r:id="rId1" ref="F3"/>
    <hyperlink r:id="rId2" ref="F4"/>
    <hyperlink r:id="rId3" ref="G4"/>
    <hyperlink r:id="rId4" ref="F5"/>
    <hyperlink r:id="rId5" ref="F6"/>
    <hyperlink r:id="rId6" ref="F7"/>
    <hyperlink r:id="rId7" ref="G7"/>
    <hyperlink r:id="rId8" ref="F8"/>
    <hyperlink r:id="rId9" ref="G8"/>
    <hyperlink r:id="rId10" ref="F9"/>
    <hyperlink r:id="rId11" ref="G9"/>
    <hyperlink r:id="rId12" ref="F10"/>
    <hyperlink r:id="rId13" ref="G10"/>
    <hyperlink r:id="rId14" ref="F11"/>
    <hyperlink r:id="rId15" ref="F12"/>
    <hyperlink r:id="rId16" ref="G12"/>
    <hyperlink r:id="rId17" ref="F13"/>
    <hyperlink r:id="rId18" ref="G13"/>
    <hyperlink r:id="rId19" ref="F14"/>
    <hyperlink r:id="rId20" ref="G14"/>
    <hyperlink r:id="rId21" ref="F15"/>
    <hyperlink r:id="rId22" ref="A16"/>
    <hyperlink r:id="rId23" ref="F16"/>
    <hyperlink r:id="rId24" ref="F17"/>
    <hyperlink r:id="rId25" ref="F18"/>
    <hyperlink r:id="rId26" ref="G18"/>
    <hyperlink r:id="rId27" ref="F19"/>
    <hyperlink r:id="rId28" ref="G19"/>
    <hyperlink r:id="rId29" ref="F20"/>
    <hyperlink r:id="rId30" ref="G20"/>
    <hyperlink r:id="rId31" ref="F21"/>
    <hyperlink r:id="rId32" ref="G21"/>
    <hyperlink r:id="rId33" ref="F22"/>
    <hyperlink r:id="rId34" ref="G22"/>
    <hyperlink r:id="rId35" ref="F23"/>
    <hyperlink r:id="rId36" ref="G23"/>
    <hyperlink r:id="rId37" ref="F24"/>
    <hyperlink r:id="rId38" ref="G24"/>
    <hyperlink r:id="rId39" ref="F25"/>
    <hyperlink r:id="rId40" ref="G25"/>
    <hyperlink r:id="rId41" ref="F26"/>
    <hyperlink r:id="rId42" ref="F27"/>
    <hyperlink r:id="rId43" ref="G27"/>
    <hyperlink r:id="rId44" ref="F28"/>
    <hyperlink r:id="rId45" ref="G28"/>
    <hyperlink r:id="rId46" ref="F29"/>
    <hyperlink r:id="rId47" ref="F30"/>
    <hyperlink r:id="rId48" ref="F31"/>
    <hyperlink r:id="rId49" ref="F32"/>
    <hyperlink r:id="rId50" ref="F33"/>
    <hyperlink r:id="rId51" ref="F34"/>
    <hyperlink r:id="rId52" ref="G34"/>
    <hyperlink r:id="rId53" ref="F35"/>
    <hyperlink r:id="rId54" ref="F36"/>
    <hyperlink r:id="rId55" ref="G36"/>
    <hyperlink r:id="rId56" ref="F37"/>
    <hyperlink r:id="rId57" ref="G37"/>
    <hyperlink r:id="rId58" ref="F38"/>
    <hyperlink r:id="rId59" ref="G38"/>
    <hyperlink r:id="rId60" ref="F39"/>
    <hyperlink r:id="rId61" ref="G39"/>
    <hyperlink r:id="rId62" ref="F40"/>
    <hyperlink r:id="rId63" ref="F41"/>
    <hyperlink r:id="rId64" ref="G41"/>
    <hyperlink r:id="rId65" ref="F42"/>
    <hyperlink r:id="rId66" ref="G42"/>
    <hyperlink r:id="rId67" ref="F43"/>
    <hyperlink r:id="rId68" ref="F44"/>
    <hyperlink r:id="rId69" ref="G44"/>
    <hyperlink r:id="rId70" ref="F45"/>
    <hyperlink r:id="rId71" ref="F46"/>
    <hyperlink r:id="rId72" ref="G46"/>
    <hyperlink r:id="rId73" ref="F47"/>
    <hyperlink r:id="rId74" ref="G47"/>
    <hyperlink r:id="rId75" ref="F48"/>
    <hyperlink r:id="rId76" ref="F49"/>
    <hyperlink r:id="rId77" ref="F50"/>
    <hyperlink r:id="rId78" ref="G50"/>
    <hyperlink r:id="rId79" ref="F51"/>
    <hyperlink r:id="rId80" ref="F52"/>
    <hyperlink r:id="rId81" ref="G52"/>
    <hyperlink r:id="rId82" ref="F53"/>
    <hyperlink r:id="rId83" ref="F54"/>
    <hyperlink r:id="rId84" ref="G54"/>
    <hyperlink r:id="rId85" ref="F55"/>
    <hyperlink r:id="rId86" location="gsc.tab=0" ref="G55"/>
    <hyperlink r:id="rId87" ref="F56"/>
    <hyperlink r:id="rId88" ref="G56"/>
    <hyperlink r:id="rId89" ref="F57"/>
    <hyperlink r:id="rId90" ref="G57"/>
    <hyperlink r:id="rId91" ref="F58"/>
    <hyperlink r:id="rId92" ref="G58"/>
    <hyperlink r:id="rId93" ref="F59"/>
    <hyperlink r:id="rId94" ref="F60"/>
    <hyperlink r:id="rId95" ref="F61"/>
    <hyperlink r:id="rId96" ref="F62"/>
    <hyperlink r:id="rId97" ref="G62"/>
    <hyperlink r:id="rId98" ref="F63"/>
    <hyperlink r:id="rId99" ref="G63"/>
    <hyperlink r:id="rId100" ref="F64"/>
    <hyperlink r:id="rId101" ref="G64"/>
    <hyperlink r:id="rId102" ref="F65"/>
    <hyperlink r:id="rId103" ref="G65"/>
    <hyperlink r:id="rId104" ref="F66"/>
    <hyperlink r:id="rId105" ref="G66"/>
    <hyperlink r:id="rId106" ref="F67"/>
    <hyperlink r:id="rId107" ref="F68"/>
    <hyperlink r:id="rId108" ref="G68"/>
    <hyperlink r:id="rId109" ref="F69"/>
    <hyperlink r:id="rId110" ref="F70"/>
    <hyperlink r:id="rId111" ref="G70"/>
    <hyperlink r:id="rId112" ref="F71"/>
    <hyperlink r:id="rId113" ref="G71"/>
    <hyperlink r:id="rId114" ref="F72"/>
    <hyperlink r:id="rId115" ref="G72"/>
    <hyperlink r:id="rId116" ref="F73"/>
    <hyperlink r:id="rId117" ref="G73"/>
    <hyperlink r:id="rId118" ref="F74"/>
    <hyperlink r:id="rId119" ref="G74"/>
    <hyperlink r:id="rId120" ref="F75"/>
    <hyperlink r:id="rId121" ref="G75"/>
    <hyperlink r:id="rId122" ref="F76"/>
    <hyperlink r:id="rId123" ref="G76"/>
    <hyperlink r:id="rId124" ref="F77"/>
    <hyperlink r:id="rId125" ref="G77"/>
    <hyperlink r:id="rId126" ref="F78"/>
    <hyperlink r:id="rId127" ref="F79"/>
    <hyperlink r:id="rId128" ref="G79"/>
    <hyperlink r:id="rId129" ref="F80"/>
    <hyperlink r:id="rId130" ref="F81"/>
    <hyperlink r:id="rId131" ref="G81"/>
    <hyperlink r:id="rId132" ref="F82"/>
    <hyperlink r:id="rId133" ref="G82"/>
    <hyperlink r:id="rId134" ref="F83"/>
    <hyperlink r:id="rId135" ref="F84"/>
    <hyperlink r:id="rId136" ref="F85"/>
    <hyperlink r:id="rId137" ref="G85"/>
    <hyperlink r:id="rId138" ref="F86"/>
    <hyperlink r:id="rId139" ref="G86"/>
    <hyperlink r:id="rId140" ref="F87"/>
    <hyperlink r:id="rId141" ref="G87"/>
    <hyperlink r:id="rId142" ref="F88"/>
    <hyperlink r:id="rId143" ref="F89"/>
    <hyperlink r:id="rId144" ref="G89"/>
    <hyperlink r:id="rId145" ref="F90"/>
    <hyperlink r:id="rId146" ref="G90"/>
    <hyperlink r:id="rId147" ref="F91"/>
    <hyperlink r:id="rId148" ref="G91"/>
    <hyperlink r:id="rId149" ref="F92"/>
    <hyperlink r:id="rId150" ref="G92"/>
    <hyperlink r:id="rId151" ref="F93"/>
    <hyperlink r:id="rId152" ref="G93"/>
    <hyperlink r:id="rId153" ref="F94"/>
    <hyperlink r:id="rId154" ref="G94"/>
    <hyperlink r:id="rId155" ref="F95"/>
    <hyperlink r:id="rId156" ref="G95"/>
    <hyperlink r:id="rId157" ref="F96"/>
    <hyperlink r:id="rId158" ref="F97"/>
    <hyperlink r:id="rId159" ref="F98"/>
    <hyperlink r:id="rId160" ref="G98"/>
    <hyperlink r:id="rId161" ref="F99"/>
    <hyperlink r:id="rId162" ref="G99"/>
    <hyperlink r:id="rId163" ref="F100"/>
    <hyperlink r:id="rId164" ref="G100"/>
    <hyperlink r:id="rId165" ref="F101"/>
    <hyperlink r:id="rId166" ref="G101"/>
    <hyperlink r:id="rId167" ref="F102"/>
    <hyperlink r:id="rId168" ref="F103"/>
    <hyperlink r:id="rId169" ref="F104"/>
    <hyperlink r:id="rId170" ref="F105"/>
    <hyperlink r:id="rId171" ref="G105"/>
    <hyperlink r:id="rId172" ref="F106"/>
    <hyperlink r:id="rId173" ref="G106"/>
    <hyperlink r:id="rId174" ref="F107"/>
    <hyperlink r:id="rId175" ref="G107"/>
    <hyperlink r:id="rId176" ref="F108"/>
    <hyperlink r:id="rId177" ref="G108"/>
    <hyperlink r:id="rId178" ref="F109"/>
    <hyperlink r:id="rId179" ref="G109"/>
    <hyperlink r:id="rId180" ref="F110"/>
    <hyperlink r:id="rId181" ref="G110"/>
    <hyperlink r:id="rId182" ref="F111"/>
    <hyperlink r:id="rId183" ref="G111"/>
    <hyperlink r:id="rId184" ref="F112"/>
    <hyperlink r:id="rId185" ref="G112"/>
    <hyperlink r:id="rId186" ref="F113"/>
    <hyperlink r:id="rId187" ref="G113"/>
    <hyperlink r:id="rId188" ref="F114"/>
    <hyperlink r:id="rId189" ref="G114"/>
    <hyperlink r:id="rId190" ref="F115"/>
    <hyperlink r:id="rId191" ref="F116"/>
    <hyperlink r:id="rId192" ref="F117"/>
    <hyperlink r:id="rId193" ref="G117"/>
    <hyperlink r:id="rId194" ref="F118"/>
    <hyperlink r:id="rId195" ref="G118"/>
    <hyperlink r:id="rId196" ref="F119"/>
    <hyperlink r:id="rId197" ref="G119"/>
    <hyperlink r:id="rId198" ref="F120"/>
    <hyperlink r:id="rId199" ref="F121"/>
    <hyperlink r:id="rId200" ref="F122"/>
    <hyperlink r:id="rId201" ref="G122"/>
    <hyperlink r:id="rId202" ref="F123"/>
    <hyperlink r:id="rId203" ref="G123"/>
    <hyperlink r:id="rId204" ref="F124"/>
    <hyperlink r:id="rId205" ref="G124"/>
    <hyperlink r:id="rId206" ref="F125"/>
    <hyperlink r:id="rId207" ref="G125"/>
    <hyperlink r:id="rId208" ref="F126"/>
    <hyperlink r:id="rId209" ref="F127"/>
    <hyperlink r:id="rId210" ref="G127"/>
    <hyperlink r:id="rId211" ref="F128"/>
    <hyperlink r:id="rId212" ref="G128"/>
    <hyperlink r:id="rId213" ref="F129"/>
    <hyperlink r:id="rId214" ref="G129"/>
    <hyperlink r:id="rId215" ref="F130"/>
    <hyperlink r:id="rId216" ref="G130"/>
    <hyperlink r:id="rId217" ref="F131"/>
    <hyperlink r:id="rId218" ref="G131"/>
    <hyperlink r:id="rId219" ref="F132"/>
    <hyperlink r:id="rId220" ref="G132"/>
    <hyperlink r:id="rId221" ref="F133"/>
    <hyperlink r:id="rId222" ref="G133"/>
    <hyperlink r:id="rId223" ref="F134"/>
    <hyperlink r:id="rId224" ref="F135"/>
    <hyperlink r:id="rId225" ref="F136"/>
    <hyperlink r:id="rId226" ref="F137"/>
    <hyperlink r:id="rId227" ref="G137"/>
    <hyperlink r:id="rId228" ref="F138"/>
    <hyperlink r:id="rId229" ref="G138"/>
    <hyperlink r:id="rId230" ref="F139"/>
    <hyperlink r:id="rId231" ref="F140"/>
    <hyperlink r:id="rId232" ref="G140"/>
    <hyperlink r:id="rId233" ref="F141"/>
    <hyperlink r:id="rId234" ref="G141"/>
    <hyperlink r:id="rId235" ref="F142"/>
    <hyperlink r:id="rId236" ref="F143"/>
    <hyperlink r:id="rId237" ref="G143"/>
    <hyperlink r:id="rId238" ref="F144"/>
    <hyperlink r:id="rId239" ref="G144"/>
    <hyperlink r:id="rId240" ref="F145"/>
    <hyperlink r:id="rId241" ref="G145"/>
    <hyperlink r:id="rId242" ref="F146"/>
    <hyperlink r:id="rId243" ref="G146"/>
    <hyperlink r:id="rId244" ref="F147"/>
    <hyperlink r:id="rId245" ref="F148"/>
    <hyperlink r:id="rId246" ref="F149"/>
    <hyperlink r:id="rId247" ref="G149"/>
    <hyperlink r:id="rId248" ref="F150"/>
    <hyperlink r:id="rId249" ref="G150"/>
    <hyperlink r:id="rId250" ref="F151"/>
    <hyperlink r:id="rId251" ref="F152"/>
    <hyperlink r:id="rId252" ref="F153"/>
    <hyperlink r:id="rId253" ref="F154"/>
    <hyperlink r:id="rId254" ref="G154"/>
    <hyperlink r:id="rId255" ref="F155"/>
    <hyperlink r:id="rId256" ref="F156"/>
    <hyperlink r:id="rId257" ref="G156"/>
    <hyperlink r:id="rId258" ref="F157"/>
    <hyperlink r:id="rId259" ref="F158"/>
    <hyperlink r:id="rId260" ref="F159"/>
    <hyperlink r:id="rId261" ref="F160"/>
    <hyperlink r:id="rId262" ref="F161"/>
    <hyperlink r:id="rId263" ref="F162"/>
    <hyperlink r:id="rId264" ref="F163"/>
    <hyperlink r:id="rId265" ref="F164"/>
    <hyperlink r:id="rId266" ref="G164"/>
    <hyperlink r:id="rId267" ref="F165"/>
    <hyperlink r:id="rId268" ref="G165"/>
    <hyperlink r:id="rId269" ref="F166"/>
    <hyperlink r:id="rId270" ref="G166"/>
    <hyperlink r:id="rId271" ref="F167"/>
    <hyperlink r:id="rId272" ref="G167"/>
    <hyperlink r:id="rId273" ref="F168"/>
    <hyperlink r:id="rId274" ref="G168"/>
    <hyperlink r:id="rId275" ref="F169"/>
    <hyperlink r:id="rId276" ref="G169"/>
    <hyperlink r:id="rId277" ref="F170"/>
    <hyperlink r:id="rId278" ref="G170"/>
    <hyperlink r:id="rId279" ref="F171"/>
    <hyperlink r:id="rId280" ref="F172"/>
    <hyperlink r:id="rId281" ref="F173"/>
    <hyperlink r:id="rId282" ref="F174"/>
    <hyperlink r:id="rId283" ref="G174"/>
    <hyperlink r:id="rId284" ref="F175"/>
    <hyperlink r:id="rId285" ref="G175"/>
    <hyperlink r:id="rId286" ref="F176"/>
    <hyperlink r:id="rId287" ref="F177"/>
    <hyperlink r:id="rId288" ref="F178"/>
    <hyperlink r:id="rId289" ref="F179"/>
    <hyperlink r:id="rId290" ref="F180"/>
    <hyperlink r:id="rId291" ref="F181"/>
    <hyperlink r:id="rId292" ref="G181"/>
    <hyperlink r:id="rId293" ref="F182"/>
    <hyperlink r:id="rId294" ref="G182"/>
    <hyperlink r:id="rId295" ref="F183"/>
    <hyperlink r:id="rId296" ref="G183"/>
    <hyperlink r:id="rId297" ref="F184"/>
    <hyperlink r:id="rId298" ref="F185"/>
    <hyperlink r:id="rId299" ref="F186"/>
    <hyperlink r:id="rId300" ref="F187"/>
    <hyperlink r:id="rId301" ref="G187"/>
    <hyperlink r:id="rId302" ref="F188"/>
    <hyperlink r:id="rId303" ref="G188"/>
    <hyperlink r:id="rId304" ref="F189"/>
    <hyperlink r:id="rId305" ref="F190"/>
    <hyperlink r:id="rId306" ref="F191"/>
    <hyperlink r:id="rId307" ref="F192"/>
    <hyperlink r:id="rId308" ref="G192"/>
    <hyperlink r:id="rId309" ref="F193"/>
    <hyperlink r:id="rId310" ref="F194"/>
    <hyperlink r:id="rId311" ref="G194"/>
    <hyperlink r:id="rId312" ref="F195"/>
    <hyperlink r:id="rId313" ref="F196"/>
    <hyperlink r:id="rId314" ref="F197"/>
    <hyperlink r:id="rId315" ref="G197"/>
    <hyperlink r:id="rId316" ref="F198"/>
    <hyperlink r:id="rId317" ref="G198"/>
    <hyperlink r:id="rId318" ref="F199"/>
    <hyperlink r:id="rId319" ref="G199"/>
    <hyperlink r:id="rId320" ref="F200"/>
    <hyperlink r:id="rId321" ref="F201"/>
    <hyperlink r:id="rId322" ref="G201"/>
    <hyperlink r:id="rId323" ref="F202"/>
    <hyperlink r:id="rId324" ref="G202"/>
    <hyperlink r:id="rId325" ref="F203"/>
    <hyperlink r:id="rId326" ref="G203"/>
    <hyperlink r:id="rId327" ref="F204"/>
    <hyperlink r:id="rId328" ref="G204"/>
    <hyperlink r:id="rId329" ref="F205"/>
    <hyperlink r:id="rId330" ref="F206"/>
    <hyperlink r:id="rId331" ref="G206"/>
    <hyperlink r:id="rId332" ref="F207"/>
    <hyperlink r:id="rId333" ref="F208"/>
    <hyperlink r:id="rId334" ref="F209"/>
    <hyperlink r:id="rId335" ref="F210"/>
    <hyperlink r:id="rId336" ref="G210"/>
    <hyperlink r:id="rId337" ref="F211"/>
    <hyperlink r:id="rId338" ref="F212"/>
    <hyperlink r:id="rId339" ref="G212"/>
    <hyperlink r:id="rId340" ref="F213"/>
    <hyperlink r:id="rId341" ref="G213"/>
    <hyperlink r:id="rId342" ref="F214"/>
    <hyperlink r:id="rId343" ref="G214"/>
    <hyperlink r:id="rId344" ref="F215"/>
    <hyperlink r:id="rId345" ref="G215"/>
    <hyperlink r:id="rId346" ref="F216"/>
    <hyperlink r:id="rId347" ref="G216"/>
    <hyperlink r:id="rId348" ref="F217"/>
    <hyperlink r:id="rId349" ref="G217"/>
    <hyperlink r:id="rId350" ref="F218"/>
    <hyperlink r:id="rId351" ref="G218"/>
    <hyperlink r:id="rId352" ref="F219"/>
    <hyperlink r:id="rId353" ref="G219"/>
    <hyperlink r:id="rId354" ref="F220"/>
    <hyperlink r:id="rId355" ref="G220"/>
    <hyperlink r:id="rId356" ref="F221"/>
    <hyperlink r:id="rId357" ref="G221"/>
    <hyperlink r:id="rId358" ref="F222"/>
    <hyperlink r:id="rId359" ref="G222"/>
    <hyperlink r:id="rId360" ref="F223"/>
    <hyperlink r:id="rId361" ref="F224"/>
    <hyperlink r:id="rId362" ref="G224"/>
    <hyperlink r:id="rId363" ref="F225"/>
    <hyperlink r:id="rId364" ref="F226"/>
    <hyperlink r:id="rId365" ref="F227"/>
    <hyperlink r:id="rId366" ref="F228"/>
    <hyperlink r:id="rId367" ref="F229"/>
    <hyperlink r:id="rId368" ref="F230"/>
    <hyperlink r:id="rId369" ref="F231"/>
    <hyperlink r:id="rId370" ref="G231"/>
    <hyperlink r:id="rId371" ref="F232"/>
    <hyperlink r:id="rId372" ref="F233"/>
    <hyperlink r:id="rId373" ref="G233"/>
    <hyperlink r:id="rId374" ref="F234"/>
    <hyperlink r:id="rId375" ref="F235"/>
    <hyperlink r:id="rId376" ref="G235"/>
    <hyperlink r:id="rId377" ref="F236"/>
    <hyperlink r:id="rId378" ref="G236"/>
    <hyperlink r:id="rId379" ref="F237"/>
    <hyperlink r:id="rId380" ref="G237"/>
    <hyperlink r:id="rId381" ref="F238"/>
    <hyperlink r:id="rId382" ref="G238"/>
    <hyperlink r:id="rId383" ref="F239"/>
    <hyperlink r:id="rId384" ref="G239"/>
    <hyperlink r:id="rId385" ref="F240"/>
    <hyperlink r:id="rId386" ref="G240"/>
    <hyperlink r:id="rId387" ref="F241"/>
    <hyperlink r:id="rId388" ref="F242"/>
    <hyperlink r:id="rId389" ref="G242"/>
    <hyperlink r:id="rId390" ref="F243"/>
    <hyperlink r:id="rId391" ref="G243"/>
    <hyperlink r:id="rId392" ref="F244"/>
    <hyperlink r:id="rId393" ref="G244"/>
    <hyperlink r:id="rId394" ref="F245"/>
    <hyperlink r:id="rId395" ref="G245"/>
    <hyperlink r:id="rId396" ref="F246"/>
    <hyperlink r:id="rId397" ref="G246"/>
    <hyperlink r:id="rId398" ref="F247"/>
    <hyperlink r:id="rId399" ref="G247"/>
    <hyperlink r:id="rId400" ref="F248"/>
    <hyperlink r:id="rId401" ref="F249"/>
    <hyperlink r:id="rId402" ref="F250"/>
    <hyperlink r:id="rId403" ref="G250"/>
    <hyperlink r:id="rId404" ref="F251"/>
    <hyperlink r:id="rId405" ref="G251"/>
    <hyperlink r:id="rId406" ref="F252"/>
    <hyperlink r:id="rId407" ref="G252"/>
    <hyperlink r:id="rId408" ref="F253"/>
    <hyperlink r:id="rId409" ref="G253"/>
    <hyperlink r:id="rId410" ref="F254"/>
    <hyperlink r:id="rId411" ref="G254"/>
    <hyperlink r:id="rId412" ref="F255"/>
    <hyperlink r:id="rId413" ref="G255"/>
    <hyperlink r:id="rId414" ref="F256"/>
    <hyperlink r:id="rId415" ref="F257"/>
    <hyperlink r:id="rId416" ref="F258"/>
    <hyperlink r:id="rId417" ref="F259"/>
    <hyperlink r:id="rId418" ref="F260"/>
    <hyperlink r:id="rId419" ref="F261"/>
    <hyperlink r:id="rId420" ref="F262"/>
    <hyperlink r:id="rId421" ref="F263"/>
    <hyperlink r:id="rId422" ref="F264"/>
    <hyperlink r:id="rId423" ref="F265"/>
    <hyperlink r:id="rId424" ref="F266"/>
    <hyperlink r:id="rId425" ref="F267"/>
    <hyperlink r:id="rId426" ref="F268"/>
    <hyperlink r:id="rId427" ref="F269"/>
    <hyperlink r:id="rId428" ref="F270"/>
    <hyperlink r:id="rId429" ref="F271"/>
    <hyperlink r:id="rId430" ref="F272"/>
    <hyperlink r:id="rId431" ref="F273"/>
    <hyperlink r:id="rId432" ref="F274"/>
    <hyperlink r:id="rId433" ref="F275"/>
    <hyperlink r:id="rId434" ref="F276"/>
    <hyperlink r:id="rId435" ref="F277"/>
    <hyperlink r:id="rId436" ref="F278"/>
    <hyperlink r:id="rId437" ref="F279"/>
    <hyperlink r:id="rId438" ref="F280"/>
    <hyperlink r:id="rId439" ref="F281"/>
    <hyperlink r:id="rId440" ref="F282"/>
    <hyperlink r:id="rId441" ref="F283"/>
    <hyperlink r:id="rId442" ref="F284"/>
    <hyperlink r:id="rId443" ref="F285"/>
    <hyperlink r:id="rId444" ref="F286"/>
    <hyperlink r:id="rId445" ref="F287"/>
    <hyperlink r:id="rId446" ref="F288"/>
    <hyperlink r:id="rId447" ref="F289"/>
    <hyperlink r:id="rId448" ref="F290"/>
    <hyperlink r:id="rId449" ref="F291"/>
    <hyperlink r:id="rId450" ref="F292"/>
    <hyperlink r:id="rId451" ref="F293"/>
    <hyperlink r:id="rId452" ref="F294"/>
    <hyperlink r:id="rId453" ref="F295"/>
    <hyperlink r:id="rId454" ref="F296"/>
    <hyperlink r:id="rId455" ref="F297"/>
    <hyperlink r:id="rId456" ref="F298"/>
    <hyperlink r:id="rId457" ref="F299"/>
    <hyperlink r:id="rId458" ref="F300"/>
    <hyperlink r:id="rId459" ref="F301"/>
    <hyperlink r:id="rId460" ref="F302"/>
    <hyperlink r:id="rId461" ref="F303"/>
    <hyperlink r:id="rId462" ref="F304"/>
    <hyperlink r:id="rId463" ref="F305"/>
    <hyperlink r:id="rId464" ref="F306"/>
    <hyperlink r:id="rId465" ref="F307"/>
    <hyperlink r:id="rId466" ref="F308"/>
    <hyperlink r:id="rId467" ref="F309"/>
    <hyperlink r:id="rId468" ref="F310"/>
    <hyperlink r:id="rId469" ref="F311"/>
    <hyperlink r:id="rId470" ref="F312"/>
    <hyperlink r:id="rId471" ref="F313"/>
    <hyperlink r:id="rId472" ref="F314"/>
    <hyperlink r:id="rId473" ref="F315"/>
    <hyperlink r:id="rId474" ref="F316"/>
    <hyperlink r:id="rId475" ref="F317"/>
    <hyperlink r:id="rId476" ref="F318"/>
    <hyperlink r:id="rId477" ref="F319"/>
    <hyperlink r:id="rId478" ref="F320"/>
    <hyperlink r:id="rId479" ref="F321"/>
    <hyperlink r:id="rId480" ref="F322"/>
    <hyperlink r:id="rId481" ref="F323"/>
    <hyperlink r:id="rId482" ref="F324"/>
    <hyperlink r:id="rId483" ref="F325"/>
    <hyperlink r:id="rId484" ref="F326"/>
    <hyperlink r:id="rId485" ref="F327"/>
    <hyperlink r:id="rId486" ref="F328"/>
    <hyperlink r:id="rId487" ref="F329"/>
    <hyperlink r:id="rId488" ref="F330"/>
    <hyperlink r:id="rId489" ref="F331"/>
    <hyperlink r:id="rId490" ref="F332"/>
    <hyperlink r:id="rId491" ref="F333"/>
    <hyperlink r:id="rId492" ref="F334"/>
    <hyperlink r:id="rId493" ref="F335"/>
    <hyperlink r:id="rId494" ref="F336"/>
    <hyperlink r:id="rId495" ref="F337"/>
    <hyperlink r:id="rId496" ref="F338"/>
    <hyperlink r:id="rId497" ref="F339"/>
    <hyperlink r:id="rId498" ref="F340"/>
    <hyperlink r:id="rId499" ref="F341"/>
    <hyperlink r:id="rId500" ref="F342"/>
    <hyperlink r:id="rId501" ref="F343"/>
    <hyperlink r:id="rId502" ref="F344"/>
    <hyperlink r:id="rId503" ref="F345"/>
    <hyperlink r:id="rId504" ref="F346"/>
    <hyperlink r:id="rId505" ref="F347"/>
    <hyperlink r:id="rId506" ref="F348"/>
    <hyperlink r:id="rId507" ref="F349"/>
    <hyperlink r:id="rId508" ref="F350"/>
    <hyperlink r:id="rId509" ref="F351"/>
    <hyperlink r:id="rId510" ref="F352"/>
    <hyperlink r:id="rId511" ref="F353"/>
    <hyperlink r:id="rId512" ref="F354"/>
    <hyperlink r:id="rId513" ref="F355"/>
    <hyperlink r:id="rId514" ref="F356"/>
    <hyperlink r:id="rId515" ref="F357"/>
    <hyperlink r:id="rId516" ref="F358"/>
    <hyperlink r:id="rId517" ref="F359"/>
    <hyperlink r:id="rId518" ref="F360"/>
    <hyperlink r:id="rId519" ref="F361"/>
    <hyperlink r:id="rId520" ref="F362"/>
    <hyperlink r:id="rId521" ref="F363"/>
    <hyperlink r:id="rId522" ref="F364"/>
    <hyperlink r:id="rId523" ref="F365"/>
    <hyperlink r:id="rId524" ref="F366"/>
    <hyperlink r:id="rId525" ref="F367"/>
    <hyperlink r:id="rId526" ref="F368"/>
    <hyperlink r:id="rId527" ref="F369"/>
    <hyperlink r:id="rId528" ref="F370"/>
    <hyperlink r:id="rId529" ref="F371"/>
    <hyperlink r:id="rId530" ref="F372"/>
    <hyperlink r:id="rId531" ref="F373"/>
    <hyperlink r:id="rId532" ref="F374"/>
    <hyperlink r:id="rId533" ref="F375"/>
    <hyperlink r:id="rId534" ref="F376"/>
    <hyperlink r:id="rId535" ref="F377"/>
    <hyperlink r:id="rId536" ref="F378"/>
    <hyperlink r:id="rId537" ref="F379"/>
    <hyperlink r:id="rId538" ref="F380"/>
    <hyperlink r:id="rId539" ref="F381"/>
    <hyperlink r:id="rId540" ref="F382"/>
    <hyperlink r:id="rId541" ref="F383"/>
    <hyperlink r:id="rId542" ref="F384"/>
    <hyperlink r:id="rId543" ref="F385"/>
    <hyperlink r:id="rId544" ref="F386"/>
    <hyperlink r:id="rId545" ref="F387"/>
    <hyperlink r:id="rId546" ref="F388"/>
    <hyperlink r:id="rId547" ref="F389"/>
    <hyperlink r:id="rId548" ref="F390"/>
    <hyperlink r:id="rId549" ref="F391"/>
    <hyperlink r:id="rId550" ref="F392"/>
    <hyperlink r:id="rId551" ref="F393"/>
    <hyperlink r:id="rId552" ref="F394"/>
    <hyperlink r:id="rId553" ref="F395"/>
    <hyperlink r:id="rId554" ref="F396"/>
    <hyperlink r:id="rId555" ref="F397"/>
    <hyperlink r:id="rId556" ref="F398"/>
    <hyperlink r:id="rId557" ref="F399"/>
    <hyperlink r:id="rId558" ref="F400"/>
    <hyperlink r:id="rId559" ref="F401"/>
    <hyperlink r:id="rId560" ref="F402"/>
    <hyperlink r:id="rId561" ref="F403"/>
    <hyperlink r:id="rId562" ref="F404"/>
    <hyperlink r:id="rId563" ref="F405"/>
    <hyperlink r:id="rId564" ref="F406"/>
    <hyperlink r:id="rId565" ref="F407"/>
    <hyperlink r:id="rId566" ref="F408"/>
    <hyperlink r:id="rId567" ref="F409"/>
    <hyperlink r:id="rId568" ref="F410"/>
    <hyperlink r:id="rId569" ref="F411"/>
    <hyperlink r:id="rId570" ref="F412"/>
    <hyperlink r:id="rId571" ref="F413"/>
    <hyperlink r:id="rId572" ref="F414"/>
    <hyperlink r:id="rId573" ref="F415"/>
    <hyperlink r:id="rId574" ref="F416"/>
    <hyperlink r:id="rId575" ref="F417"/>
    <hyperlink r:id="rId576" ref="F418"/>
    <hyperlink r:id="rId577" ref="F419"/>
    <hyperlink r:id="rId578" ref="F420"/>
    <hyperlink r:id="rId579" ref="F421"/>
    <hyperlink r:id="rId580" ref="F422"/>
    <hyperlink r:id="rId581" ref="F423"/>
    <hyperlink r:id="rId582" ref="F424"/>
    <hyperlink r:id="rId583" ref="F425"/>
    <hyperlink r:id="rId584" ref="F426"/>
    <hyperlink r:id="rId585" ref="F427"/>
    <hyperlink r:id="rId586" ref="F428"/>
    <hyperlink r:id="rId587" ref="F429"/>
    <hyperlink r:id="rId588" ref="F430"/>
    <hyperlink r:id="rId589" ref="F431"/>
    <hyperlink r:id="rId590" ref="F432"/>
    <hyperlink r:id="rId591" ref="F433"/>
    <hyperlink r:id="rId592" ref="F434"/>
    <hyperlink r:id="rId593" ref="F435"/>
    <hyperlink r:id="rId594" ref="F436"/>
    <hyperlink r:id="rId595" ref="F437"/>
    <hyperlink r:id="rId596" ref="F438"/>
    <hyperlink r:id="rId597" ref="F439"/>
    <hyperlink r:id="rId598" ref="F440"/>
    <hyperlink r:id="rId599" ref="F441"/>
    <hyperlink r:id="rId600" ref="F442"/>
    <hyperlink r:id="rId601" ref="F443"/>
    <hyperlink r:id="rId602" ref="F444"/>
    <hyperlink r:id="rId603" ref="F445"/>
    <hyperlink r:id="rId604" ref="F446"/>
    <hyperlink r:id="rId605" ref="F447"/>
    <hyperlink r:id="rId606" ref="F448"/>
    <hyperlink r:id="rId607" ref="F449"/>
    <hyperlink r:id="rId608" ref="F450"/>
    <hyperlink r:id="rId609" ref="F451"/>
    <hyperlink r:id="rId610" ref="F452"/>
    <hyperlink r:id="rId611" ref="F453"/>
    <hyperlink r:id="rId612" ref="F454"/>
    <hyperlink r:id="rId613" ref="F455"/>
    <hyperlink r:id="rId614" ref="F456"/>
    <hyperlink r:id="rId615" ref="F457"/>
    <hyperlink r:id="rId616" ref="F458"/>
    <hyperlink r:id="rId617" ref="F459"/>
    <hyperlink r:id="rId618" ref="F460"/>
    <hyperlink r:id="rId619" ref="F461"/>
    <hyperlink r:id="rId620" ref="F462"/>
    <hyperlink r:id="rId621" ref="F463"/>
    <hyperlink r:id="rId622" ref="F464"/>
    <hyperlink r:id="rId623" ref="F465"/>
    <hyperlink r:id="rId624" ref="F466"/>
    <hyperlink r:id="rId625" ref="F467"/>
    <hyperlink r:id="rId626" ref="F468"/>
    <hyperlink r:id="rId627" ref="F469"/>
    <hyperlink r:id="rId628" ref="F470"/>
    <hyperlink r:id="rId629" ref="F471"/>
    <hyperlink r:id="rId630" ref="F472"/>
    <hyperlink r:id="rId631" ref="F473"/>
    <hyperlink r:id="rId632" ref="F474"/>
    <hyperlink r:id="rId633" ref="F475"/>
    <hyperlink r:id="rId634" ref="F476"/>
    <hyperlink r:id="rId635" ref="F477"/>
    <hyperlink r:id="rId636" ref="F478"/>
    <hyperlink r:id="rId637" ref="F479"/>
    <hyperlink r:id="rId638" ref="F480"/>
    <hyperlink r:id="rId639" ref="F481"/>
    <hyperlink r:id="rId640" ref="F482"/>
    <hyperlink r:id="rId641" ref="F483"/>
    <hyperlink r:id="rId642" ref="F484"/>
    <hyperlink r:id="rId643" ref="F485"/>
    <hyperlink r:id="rId644" ref="F486"/>
    <hyperlink r:id="rId645" ref="F487"/>
    <hyperlink r:id="rId646" ref="F488"/>
    <hyperlink r:id="rId647" ref="F489"/>
    <hyperlink r:id="rId648" ref="F490"/>
    <hyperlink r:id="rId649" ref="F491"/>
    <hyperlink r:id="rId650" ref="F492"/>
    <hyperlink r:id="rId651" ref="F493"/>
    <hyperlink r:id="rId652" ref="F494"/>
    <hyperlink r:id="rId653" ref="F495"/>
    <hyperlink r:id="rId654" ref="F496"/>
    <hyperlink r:id="rId655" ref="F497"/>
    <hyperlink r:id="rId656" ref="F498"/>
    <hyperlink r:id="rId657" ref="F499"/>
    <hyperlink r:id="rId658" ref="F500"/>
    <hyperlink r:id="rId659" ref="G500"/>
    <hyperlink r:id="rId660" ref="F501"/>
    <hyperlink r:id="rId661" ref="F502"/>
    <hyperlink r:id="rId662" ref="G502"/>
    <hyperlink r:id="rId663" ref="F503"/>
    <hyperlink r:id="rId664" ref="G503"/>
    <hyperlink r:id="rId665" ref="F504"/>
    <hyperlink r:id="rId666" ref="F505"/>
    <hyperlink r:id="rId667" ref="G505"/>
    <hyperlink r:id="rId668" ref="F506"/>
    <hyperlink r:id="rId669" ref="G506"/>
    <hyperlink r:id="rId670" ref="F507"/>
    <hyperlink r:id="rId671" ref="F508"/>
    <hyperlink r:id="rId672" ref="F509"/>
    <hyperlink r:id="rId673" ref="G509"/>
    <hyperlink r:id="rId674" ref="F510"/>
    <hyperlink r:id="rId675" ref="F511"/>
    <hyperlink r:id="rId676" ref="G511"/>
    <hyperlink r:id="rId677" ref="F512"/>
    <hyperlink r:id="rId678" ref="F513"/>
    <hyperlink r:id="rId679" ref="G513"/>
    <hyperlink r:id="rId680" ref="F514"/>
    <hyperlink r:id="rId681" ref="G514"/>
    <hyperlink r:id="rId682" ref="F515"/>
    <hyperlink r:id="rId683" ref="G515"/>
    <hyperlink r:id="rId684" ref="F516"/>
    <hyperlink r:id="rId685" ref="G516"/>
    <hyperlink r:id="rId686" ref="F517"/>
    <hyperlink r:id="rId687" ref="F518"/>
    <hyperlink r:id="rId688" ref="F519"/>
    <hyperlink r:id="rId689" ref="F520"/>
    <hyperlink r:id="rId690" ref="F521"/>
    <hyperlink r:id="rId691" ref="G521"/>
    <hyperlink r:id="rId692" ref="F522"/>
    <hyperlink r:id="rId693" ref="G522"/>
    <hyperlink r:id="rId694" ref="F523"/>
    <hyperlink r:id="rId695" ref="F524"/>
    <hyperlink r:id="rId696" ref="G524"/>
    <hyperlink r:id="rId697" ref="F525"/>
    <hyperlink r:id="rId698" ref="G525"/>
    <hyperlink r:id="rId699" ref="F526"/>
    <hyperlink r:id="rId700" ref="G526"/>
    <hyperlink r:id="rId701" ref="F527"/>
    <hyperlink r:id="rId702" ref="G527"/>
    <hyperlink r:id="rId703" ref="F528"/>
    <hyperlink r:id="rId704" ref="G528"/>
    <hyperlink r:id="rId705" ref="F529"/>
    <hyperlink r:id="rId706" ref="G529"/>
    <hyperlink r:id="rId707" ref="F530"/>
    <hyperlink r:id="rId708" ref="G530"/>
    <hyperlink r:id="rId709" ref="F531"/>
    <hyperlink r:id="rId710" ref="G531"/>
    <hyperlink r:id="rId711" ref="F532"/>
    <hyperlink r:id="rId712" ref="F533"/>
    <hyperlink r:id="rId713" ref="F534"/>
    <hyperlink r:id="rId714" ref="G534"/>
    <hyperlink r:id="rId715" ref="F535"/>
    <hyperlink r:id="rId716" ref="G535"/>
    <hyperlink r:id="rId717" ref="F536"/>
    <hyperlink r:id="rId718" ref="F537"/>
    <hyperlink r:id="rId719" ref="G537"/>
    <hyperlink r:id="rId720" ref="F538"/>
    <hyperlink r:id="rId721" ref="G538"/>
    <hyperlink r:id="rId722" ref="F539"/>
    <hyperlink r:id="rId723" ref="G539"/>
    <hyperlink r:id="rId724" ref="F540"/>
    <hyperlink r:id="rId725" ref="G540"/>
    <hyperlink r:id="rId726" ref="F541"/>
    <hyperlink r:id="rId727" ref="F542"/>
    <hyperlink r:id="rId728" ref="G542"/>
    <hyperlink r:id="rId729" ref="F543"/>
    <hyperlink r:id="rId730" ref="G543"/>
    <hyperlink r:id="rId731" ref="F544"/>
    <hyperlink r:id="rId732" ref="G544"/>
    <hyperlink r:id="rId733" ref="F545"/>
    <hyperlink r:id="rId734" ref="G545"/>
    <hyperlink r:id="rId735" ref="F546"/>
    <hyperlink r:id="rId736" ref="G546"/>
    <hyperlink r:id="rId737" ref="F547"/>
    <hyperlink r:id="rId738" ref="G547"/>
    <hyperlink r:id="rId739" ref="F548"/>
    <hyperlink r:id="rId740" ref="G548"/>
    <hyperlink r:id="rId741" ref="F549"/>
    <hyperlink r:id="rId742" ref="G549"/>
    <hyperlink r:id="rId743" ref="F550"/>
    <hyperlink r:id="rId744" ref="F551"/>
    <hyperlink r:id="rId745" ref="G551"/>
    <hyperlink r:id="rId746" ref="F552"/>
    <hyperlink r:id="rId747" ref="F553"/>
    <hyperlink r:id="rId748" ref="G553"/>
    <hyperlink r:id="rId749" ref="F554"/>
    <hyperlink r:id="rId750" ref="F555"/>
    <hyperlink r:id="rId751" ref="G555"/>
    <hyperlink r:id="rId752" ref="F556"/>
    <hyperlink r:id="rId753" ref="G556"/>
    <hyperlink r:id="rId754" ref="F557"/>
    <hyperlink r:id="rId755" ref="F558"/>
    <hyperlink r:id="rId756" ref="G558"/>
    <hyperlink r:id="rId757" ref="F559"/>
    <hyperlink r:id="rId758" ref="G559"/>
    <hyperlink r:id="rId759" ref="F560"/>
    <hyperlink r:id="rId760" ref="G560"/>
    <hyperlink r:id="rId761" ref="F561"/>
    <hyperlink r:id="rId762" ref="G561"/>
    <hyperlink r:id="rId763" ref="F562"/>
    <hyperlink r:id="rId764" ref="F563"/>
    <hyperlink r:id="rId765" ref="G563"/>
    <hyperlink r:id="rId766" ref="F564"/>
    <hyperlink r:id="rId767" ref="G564"/>
    <hyperlink r:id="rId768" ref="F565"/>
    <hyperlink r:id="rId769" ref="F566"/>
    <hyperlink r:id="rId770" ref="F567"/>
    <hyperlink r:id="rId771" ref="G567"/>
    <hyperlink r:id="rId772" ref="F568"/>
    <hyperlink r:id="rId773" ref="F569"/>
    <hyperlink r:id="rId774" ref="F570"/>
    <hyperlink r:id="rId775" ref="F571"/>
    <hyperlink r:id="rId776" ref="G571"/>
    <hyperlink r:id="rId777" ref="F572"/>
    <hyperlink r:id="rId778" ref="G572"/>
    <hyperlink r:id="rId779" ref="F573"/>
    <hyperlink r:id="rId780" ref="F574"/>
    <hyperlink r:id="rId781" ref="G574"/>
    <hyperlink r:id="rId782" ref="F575"/>
    <hyperlink r:id="rId783" ref="F576"/>
    <hyperlink r:id="rId784" ref="G576"/>
    <hyperlink r:id="rId785" ref="F577"/>
    <hyperlink r:id="rId786" ref="F578"/>
    <hyperlink r:id="rId787" ref="G578"/>
    <hyperlink r:id="rId788" ref="F579"/>
    <hyperlink r:id="rId789" ref="G579"/>
    <hyperlink r:id="rId790" ref="F580"/>
    <hyperlink r:id="rId791" ref="F581"/>
    <hyperlink r:id="rId792" ref="F582"/>
    <hyperlink r:id="rId793" ref="F583"/>
    <hyperlink r:id="rId794" ref="F584"/>
    <hyperlink r:id="rId795" ref="F585"/>
    <hyperlink r:id="rId796" ref="F586"/>
    <hyperlink r:id="rId797" ref="F587"/>
    <hyperlink r:id="rId798" ref="F588"/>
    <hyperlink r:id="rId799" ref="F589"/>
    <hyperlink r:id="rId800" ref="F590"/>
    <hyperlink r:id="rId801" ref="F591"/>
    <hyperlink r:id="rId802" ref="F592"/>
    <hyperlink r:id="rId803" ref="F593"/>
    <hyperlink r:id="rId804" ref="F594"/>
    <hyperlink r:id="rId805" ref="F595"/>
    <hyperlink r:id="rId806" ref="F596"/>
    <hyperlink r:id="rId807" ref="F597"/>
    <hyperlink r:id="rId808" ref="F598"/>
    <hyperlink r:id="rId809" ref="F599"/>
    <hyperlink r:id="rId810" ref="F600"/>
    <hyperlink r:id="rId811" ref="F601"/>
    <hyperlink r:id="rId812" ref="F602"/>
    <hyperlink r:id="rId813" ref="F603"/>
    <hyperlink r:id="rId814" ref="F604"/>
    <hyperlink r:id="rId815" ref="F605"/>
    <hyperlink r:id="rId816" ref="F606"/>
    <hyperlink r:id="rId817" ref="F607"/>
    <hyperlink r:id="rId818" ref="F608"/>
    <hyperlink r:id="rId819" ref="F609"/>
    <hyperlink r:id="rId820" ref="F610"/>
    <hyperlink r:id="rId821" ref="F611"/>
    <hyperlink r:id="rId822" ref="F612"/>
    <hyperlink r:id="rId823" ref="F613"/>
    <hyperlink r:id="rId824" ref="F614"/>
    <hyperlink r:id="rId825" ref="F615"/>
    <hyperlink r:id="rId826" ref="F616"/>
    <hyperlink r:id="rId827" ref="F617"/>
    <hyperlink r:id="rId828" ref="F618"/>
    <hyperlink r:id="rId829" ref="F619"/>
    <hyperlink r:id="rId830" ref="F620"/>
    <hyperlink r:id="rId831" ref="F621"/>
  </hyperlinks>
  <drawing r:id="rId83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15533</v>
      </c>
    </row>
    <row r="2">
      <c r="A2" s="2" t="s">
        <v>15534</v>
      </c>
    </row>
    <row r="3">
      <c r="A3" s="2" t="s">
        <v>15535</v>
      </c>
    </row>
    <row r="4">
      <c r="A4" s="31" t="s">
        <v>15536</v>
      </c>
      <c r="C4" s="2" t="s">
        <v>15537</v>
      </c>
    </row>
    <row r="5">
      <c r="A5" s="32"/>
    </row>
    <row r="6">
      <c r="A6" s="31" t="s">
        <v>15538</v>
      </c>
      <c r="C6" s="2" t="s">
        <v>15537</v>
      </c>
    </row>
    <row r="7">
      <c r="A7" s="32"/>
    </row>
    <row r="8">
      <c r="A8" s="31" t="s">
        <v>15539</v>
      </c>
    </row>
    <row r="9">
      <c r="A9" s="32"/>
    </row>
    <row r="10">
      <c r="A10" s="31" t="s">
        <v>15540</v>
      </c>
    </row>
    <row r="11">
      <c r="A11" s="32"/>
    </row>
    <row r="12">
      <c r="A12" s="31" t="s">
        <v>15541</v>
      </c>
    </row>
    <row r="13">
      <c r="A13" s="32"/>
    </row>
    <row r="14">
      <c r="A14" s="31" t="s">
        <v>15542</v>
      </c>
    </row>
    <row r="15">
      <c r="A15" s="32"/>
    </row>
    <row r="16">
      <c r="A16" s="31" t="s">
        <v>15543</v>
      </c>
    </row>
    <row r="17">
      <c r="A17" s="32"/>
    </row>
    <row r="18">
      <c r="A18" s="31" t="s">
        <v>15544</v>
      </c>
    </row>
    <row r="19">
      <c r="A19" s="32"/>
    </row>
    <row r="20">
      <c r="A20" s="31" t="s">
        <v>15545</v>
      </c>
    </row>
    <row r="21">
      <c r="A21" s="32"/>
    </row>
    <row r="22">
      <c r="A22" s="31" t="s">
        <v>15546</v>
      </c>
    </row>
    <row r="23">
      <c r="A23" s="32"/>
    </row>
    <row r="24">
      <c r="A24" s="31" t="s">
        <v>15547</v>
      </c>
    </row>
    <row r="25">
      <c r="A25" s="32"/>
    </row>
    <row r="26">
      <c r="A26" s="31" t="s">
        <v>15548</v>
      </c>
    </row>
    <row r="27">
      <c r="A27" s="32"/>
    </row>
    <row r="28">
      <c r="A28" s="31" t="s">
        <v>15549</v>
      </c>
    </row>
    <row r="29">
      <c r="A29" s="32"/>
    </row>
    <row r="30">
      <c r="A30" s="31" t="s">
        <v>15550</v>
      </c>
    </row>
    <row r="31">
      <c r="A31" s="32"/>
    </row>
    <row r="32">
      <c r="A32" s="31" t="s">
        <v>15551</v>
      </c>
    </row>
    <row r="33">
      <c r="A33" s="32"/>
    </row>
    <row r="34">
      <c r="A34" s="31" t="s">
        <v>15552</v>
      </c>
    </row>
    <row r="35">
      <c r="A35" s="32"/>
    </row>
    <row r="36">
      <c r="A36" s="31" t="s">
        <v>15553</v>
      </c>
    </row>
    <row r="37">
      <c r="A37" s="32"/>
    </row>
    <row r="38">
      <c r="A38" s="31" t="s">
        <v>15554</v>
      </c>
    </row>
    <row r="39">
      <c r="A39" s="32"/>
    </row>
    <row r="40">
      <c r="A40" s="31" t="s">
        <v>15555</v>
      </c>
    </row>
    <row r="41">
      <c r="A41" s="32"/>
    </row>
    <row r="42">
      <c r="A42" s="31" t="s">
        <v>15556</v>
      </c>
    </row>
  </sheetData>
  <drawing r:id="rId1"/>
</worksheet>
</file>